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D562533-D2B7-4584-9231-708AA764F634}"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J41" i="8" l="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H41" i="8" l="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BW5" i="11" l="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41" i="8" l="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AR10" i="5" s="1"/>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O11" i="5" l="1"/>
  <c r="AM11" i="5"/>
  <c r="AN11" i="5"/>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R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R12" i="5" s="1"/>
  <c r="AE14" i="1"/>
  <c r="W14" i="1" s="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R13" i="5" s="1"/>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E39" i="1" l="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J40" i="2" l="1"/>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O50" i="5" l="1"/>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AR52" i="5"/>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B69" i="4" l="1"/>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O116" i="5" l="1"/>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<sst xmlns="http://schemas.openxmlformats.org/spreadsheetml/2006/main" count="3095" uniqueCount="1165">
  <si>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</si>
  <si>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</si>
  <si>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</si>
  <si>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</si>
  <si>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</si>
  <si>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</si>
  <si>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</si>
  <si>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</si>
  <si>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</si>
  <si>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</si>
  <si>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</si>
  <si>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</si>
  <si>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</si>
  <si>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</si>
  <si>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</si>
  <si>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</si>
  <si>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</si>
  <si>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</si>
  <si>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</si>
  <si>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</si>
  <si>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</si>
  <si>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</si>
  <si>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</si>
  <si>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</si>
  <si>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</si>
  <si>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</si>
  <si>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</si>
  <si>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</si>
  <si>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</si>
  <si>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</si>
  <si>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</si>
  <si>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</si>
  <si>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</si>
  <si>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</si>
  <si>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</si>
  <si>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</si>
  <si>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</si>
  <si>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</si>
  <si>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</si>
  <si>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</si>
  <si>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</si>
  <si>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</si>
  <si>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</si>
  <si>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</si>
  <si>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</si>
  <si>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</si>
  <si>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</si>
  <si>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</si>
  <si>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</si>
  <si>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</si>
  <si>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</si>
  <si>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</si>
  <si>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</si>
  <si>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</si>
  <si>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</si>
  <si>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</si>
  <si>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</si>
  <si>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</si>
  <si>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</si>
  <si>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</si>
  <si>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</si>
  <si>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</si>
  <si>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</si>
  <si>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</si>
  <si>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</si>
  <si>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</si>
  <si>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</si>
  <si>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</si>
  <si>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</si>
  <si>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</si>
  <si>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</si>
  <si>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</si>
  <si>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</si>
  <si>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</si>
  <si>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</si>
  <si>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</si>
  <si>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</si>
  <si>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</si>
  <si>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</si>
  <si>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</si>
  <si>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</si>
  <si>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</si>
  <si>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</si>
  <si>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</si>
  <si>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</si>
  <si>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</si>
  <si>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</si>
  <si>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</si>
  <si>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</si>
  <si>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</si>
  <si>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</si>
  <si>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</si>
  <si>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</si>
  <si>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</si>
  <si>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</si>
  <si>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</si>
  <si>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</si>
  <si>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</si>
  <si>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</si>
  <si>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</si>
  <si>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</si>
  <si>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</si>
  <si>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</si>
  <si>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</si>
  <si>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</si>
  <si>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</si>
  <si>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</si>
  <si>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</si>
  <si>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</si>
  <si>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</si>
  <si>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</si>
  <si>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</si>
  <si>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</si>
  <si>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</si>
  <si>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</si>
  <si>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</si>
  <si>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</si>
  <si>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</si>
  <si>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</si>
  <si>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</si>
  <si>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</si>
  <si>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</si>
  <si>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</si>
  <si>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</si>
  <si>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</si>
  <si>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</si>
  <si>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</si>
  <si>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</si>
  <si>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</si>
  <si>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</si>
  <si>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</si>
  <si>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</si>
  <si>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</si>
  <si>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</si>
  <si>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</si>
  <si>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</si>
  <si>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</si>
  <si>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</si>
  <si>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</si>
  <si>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</si>
  <si>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</si>
  <si>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</si>
  <si>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</si>
  <si>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</si>
  <si>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</si>
  <si>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</si>
  <si>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</si>
  <si>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</si>
  <si>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</si>
  <si>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</si>
  <si>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</si>
  <si>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</si>
  <si>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</si>
  <si>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</si>
  <si>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</si>
  <si>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</si>
  <si>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</si>
  <si>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</si>
  <si>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</si>
  <si>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</si>
  <si>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</si>
  <si>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</si>
  <si>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</si>
  <si>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</si>
  <si>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</si>
  <si>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</si>
  <si>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</si>
  <si>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</si>
  <si>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</si>
  <si>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</si>
  <si>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</si>
  <si>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</si>
  <si>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</si>
  <si>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</si>
  <si>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</si>
  <si>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</si>
  <si>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</si>
  <si>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</si>
  <si>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</si>
  <si>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</si>
  <si>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</si>
  <si>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</si>
  <si>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</si>
  <si>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</si>
  <si>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</si>
  <si>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</si>
  <si>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</si>
  <si>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</si>
  <si>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</si>
  <si>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</si>
  <si>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</si>
  <si>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</si>
  <si>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</si>
  <si>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</si>
  <si>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</si>
  <si>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</si>
  <si>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</si>
  <si>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</si>
  <si>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</si>
  <si>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</si>
  <si>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</si>
  <si>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</si>
  <si>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</si>
  <si>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</si>
  <si>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</si>
  <si>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</si>
  <si>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</si>
  <si>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</si>
  <si>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</si>
  <si>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</si>
  <si>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</si>
  <si>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</si>
  <si>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</si>
  <si>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</si>
  <si>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</si>
  <si>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</si>
  <si>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</si>
  <si>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</si>
  <si>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</si>
  <si>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</si>
  <si>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</si>
  <si>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</si>
  <si>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</si>
  <si>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</si>
  <si>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</si>
  <si>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</si>
  <si>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</si>
  <si>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</si>
  <si>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</si>
  <si>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</si>
  <si>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</si>
  <si>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</si>
  <si>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</si>
  <si>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</si>
  <si>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</si>
  <si>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</si>
  <si>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</si>
  <si>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</si>
  <si>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</si>
  <si>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</si>
  <si>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</si>
  <si>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</si>
  <si>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</si>
  <si>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</si>
  <si>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</si>
  <si>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</si>
  <si>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</si>
  <si>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</si>
  <si>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</si>
  <si>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</si>
  <si>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</si>
  <si>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</si>
  <si>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</si>
  <si>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</si>
  <si>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</si>
  <si>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</si>
  <si>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</si>
  <si>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</si>
  <si>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</si>
  <si>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</si>
  <si>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</si>
  <si>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</si>
  <si>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</si>
  <si>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</si>
  <si>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</si>
  <si>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</si>
  <si>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</si>
  <si>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</si>
  <si>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</si>
  <si>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</si>
  <si>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</si>
  <si>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</si>
  <si>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</si>
  <si>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</si>
  <si>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</si>
  <si>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</si>
  <si>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</si>
  <si>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</si>
  <si>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</si>
  <si>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</si>
  <si>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</si>
  <si>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</si>
  <si>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</si>
  <si>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</si>
  <si>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</si>
  <si>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</si>
  <si>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</si>
  <si>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</si>
  <si>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</si>
  <si>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</si>
  <si>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</si>
  <si>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</si>
  <si>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</si>
  <si>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</si>
  <si>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</si>
  <si>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</si>
  <si>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</si>
  <si>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</si>
  <si>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</si>
  <si>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</si>
  <si>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</si>
  <si>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</si>
  <si>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</si>
  <si>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</si>
  <si>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</si>
  <si>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</si>
  <si>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</si>
  <si>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</si>
  <si>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</si>
  <si>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</si>
  <si>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</si>
  <si>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</si>
  <si>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</si>
  <si>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</si>
  <si>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</si>
  <si>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</si>
  <si>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</si>
  <si>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</si>
  <si>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</si>
  <si>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</si>
  <si>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</si>
  <si>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</si>
  <si>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</si>
  <si>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</si>
  <si>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</si>
  <si>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</si>
  <si>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</si>
  <si>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</si>
  <si>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</si>
  <si>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</si>
  <si>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</si>
  <si>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</si>
  <si>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</si>
  <si>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</si>
  <si>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</si>
  <si>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</si>
  <si>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</si>
  <si>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</si>
  <si>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</si>
  <si>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</si>
  <si>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</si>
  <si>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</si>
  <si>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</si>
  <si>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</si>
  <si>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</si>
  <si>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</si>
  <si>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</si>
  <si>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</si>
  <si>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</si>
  <si>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</si>
  <si>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</si>
  <si>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</si>
  <si>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</si>
  <si>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</si>
  <si>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</si>
  <si>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</si>
  <si>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</si>
  <si>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</si>
  <si>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</si>
  <si>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</si>
  <si>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</si>
  <si>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</si>
  <si>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</si>
  <si>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</si>
  <si>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</si>
  <si>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</si>
  <si>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</si>
  <si>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</si>
  <si>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</si>
  <si>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</si>
  <si>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</si>
  <si>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</si>
  <si>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</si>
  <si>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</si>
  <si>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</si>
  <si>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</si>
  <si>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</si>
  <si>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</si>
  <si>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</si>
  <si>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</si>
  <si>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</si>
  <si>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</si>
  <si>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</si>
  <si>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</si>
  <si>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</si>
  <si>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</si>
  <si>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</si>
  <si>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</si>
  <si>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</si>
  <si>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</si>
  <si>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</si>
  <si>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</si>
  <si>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</si>
  <si>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</si>
  <si>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</si>
  <si>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</si>
  <si>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</si>
  <si>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</si>
  <si>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</si>
  <si>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</si>
  <si>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</si>
  <si>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</si>
  <si>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</si>
  <si>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</si>
  <si>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</si>
  <si>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</si>
  <si>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</si>
  <si>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</si>
  <si>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</si>
  <si>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</si>
  <si>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</si>
  <si>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</si>
  <si>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</si>
  <si>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</si>
  <si>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</si>
  <si>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</si>
  <si>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</si>
  <si>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</si>
  <si>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</si>
  <si>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</si>
  <si>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</si>
  <si>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</si>
  <si>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</si>
  <si>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</si>
  <si>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</si>
  <si>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</si>
  <si>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</si>
  <si>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</si>
  <si>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</si>
  <si>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</si>
  <si>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</si>
  <si>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</si>
  <si>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</si>
  <si>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</si>
  <si>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</si>
  <si>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</si>
  <si>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</si>
  <si>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</si>
  <si>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</si>
  <si>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</si>
  <si>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</si>
  <si>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</si>
  <si>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</si>
  <si>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</si>
  <si>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</si>
  <si>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</si>
  <si>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</si>
  <si>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</si>
  <si>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</si>
  <si>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</si>
  <si>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</si>
  <si>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</si>
  <si>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</si>
  <si>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</si>
  <si>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</si>
  <si>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</si>
  <si>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</si>
  <si>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</si>
  <si>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</si>
  <si>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</si>
  <si>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</si>
  <si>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</si>
  <si>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</si>
  <si>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</si>
  <si>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</si>
  <si>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</si>
  <si>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</si>
  <si>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</si>
  <si>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</si>
  <si>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</si>
  <si>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</si>
  <si>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</si>
  <si>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</si>
  <si>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</si>
  <si>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</si>
  <si>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</si>
  <si>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</si>
  <si>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</si>
  <si>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</si>
  <si>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</si>
  <si>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</si>
  <si>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</si>
  <si>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</si>
  <si>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</si>
  <si>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</si>
  <si>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</si>
  <si>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</si>
  <si>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</si>
  <si>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</si>
  <si>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</si>
  <si>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</si>
  <si>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</si>
  <si>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</si>
  <si>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</si>
  <si>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</si>
  <si>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</si>
  <si>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</si>
  <si>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</si>
  <si>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</si>
  <si>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</si>
  <si>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</si>
  <si>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</si>
  <si>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</si>
  <si>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</si>
  <si>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</si>
  <si>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</si>
  <si>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</si>
  <si>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</si>
  <si>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</si>
  <si>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</si>
  <si>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</si>
  <si>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</si>
  <si>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</si>
  <si>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</si>
  <si>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</si>
  <si>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</si>
  <si>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</si>
  <si>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</si>
  <si>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</si>
  <si>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</si>
  <si>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</si>
  <si>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</si>
  <si>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</si>
  <si>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</si>
  <si>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</si>
  <si>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</si>
  <si>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</si>
  <si>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</si>
  <si>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</si>
  <si>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</si>
  <si>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</si>
  <si>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</si>
  <si>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</si>
  <si>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</si>
  <si>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</si>
  <si>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</si>
  <si>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</si>
  <si>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</si>
  <si>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</si>
  <si>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</si>
  <si>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</si>
  <si>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</si>
  <si>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</si>
  <si>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</si>
  <si>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</si>
  <si>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</si>
  <si>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</si>
  <si>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</si>
  <si>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</si>
  <si>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</si>
  <si>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</si>
  <si>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</si>
  <si>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</si>
  <si>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</si>
  <si>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</si>
  <si>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</si>
  <si>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</si>
  <si>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</si>
  <si>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</si>
  <si>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</si>
  <si>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</si>
  <si>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</si>
  <si>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</si>
  <si>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</si>
  <si>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</si>
  <si>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</si>
  <si>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</si>
  <si>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</si>
  <si>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</si>
  <si>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</si>
  <si>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</si>
  <si>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</si>
  <si>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</si>
  <si>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</si>
  <si>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</si>
  <si>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</si>
  <si>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</si>
  <si>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</si>
  <si>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</si>
  <si>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</si>
  <si>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</si>
  <si>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</si>
  <si>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</si>
  <si>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</si>
  <si>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</si>
  <si>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</si>
  <si>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</si>
  <si>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</si>
  <si>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</si>
  <si>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</si>
  <si>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</si>
  <si>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</si>
  <si>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</si>
  <si>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</si>
  <si>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</si>
  <si>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</si>
  <si>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</si>
  <si>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</si>
  <si>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</si>
  <si>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</si>
  <si>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</si>
  <si>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</si>
  <si>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</si>
  <si>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</si>
  <si>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</si>
  <si>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</si>
  <si>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</si>
  <si>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</si>
  <si>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</si>
  <si>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</si>
  <si>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</si>
  <si>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</si>
  <si>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</si>
  <si>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</si>
  <si>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</si>
  <si>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</si>
  <si>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</si>
  <si>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</si>
  <si>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</si>
  <si>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</si>
  <si>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</si>
  <si>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</si>
  <si>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</si>
  <si>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</si>
  <si>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</si>
  <si>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</si>
  <si>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</si>
  <si>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</si>
  <si>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</si>
  <si>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</si>
  <si>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</si>
  <si>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</si>
  <si>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</si>
  <si>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</si>
  <si>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</si>
  <si>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</si>
  <si>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</si>
  <si>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</si>
  <si>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</si>
  <si>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</si>
  <si>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</si>
  <si>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</si>
  <si>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</si>
  <si>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</si>
  <si>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</si>
  <si>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</si>
  <si>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</si>
  <si>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</si>
  <si>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</si>
  <si>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</si>
  <si>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</si>
  <si>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</si>
  <si>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</si>
  <si>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</si>
  <si>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</si>
  <si>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</si>
  <si>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</si>
  <si>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</si>
  <si>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</si>
  <si>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</si>
  <si>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</si>
  <si>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</si>
  <si>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</si>
  <si>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</si>
  <si>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</si>
  <si>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</si>
  <si>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</si>
  <si>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</si>
  <si>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</si>
  <si>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</si>
  <si>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</si>
  <si>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</si>
  <si>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</si>
  <si>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</si>
  <si>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</si>
  <si>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</si>
  <si>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</si>
  <si>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</si>
  <si>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</si>
  <si>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</si>
  <si>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</si>
  <si>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</si>
  <si>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</si>
  <si>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</si>
  <si>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</si>
  <si>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</si>
  <si>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</si>
  <si>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</si>
  <si>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</si>
  <si>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</si>
  <si>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</si>
  <si>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</si>
  <si>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</si>
  <si>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</si>
  <si>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</si>
  <si>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</si>
  <si>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</si>
  <si>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</si>
  <si>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</si>
  <si>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</si>
  <si>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</si>
  <si>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</si>
  <si>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</si>
  <si>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</si>
  <si>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</si>
  <si>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</si>
  <si>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</si>
  <si>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</si>
  <si>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</si>
  <si>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</si>
  <si>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</si>
  <si>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</si>
  <si>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</si>
  <si>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</si>
  <si>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</si>
  <si>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</si>
  <si>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</si>
  <si>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</si>
  <si>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</si>
  <si>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</si>
  <si>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</si>
  <si>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</si>
  <si>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</si>
  <si>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</si>
  <si>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</si>
  <si>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</si>
  <si>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</si>
  <si>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</si>
  <si>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</si>
  <si>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</si>
  <si>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</si>
  <si>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</si>
  <si>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</si>
  <si>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</si>
  <si>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</si>
  <si>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</si>
  <si>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</si>
  <si>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</si>
  <si>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</si>
  <si>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</si>
  <si>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</si>
  <si>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</si>
  <si>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</si>
  <si>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</si>
  <si>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</si>
  <si>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</si>
  <si>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</si>
  <si>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</si>
  <si>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</si>
  <si>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</si>
  <si>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</si>
  <si>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</si>
  <si>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</si>
  <si>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</si>
  <si>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</si>
  <si>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</si>
  <si>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</si>
  <si>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</si>
  <si>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</si>
  <si>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</si>
  <si>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</si>
  <si>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</si>
  <si>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</si>
  <si>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</si>
  <si>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</si>
  <si>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</si>
  <si>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</si>
  <si>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</si>
  <si>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</si>
  <si>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</si>
  <si>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</si>
  <si>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</si>
  <si>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</si>
  <si>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</si>
  <si>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</si>
  <si>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</si>
  <si>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</si>
  <si>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</si>
  <si>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</si>
  <si>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</si>
  <si>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</si>
  <si>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</si>
  <si>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</si>
  <si>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</si>
  <si>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</si>
  <si>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</si>
  <si>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</si>
  <si>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</si>
  <si>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</si>
  <si>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</si>
  <si>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</si>
  <si>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</si>
  <si>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</si>
  <si>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</si>
  <si>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</si>
  <si>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</si>
  <si>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</si>
  <si>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</si>
  <si>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</si>
  <si>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</si>
  <si>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</si>
  <si>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</si>
  <si>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</si>
  <si>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</si>
  <si>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</si>
  <si>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</si>
  <si>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</si>
  <si>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</si>
  <si>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</si>
  <si>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</si>
  <si>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</si>
  <si>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</si>
  <si>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</si>
  <si>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</si>
  <si>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</si>
  <si>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</si>
  <si>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</si>
  <si>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</si>
  <si>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</si>
  <si>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</si>
  <si>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</si>
  <si>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</si>
  <si>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</si>
  <si>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</si>
  <si>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</si>
  <si>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</si>
  <si>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</si>
  <si>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</si>
  <si>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</si>
  <si>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</si>
  <si>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</si>
  <si>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</si>
  <si>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</si>
  <si>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</si>
  <si>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</si>
  <si>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</si>
  <si>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</si>
  <si>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</si>
  <si>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</si>
  <si>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</si>
  <si>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</si>
  <si>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</si>
  <si>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</si>
  <si>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</si>
  <si>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</si>
  <si>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</si>
  <si>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</si>
  <si>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</si>
  <si>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</si>
  <si>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</si>
  <si>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</si>
  <si>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</si>
  <si>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</si>
  <si>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</si>
  <si>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</si>
  <si>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</si>
  <si>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</si>
  <si>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</si>
  <si>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</si>
  <si>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</si>
  <si>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</si>
  <si>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</si>
  <si>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</si>
  <si>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</si>
  <si>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</si>
  <si>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</si>
  <si>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</si>
  <si>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</si>
  <si>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</si>
  <si>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</si>
  <si>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</si>
  <si>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</si>
  <si>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</si>
  <si>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</si>
  <si>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</si>
  <si>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</si>
  <si>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</si>
  <si>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</si>
  <si>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</si>
  <si>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</si>
  <si>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</si>
  <si>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</si>
  <si>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</si>
  <si>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</si>
  <si>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</si>
  <si>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</si>
  <si>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</si>
  <si>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</si>
  <si>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</si>
  <si>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</si>
  <si>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</si>
  <si>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</si>
  <si>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</si>
  <si>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</si>
  <si>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</si>
  <si>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</si>
  <si>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</si>
  <si>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</si>
  <si>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</si>
  <si>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</si>
  <si>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</si>
  <si>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</si>
  <si>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</si>
  <si>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</si>
  <si>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</si>
  <si>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</si>
  <si>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</si>
  <si>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</si>
  <si>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</si>
  <si>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</si>
  <si>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</si>
  <si>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</si>
  <si>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</si>
  <si>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</si>
  <si>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</si>
  <si>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</si>
  <si>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</si>
  <si>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</si>
  <si>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</si>
  <si>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</si>
  <si>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</si>
  <si>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</si>
  <si>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</si>
  <si>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</si>
  <si>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</si>
  <si>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</si>
  <si>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</si>
  <si>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</si>
  <si>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</si>
  <si>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</si>
  <si>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</si>
  <si>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</si>
  <si>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</si>
  <si>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</si>
  <si>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</si>
  <si>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</si>
  <si>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</si>
  <si>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</si>
  <si>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</si>
  <si>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</si>
  <si>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</si>
  <si>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</si>
  <si>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</si>
  <si>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</si>
  <si>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</si>
  <si>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</si>
  <si>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</si>
  <si>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</si>
  <si>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</si>
  <si>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</si>
  <si>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</si>
  <si>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</si>
  <si>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</si>
  <si>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</si>
  <si>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</si>
  <si>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</si>
  <si>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</si>
  <si>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</si>
  <si>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</si>
  <si>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</si>
  <si>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</si>
  <si>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</si>
  <si>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</si>
  <si>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</si>
  <si>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</si>
  <si>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</si>
  <si>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</si>
  <si>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</si>
  <si>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</si>
  <si>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</si>
  <si>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</si>
  <si>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</si>
  <si>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</si>
  <si>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</si>
  <si>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</si>
  <si>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</si>
  <si>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</si>
  <si>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</si>
  <si>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</si>
  <si>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</si>
  <si>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</si>
  <si>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</si>
  <si>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</si>
  <si>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</si>
  <si>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</si>
  <si>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</si>
  <si>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</si>
  <si>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</si>
  <si>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</si>
  <si>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</si>
  <si>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</si>
  <si>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</si>
  <si>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</si>
  <si>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</si>
  <si>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</si>
  <si>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</si>
  <si>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</si>
  <si>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</si>
  <si>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</si>
  <si>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</si>
  <si>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</si>
  <si>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</si>
  <si>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</si>
  <si>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</si>
  <si>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</si>
  <si>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</si>
  <si>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</si>
  <si>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</si>
  <si>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</si>
  <si>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</si>
  <si>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</si>
  <si>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</si>
  <si>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</si>
  <si>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</si>
  <si>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</si>
  <si>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</si>
  <si>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</si>
  <si>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</si>
  <si>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</si>
  <si>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</si>
  <si>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</si>
  <si>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</si>
  <si>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</si>
  <si>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</si>
  <si>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</si>
  <si>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</si>
  <si>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</si>
  <si>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</si>
  <si>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</si>
  <si>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</si>
  <si>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</si>
  <si>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</si>
  <si>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</si>
  <si>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</si>
  <si>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</si>
  <si>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</si>
  <si>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</si>
  <si>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</si>
  <si>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</si>
  <si>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</si>
  <si>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</si>
  <si>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</si>
  <si>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</si>
  <si>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</si>
  <si>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</si>
  <si>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</si>
  <si>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</si>
  <si>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</si>
  <si>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</si>
  <si>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</si>
  <si>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</si>
  <si>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</si>
  <si>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</si>
  <si>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</si>
  <si>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</si>
  <si>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</si>
  <si>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</si>
  <si>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</si>
  <si>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</si>
  <si>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</si>
  <si>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</si>
  <si>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</si>
  <si>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</si>
  <si>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</si>
  <si>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</si>
  <si>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</si>
  <si>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</si>
  <si>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</si>
  <si>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</si>
  <si>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</si>
  <si>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</si>
  <si>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</si>
  <si>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</si>
  <si>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</si>
  <si>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</si>
  <si>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</si>
  <si>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</si>
  <si>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</si>
  <si>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</si>
  <si>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</si>
  <si>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</si>
  <si>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</si>
  <si>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</si>
  <si>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</si>
  <si>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</si>
  <si>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</si>
  <si>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</si>
  <si>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</si>
  <si>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</si>
  <si>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</si>
  <si>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</si>
  <si>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</si>
  <si>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</si>
  <si>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</si>
  <si>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</si>
  <si>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</si>
  <si>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</si>
  <si>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</si>
  <si>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</si>
  <si>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</si>
  <si>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</si>
  <si>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</si>
  <si>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</si>
  <si>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</si>
  <si>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</si>
  <si>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</si>
  <si>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</si>
  <si>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</si>
  <si>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</si>
  <si>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</si>
  <si>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</si>
  <si>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</si>
  <si>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</si>
  <si>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</si>
  <si>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</si>
  <si>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</si>
  <si>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</si>
  <si>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</si>
  <si>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</si>
  <si>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</si>
  <si>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</si>
  <si>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</si>
  <si>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</si>
  <si>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</si>
  <si>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</si>
  <si>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</si>
  <si>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</si>
  <si>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</si>
  <si>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</si>
  <si>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</si>
  <si>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</si>
  <si>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</si>
  <si>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</si>
  <si>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</si>
  <si>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</si>
  <si>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</si>
  <si>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</si>
  <si>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</si>
  <si>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</si>
  <si>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</si>
  <si>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</si>
  <si>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</si>
  <si>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</si>
  <si>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</si>
  <si>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</si>
  <si>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</si>
  <si>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</si>
  <si>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</si>
  <si>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</si>
  <si>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</si>
  <si>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</si>
  <si>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</si>
  <si>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</si>
  <si>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</si>
  <si>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</si>
  <si>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</si>
  <si>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</si>
  <si>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</si>
  <si>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</si>
  <si>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</si>
  <si>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</si>
  <si>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</si>
  <si>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You have </t>
    </r>
    <r>
      <rPr>
        <b/>
        <sz val="10"/>
        <rFont val="Arial"/>
        <family val="2"/>
      </rPr>
      <t>560</t>
    </r>
    <r>
      <rPr>
        <sz val="10"/>
        <rFont val="Arial"/>
        <family val="2"/>
      </rPr>
      <t xml:space="preserve"> starting acres to construct:</t>
    </r>
  </si>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</sst>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c r="A1" s="488" t="s">
        <v>449</v>
      </c>
      <c r="B1" s="488"/>
      <c r="C1" s="488"/>
      <c r="D1" s="488"/>
      <c r="E1" s="488"/>
      <c r="F1" s="488"/>
      <c r="G1" s="488"/>
      <c r="H1" s="488"/>
      <c r="I1" s="488"/>
      <c r="J1" s="488"/>
      <c r="K1" s="488"/>
      <c r="L1" s="489"/>
      <c r="M1" s="495" t="s">
        <v>1036</v>
      </c>
      <c r="N1" s="496"/>
      <c r="O1" s="497"/>
    </row>
    <row r="2" spans="1:15" s="44" customFormat="1" ht="12.75" customHeight="1">
      <c r="A2" s="524" t="s">
        <v>1073</v>
      </c>
      <c r="B2" s="525"/>
      <c r="C2" s="525"/>
      <c r="D2" s="525"/>
      <c r="E2" s="525"/>
      <c r="F2" s="525"/>
      <c r="G2" s="525"/>
      <c r="H2" s="525"/>
      <c r="I2" s="525"/>
      <c r="J2" s="525"/>
      <c r="K2" s="525"/>
      <c r="L2" s="526"/>
      <c r="M2" s="512" t="s">
        <v>1104</v>
      </c>
      <c r="N2" s="513"/>
      <c r="O2" s="514"/>
    </row>
    <row r="3" spans="1:15" s="44" customFormat="1">
      <c r="A3" s="524"/>
      <c r="B3" s="525"/>
      <c r="C3" s="525"/>
      <c r="D3" s="525"/>
      <c r="E3" s="525"/>
      <c r="F3" s="525"/>
      <c r="G3" s="525"/>
      <c r="H3" s="525"/>
      <c r="I3" s="525"/>
      <c r="J3" s="525"/>
      <c r="K3" s="525"/>
      <c r="L3" s="526"/>
      <c r="M3" s="512"/>
      <c r="N3" s="513"/>
      <c r="O3" s="514"/>
    </row>
    <row r="4" spans="1:15" s="44" customFormat="1">
      <c r="A4" s="524"/>
      <c r="B4" s="525"/>
      <c r="C4" s="525"/>
      <c r="D4" s="525"/>
      <c r="E4" s="525"/>
      <c r="F4" s="525"/>
      <c r="G4" s="525"/>
      <c r="H4" s="525"/>
      <c r="I4" s="525"/>
      <c r="J4" s="525"/>
      <c r="K4" s="525"/>
      <c r="L4" s="526"/>
      <c r="M4" s="512"/>
      <c r="N4" s="513"/>
      <c r="O4" s="514"/>
    </row>
    <row r="5" spans="1:15" s="44" customFormat="1">
      <c r="A5" s="524"/>
      <c r="B5" s="525"/>
      <c r="C5" s="525"/>
      <c r="D5" s="525"/>
      <c r="E5" s="525"/>
      <c r="F5" s="525"/>
      <c r="G5" s="525"/>
      <c r="H5" s="525"/>
      <c r="I5" s="525"/>
      <c r="J5" s="525"/>
      <c r="K5" s="525"/>
      <c r="L5" s="526"/>
      <c r="M5" s="512"/>
      <c r="N5" s="513"/>
      <c r="O5" s="514"/>
    </row>
    <row r="6" spans="1:15" s="44" customFormat="1">
      <c r="A6" s="524"/>
      <c r="B6" s="525"/>
      <c r="C6" s="525"/>
      <c r="D6" s="525"/>
      <c r="E6" s="525"/>
      <c r="F6" s="525"/>
      <c r="G6" s="525"/>
      <c r="H6" s="525"/>
      <c r="I6" s="525"/>
      <c r="J6" s="525"/>
      <c r="K6" s="525"/>
      <c r="L6" s="526"/>
      <c r="M6" s="512"/>
      <c r="N6" s="513"/>
      <c r="O6" s="514"/>
    </row>
    <row r="7" spans="1:15" s="44" customFormat="1" ht="13.5" thickBot="1">
      <c r="A7" s="527"/>
      <c r="B7" s="528"/>
      <c r="C7" s="528"/>
      <c r="D7" s="528"/>
      <c r="E7" s="528"/>
      <c r="F7" s="528"/>
      <c r="G7" s="528"/>
      <c r="H7" s="528"/>
      <c r="I7" s="528"/>
      <c r="J7" s="528"/>
      <c r="K7" s="528"/>
      <c r="L7" s="529"/>
      <c r="M7" s="512"/>
      <c r="N7" s="513"/>
      <c r="O7" s="514"/>
    </row>
    <row r="8" spans="1:15" s="44" customFormat="1" ht="15.75">
      <c r="A8" s="490" t="s">
        <v>448</v>
      </c>
      <c r="B8" s="491"/>
      <c r="C8" s="491"/>
      <c r="D8" s="491"/>
      <c r="E8" s="491"/>
      <c r="F8" s="491"/>
      <c r="G8" s="491"/>
      <c r="H8" s="491"/>
      <c r="I8" s="492"/>
      <c r="J8" s="498" t="s">
        <v>1163</v>
      </c>
      <c r="K8" s="499"/>
      <c r="L8" s="500"/>
      <c r="M8" s="515"/>
      <c r="N8" s="516"/>
      <c r="O8" s="517"/>
    </row>
    <row r="9" spans="1:15" s="44" customFormat="1" ht="12.75" customHeight="1">
      <c r="A9" s="493" t="s">
        <v>1164</v>
      </c>
      <c r="B9" s="494"/>
      <c r="C9" s="494"/>
      <c r="D9" s="494"/>
      <c r="E9" s="494"/>
      <c r="F9" s="494"/>
      <c r="G9" s="494"/>
      <c r="H9" s="494"/>
      <c r="I9" s="494"/>
      <c r="J9" s="501"/>
      <c r="K9" s="502"/>
      <c r="L9" s="503"/>
      <c r="M9" s="515"/>
      <c r="N9" s="516"/>
      <c r="O9" s="517"/>
    </row>
    <row r="10" spans="1:15" s="44" customFormat="1" ht="12.75" customHeight="1">
      <c r="A10" s="493"/>
      <c r="B10" s="494"/>
      <c r="C10" s="494"/>
      <c r="D10" s="494"/>
      <c r="E10" s="494"/>
      <c r="F10" s="494"/>
      <c r="G10" s="494"/>
      <c r="H10" s="494"/>
      <c r="I10" s="494"/>
      <c r="J10" s="501"/>
      <c r="K10" s="502"/>
      <c r="L10" s="503"/>
      <c r="M10" s="515"/>
      <c r="N10" s="516"/>
      <c r="O10" s="517"/>
    </row>
    <row r="11" spans="1:15" s="44" customFormat="1" ht="12.75" customHeight="1">
      <c r="A11" s="493"/>
      <c r="B11" s="494"/>
      <c r="C11" s="494"/>
      <c r="D11" s="494"/>
      <c r="E11" s="494"/>
      <c r="F11" s="494"/>
      <c r="G11" s="494"/>
      <c r="H11" s="494"/>
      <c r="I11" s="494"/>
      <c r="J11" s="501"/>
      <c r="K11" s="502"/>
      <c r="L11" s="503"/>
      <c r="M11" s="515"/>
      <c r="N11" s="516"/>
      <c r="O11" s="517"/>
    </row>
    <row r="12" spans="1:15" s="44" customFormat="1" ht="28.5" customHeight="1" thickBot="1">
      <c r="A12" s="493"/>
      <c r="B12" s="494"/>
      <c r="C12" s="494"/>
      <c r="D12" s="494"/>
      <c r="E12" s="494"/>
      <c r="F12" s="494"/>
      <c r="G12" s="494"/>
      <c r="H12" s="494"/>
      <c r="I12" s="494"/>
      <c r="J12" s="504"/>
      <c r="K12" s="505"/>
      <c r="L12" s="506"/>
      <c r="M12" s="518"/>
      <c r="N12" s="519"/>
      <c r="O12" s="520"/>
    </row>
    <row r="13" spans="1:15" s="44" customFormat="1" ht="25.5" customHeight="1" thickBot="1">
      <c r="A13" s="521" t="s">
        <v>256</v>
      </c>
      <c r="B13" s="522"/>
      <c r="C13" s="523"/>
      <c r="D13" s="523"/>
      <c r="E13" s="523"/>
      <c r="F13" s="523"/>
      <c r="G13" s="523"/>
      <c r="H13" s="523"/>
      <c r="I13" s="523"/>
      <c r="J13" s="523"/>
      <c r="K13" s="523"/>
      <c r="L13" s="523"/>
      <c r="M13" s="523"/>
      <c r="N13" s="523"/>
      <c r="O13" s="523"/>
    </row>
    <row r="14" spans="1:15" s="52" customFormat="1" ht="12.75" customHeight="1">
      <c r="A14" s="45" t="s">
        <v>28</v>
      </c>
      <c r="B14" s="130" t="s">
        <v>89</v>
      </c>
      <c r="C14" s="46"/>
      <c r="D14" s="47" t="s">
        <v>321</v>
      </c>
      <c r="E14" s="47" t="s">
        <v>769</v>
      </c>
      <c r="F14" s="44"/>
      <c r="G14" s="44"/>
      <c r="K14" s="44" t="s">
        <v>1162</v>
      </c>
      <c r="L14" s="44"/>
      <c r="M14" s="44"/>
      <c r="O14" s="79"/>
    </row>
    <row r="15" spans="1:15" s="44" customFormat="1" ht="12.75" customHeight="1">
      <c r="A15" s="45" t="s">
        <v>446</v>
      </c>
      <c r="B15" s="131">
        <v>45815</v>
      </c>
      <c r="D15" s="45" t="s">
        <v>322</v>
      </c>
      <c r="E15" s="53">
        <f>B15+(1+B16-1)/24+B18-0/24</f>
        <v>45815</v>
      </c>
      <c r="H15" s="47" t="s">
        <v>485</v>
      </c>
      <c r="I15" s="48" t="s">
        <v>206</v>
      </c>
      <c r="K15" s="5" t="s">
        <v>49</v>
      </c>
      <c r="L15" s="45" t="s">
        <v>216</v>
      </c>
      <c r="O15" s="51"/>
    </row>
    <row r="16" spans="1:15" s="44" customFormat="1" ht="12.75" customHeight="1" thickBot="1">
      <c r="A16" s="45" t="s">
        <v>318</v>
      </c>
      <c r="B16" s="132">
        <v>0</v>
      </c>
      <c r="C16" s="44" t="s">
        <v>525</v>
      </c>
      <c r="D16" s="45" t="s">
        <v>315</v>
      </c>
      <c r="E16" s="53">
        <f ca="1">NOW()</f>
        <v>45874.430961574071</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c r="A17" s="45" t="s">
        <v>319</v>
      </c>
      <c r="B17" s="55">
        <f ca="1">TODAY()</f>
        <v>45874</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c r="A34" s="65"/>
      <c r="D34" s="66"/>
      <c r="E34" s="67"/>
      <c r="H34" s="210"/>
      <c r="I34" s="469"/>
      <c r="K34" s="45" t="s">
        <v>46</v>
      </c>
      <c r="L34" s="472">
        <v>0</v>
      </c>
      <c r="O34" s="60"/>
    </row>
    <row r="35" spans="1:21" s="69" customFormat="1">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c r="A36" s="510" t="s">
        <v>375</v>
      </c>
      <c r="B36" s="486"/>
      <c r="C36" s="486"/>
      <c r="D36" s="486"/>
      <c r="E36" s="486"/>
      <c r="F36" s="486"/>
      <c r="G36" s="486"/>
      <c r="H36" s="486"/>
      <c r="I36" s="486"/>
      <c r="J36" s="511"/>
      <c r="K36" s="511"/>
      <c r="L36" s="511"/>
      <c r="M36" s="511"/>
      <c r="N36" s="511"/>
      <c r="O36" s="511"/>
    </row>
    <row r="37" spans="1:21">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c r="A39" s="80" t="str">
        <f>spec_op_name</f>
        <v>Spearman</v>
      </c>
      <c r="B39" s="85">
        <f ca="1">Military!E$40</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5"/>
      <c r="L39" s="507" t="s">
        <v>427</v>
      </c>
      <c r="M39" s="507"/>
      <c r="N39" s="507"/>
      <c r="O39" s="508"/>
      <c r="R39" s="5"/>
      <c r="U39" s="124"/>
    </row>
    <row r="40" spans="1:21">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c r="A44" s="101" t="s">
        <v>24</v>
      </c>
      <c r="B44" s="94">
        <f ca="1">F44</f>
        <v>332</v>
      </c>
      <c r="C44" s="101"/>
      <c r="E44" s="102"/>
      <c r="F44" s="94">
        <f ca="1">Military!AA40</f>
        <v>332</v>
      </c>
      <c r="H44" s="94">
        <f ca="1">F44*(1+$G$39)</f>
        <v>332</v>
      </c>
      <c r="I44" s="89" t="s">
        <v>418</v>
      </c>
      <c r="J44" s="44"/>
      <c r="K44" s="465"/>
      <c r="L44" s="507" t="s">
        <v>445</v>
      </c>
      <c r="M44" s="507"/>
      <c r="N44" s="507"/>
      <c r="O44" s="508"/>
      <c r="R44" s="468"/>
      <c r="S44" s="468"/>
      <c r="T44" s="468"/>
      <c r="U44" s="468"/>
    </row>
    <row r="45" spans="1:21" ht="13.5" thickBot="1">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c r="C46" s="101"/>
      <c r="E46" s="102"/>
      <c r="F46" s="35">
        <f ca="1">F44+F43+F45</f>
        <v>332</v>
      </c>
      <c r="H46" s="100">
        <f ca="1">H44+H43+H45</f>
        <v>332</v>
      </c>
      <c r="I46" s="89"/>
      <c r="J46" s="44"/>
      <c r="K46" s="465"/>
      <c r="L46" s="507"/>
      <c r="M46" s="507"/>
      <c r="N46" s="507"/>
      <c r="O46" s="508"/>
      <c r="R46" s="467"/>
      <c r="S46" s="467"/>
      <c r="T46" s="467"/>
      <c r="U46" s="467"/>
    </row>
    <row r="47" spans="1:21">
      <c r="A47" s="44"/>
      <c r="B47" s="44"/>
      <c r="C47" s="44"/>
      <c r="D47" s="484"/>
      <c r="E47" s="484"/>
      <c r="F47" s="484"/>
      <c r="G47" s="484"/>
      <c r="H47" s="484"/>
      <c r="I47" s="44"/>
      <c r="J47" s="44"/>
      <c r="K47" s="44"/>
      <c r="L47" s="44"/>
      <c r="M47" s="44"/>
      <c r="N47" s="44"/>
      <c r="O47" s="51"/>
      <c r="R47" s="467"/>
      <c r="S47" s="467"/>
      <c r="T47" s="467"/>
      <c r="U47" s="467"/>
    </row>
    <row r="48" spans="1:21">
      <c r="A48" s="105" t="str">
        <f>A26</f>
        <v>Spy</v>
      </c>
      <c r="B48" s="402">
        <f ca="1">Military!I40</f>
        <v>0</v>
      </c>
      <c r="D48" s="44"/>
      <c r="E48" s="44"/>
      <c r="F48" s="44"/>
      <c r="G48" s="44"/>
      <c r="I48" s="44"/>
      <c r="J48" s="44"/>
      <c r="K48" s="44"/>
      <c r="L48" s="50" t="s">
        <v>425</v>
      </c>
      <c r="M48" s="44"/>
      <c r="N48" s="44"/>
      <c r="O48" s="51"/>
    </row>
    <row r="49" spans="1:15">
      <c r="A49" s="463" t="s">
        <v>1144</v>
      </c>
      <c r="B49" s="415">
        <f ca="1">Military!J40</f>
        <v>0</v>
      </c>
      <c r="C49" s="44"/>
      <c r="D49" s="5" t="s">
        <v>252</v>
      </c>
      <c r="E49" s="57" t="s">
        <v>353</v>
      </c>
      <c r="F49" s="45" t="s">
        <v>1009</v>
      </c>
      <c r="G49" s="44"/>
      <c r="H49" s="50" t="s">
        <v>254</v>
      </c>
      <c r="I49" s="44"/>
      <c r="J49" s="44"/>
      <c r="K49" s="44"/>
      <c r="L49" s="485" t="s">
        <v>450</v>
      </c>
      <c r="M49" s="486"/>
      <c r="N49" s="486"/>
      <c r="O49" s="487"/>
    </row>
    <row r="50" spans="1:15">
      <c r="A50" s="416" t="str">
        <f>A28</f>
        <v>Wizard</v>
      </c>
      <c r="B50" s="417">
        <f ca="1">Military!K40</f>
        <v>0</v>
      </c>
      <c r="C50" s="44"/>
      <c r="D50" s="47" t="s">
        <v>1</v>
      </c>
      <c r="E50" s="462">
        <f ca="1">Construction!BT40</f>
        <v>50</v>
      </c>
      <c r="F50" s="106">
        <v>1</v>
      </c>
      <c r="G50" s="44"/>
      <c r="H50" s="45" t="s">
        <v>255</v>
      </c>
      <c r="I50" s="107" t="s">
        <v>188</v>
      </c>
      <c r="J50" s="57" t="s">
        <v>227</v>
      </c>
      <c r="K50" s="44"/>
      <c r="L50" s="486"/>
      <c r="M50" s="486"/>
      <c r="N50" s="486"/>
      <c r="O50" s="487"/>
    </row>
    <row r="51" spans="1:15">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c r="A53" s="105" t="s">
        <v>266</v>
      </c>
      <c r="B53" s="402">
        <f ca="1">_xlfn.FLOOR.MATH(Production!N40)*(boat_size + tech_6_3_3*Techs!BH76)</f>
        <v>0</v>
      </c>
      <c r="C53" s="44"/>
      <c r="D53" s="108" t="str">
        <f>Construction!BA3</f>
        <v>Tot Farm</v>
      </c>
      <c r="E53" s="45">
        <f ca="1">Construction!BA40</f>
        <v>30</v>
      </c>
      <c r="F53" s="110">
        <f ca="1">E53/$E$50</f>
        <v>0.6</v>
      </c>
      <c r="G53" s="44"/>
      <c r="H53" s="45" t="s">
        <v>251</v>
      </c>
      <c r="I53" s="111">
        <f ca="1">(B48 + B49*2 + B41*D94*E94 + B41*D95*E95)/E50</f>
        <v>0</v>
      </c>
      <c r="J53" s="111">
        <f ca="1">I53*(1+I27)</f>
        <v>0</v>
      </c>
      <c r="K53" s="44"/>
      <c r="L53" s="486"/>
      <c r="M53" s="486"/>
      <c r="N53" s="486"/>
      <c r="O53" s="487"/>
    </row>
    <row r="54" spans="1:15">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c r="C55" s="44"/>
      <c r="D55" s="108" t="str">
        <f>Construction!BC3</f>
        <v>Tot Mas</v>
      </c>
      <c r="E55" s="45">
        <f ca="1">Construction!BC40</f>
        <v>0</v>
      </c>
      <c r="F55" s="110">
        <f t="shared" ca="1" si="0"/>
        <v>0</v>
      </c>
      <c r="G55" s="44"/>
      <c r="H55" s="44"/>
      <c r="I55" s="44"/>
      <c r="J55" s="44"/>
      <c r="K55" s="44"/>
      <c r="L55" s="210"/>
      <c r="M55" s="466"/>
      <c r="N55" s="210"/>
      <c r="O55" s="51"/>
    </row>
    <row r="56" spans="1:15">
      <c r="A56" s="113" t="s">
        <v>1</v>
      </c>
      <c r="B56" s="399">
        <f ca="1">E50</f>
        <v>50</v>
      </c>
      <c r="C56" s="44"/>
      <c r="D56" s="108" t="str">
        <f>Construction!BD3</f>
        <v>Tot Ly</v>
      </c>
      <c r="E56" s="45">
        <f ca="1">Construction!BD40</f>
        <v>20</v>
      </c>
      <c r="F56" s="110">
        <f t="shared" ca="1" si="0"/>
        <v>0.4</v>
      </c>
      <c r="G56" s="44"/>
      <c r="H56" s="50" t="s">
        <v>2</v>
      </c>
      <c r="I56" s="44"/>
      <c r="J56" s="44"/>
      <c r="K56" s="44"/>
      <c r="L56" s="210"/>
      <c r="M56" s="466"/>
      <c r="N56" s="210"/>
      <c r="O56" s="51"/>
    </row>
    <row r="57" spans="1:15">
      <c r="A57" s="114" t="s">
        <v>21</v>
      </c>
      <c r="B57" s="400">
        <f ca="1">Population!C40</f>
        <v>437</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c r="A58" s="115" t="s">
        <v>24</v>
      </c>
      <c r="B58" s="401">
        <f ca="1">B44</f>
        <v>332</v>
      </c>
      <c r="C58" s="44"/>
      <c r="D58" s="108" t="str">
        <f>Construction!BF3</f>
        <v>Tot OM</v>
      </c>
      <c r="E58" s="45">
        <f ca="1">Construction!BF40</f>
        <v>0</v>
      </c>
      <c r="F58" s="110">
        <f t="shared" ca="1" si="0"/>
        <v>0</v>
      </c>
      <c r="G58" s="44"/>
      <c r="H58" s="116">
        <v>37</v>
      </c>
      <c r="I58" s="61">
        <f ca="1">Production!H28</f>
        <v>83936</v>
      </c>
      <c r="J58" s="61">
        <f ca="1">Production!H28+SUM(Military!AS4:AS28)</f>
        <v>83936</v>
      </c>
      <c r="K58" s="44"/>
      <c r="L58" s="210"/>
      <c r="M58" s="466"/>
      <c r="N58" s="210"/>
      <c r="O58" s="51"/>
    </row>
    <row r="59" spans="1:15">
      <c r="A59" s="114" t="s">
        <v>230</v>
      </c>
      <c r="B59" s="400">
        <f ca="1">Production!G40</f>
        <v>1250</v>
      </c>
      <c r="C59" s="44"/>
      <c r="D59" s="108" t="str">
        <f>Construction!BG3</f>
        <v>Tot GN</v>
      </c>
      <c r="E59" s="45">
        <f ca="1">Construction!BG40</f>
        <v>0</v>
      </c>
      <c r="F59" s="110">
        <f t="shared" ca="1" si="0"/>
        <v>0</v>
      </c>
      <c r="G59" s="44"/>
      <c r="H59" s="116">
        <v>40</v>
      </c>
      <c r="I59" s="61">
        <f ca="1">Production!H31</f>
        <v>87895</v>
      </c>
      <c r="J59" s="61">
        <f ca="1">Production!H31+SUM(Military!AS5:AS31)</f>
        <v>87895</v>
      </c>
      <c r="K59" s="117"/>
      <c r="L59" s="210"/>
      <c r="M59" s="466"/>
      <c r="N59" s="210"/>
      <c r="O59" s="51"/>
    </row>
    <row r="60" spans="1:15">
      <c r="A60" s="115" t="s">
        <v>265</v>
      </c>
      <c r="B60" s="401">
        <f ca="1">H43</f>
        <v>0</v>
      </c>
      <c r="C60" s="44"/>
      <c r="D60" s="108" t="str">
        <f>Construction!BJ3</f>
        <v>Tot Bar</v>
      </c>
      <c r="E60" s="45">
        <f ca="1">Construction!BJ40</f>
        <v>0</v>
      </c>
      <c r="F60" s="110">
        <f t="shared" ca="1" si="0"/>
        <v>0</v>
      </c>
      <c r="G60" s="44"/>
      <c r="H60" s="116" t="s">
        <v>229</v>
      </c>
      <c r="I60" s="61">
        <f ca="1">Production!H40</f>
        <v>99052</v>
      </c>
      <c r="J60" s="61">
        <f ca="1">Production!H40+SUM(Military!AS4:AS40)</f>
        <v>99052</v>
      </c>
      <c r="K60" s="117"/>
      <c r="L60" s="210"/>
      <c r="M60" s="466"/>
      <c r="N60" s="210"/>
      <c r="O60" s="51"/>
    </row>
    <row r="61" spans="1:15">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c r="A62" s="115" t="s">
        <v>6</v>
      </c>
      <c r="B62" s="401">
        <f ca="1">Production!S40</f>
        <v>1179</v>
      </c>
      <c r="C62" s="44"/>
      <c r="D62" s="108" t="str">
        <f>Construction!BI3</f>
        <v>Tot GT</v>
      </c>
      <c r="E62" s="45">
        <f ca="1">Construction!BI40</f>
        <v>0</v>
      </c>
      <c r="F62" s="110">
        <f t="shared" ca="1" si="0"/>
        <v>0</v>
      </c>
      <c r="G62" s="44"/>
      <c r="H62" s="50" t="s">
        <v>275</v>
      </c>
      <c r="I62" s="44"/>
      <c r="J62" s="44"/>
      <c r="K62" s="44"/>
      <c r="L62" s="210"/>
      <c r="M62" s="466"/>
      <c r="N62" s="210"/>
      <c r="O62" s="51"/>
    </row>
    <row r="63" spans="1:15">
      <c r="A63" s="114" t="s">
        <v>2</v>
      </c>
      <c r="B63" s="400">
        <f ca="1">Production!H$40</f>
        <v>99052</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c r="A64" s="115" t="s">
        <v>5</v>
      </c>
      <c r="B64" s="401">
        <f ca="1">Production!I$40</f>
        <v>83088</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c r="A70" s="115" t="s">
        <v>273</v>
      </c>
      <c r="B70" s="401">
        <f>SUM(Explore!T65:Z76)+SUM(Explore!S77:S87)*15</f>
        <v>0</v>
      </c>
      <c r="C70" s="44"/>
      <c r="D70" s="73" t="str">
        <f>B73</f>
        <v>Plain</v>
      </c>
      <c r="E70" s="119">
        <f ca="1">Construction!DG40</f>
        <v>30</v>
      </c>
      <c r="F70" s="120">
        <f ca="1">E70/E50</f>
        <v>0.6</v>
      </c>
      <c r="G70" s="44"/>
      <c r="I70" s="44"/>
      <c r="K70" s="44"/>
      <c r="L70" s="44"/>
      <c r="M70" s="44"/>
      <c r="N70" s="44"/>
      <c r="O70" s="51"/>
    </row>
    <row r="71" spans="1:15">
      <c r="A71" s="114" t="s">
        <v>274</v>
      </c>
      <c r="B71" s="400">
        <f>Construction!D40</f>
        <v>0</v>
      </c>
      <c r="C71" s="44"/>
      <c r="D71" s="5" t="s">
        <v>357</v>
      </c>
      <c r="E71" s="35">
        <f ca="1">E50-SUM(E51:E69)-B71</f>
        <v>0</v>
      </c>
      <c r="F71" s="123">
        <f ca="1">E71/E50</f>
        <v>0</v>
      </c>
      <c r="G71" s="44"/>
      <c r="H71" s="44"/>
      <c r="I71" s="44"/>
      <c r="J71" s="44"/>
      <c r="K71" s="44"/>
      <c r="L71" s="44"/>
      <c r="M71" s="44"/>
      <c r="N71" s="44"/>
      <c r="O71" s="51"/>
    </row>
    <row r="72" spans="1:15">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c r="A73" s="121" t="s">
        <v>377</v>
      </c>
      <c r="B73" s="122" t="str">
        <f>VLOOKUP($B$14,Races!$A$4:$C$120,3,FALSE)</f>
        <v>Plain</v>
      </c>
      <c r="C73" s="44"/>
      <c r="D73" s="44"/>
      <c r="E73" s="44"/>
      <c r="F73" s="44"/>
      <c r="G73" s="44"/>
      <c r="H73" s="44"/>
      <c r="I73" s="44"/>
      <c r="J73" s="44"/>
      <c r="K73" s="44"/>
      <c r="L73" s="44"/>
      <c r="M73" s="44"/>
      <c r="N73" s="44"/>
      <c r="O73" s="51"/>
    </row>
    <row r="74" spans="1:15">
      <c r="A74" s="44"/>
      <c r="B74" s="44"/>
      <c r="C74" s="44"/>
      <c r="D74" s="44"/>
      <c r="E74" s="44"/>
      <c r="F74" s="44"/>
      <c r="G74" s="44"/>
      <c r="H74" s="44"/>
      <c r="I74" s="44"/>
      <c r="J74" s="44"/>
      <c r="K74" s="44"/>
      <c r="L74" s="44"/>
      <c r="M74" s="44"/>
      <c r="N74" s="44"/>
      <c r="O74" s="51"/>
    </row>
    <row r="75" spans="1:15">
      <c r="A75" s="44"/>
      <c r="B75" s="44"/>
      <c r="C75" s="69"/>
      <c r="D75" s="69"/>
      <c r="E75" s="69"/>
      <c r="F75" s="69"/>
      <c r="G75" s="69"/>
      <c r="H75" s="69"/>
      <c r="I75" s="69"/>
      <c r="J75" s="69"/>
      <c r="K75" s="69"/>
      <c r="L75" s="69"/>
      <c r="M75" s="69"/>
      <c r="N75" s="69"/>
      <c r="O75" s="72"/>
    </row>
    <row r="76" spans="1:15">
      <c r="A76" s="482" t="s">
        <v>286</v>
      </c>
      <c r="B76" s="483"/>
      <c r="C76" s="124"/>
      <c r="D76" s="124"/>
      <c r="E76" s="124"/>
    </row>
    <row r="77" spans="1:15">
      <c r="A77" s="125" t="s">
        <v>287</v>
      </c>
      <c r="B77" s="126"/>
      <c r="C77" s="124"/>
      <c r="D77" s="124"/>
      <c r="E77" s="126"/>
    </row>
    <row r="78" spans="1:15">
      <c r="A78" s="127" t="s">
        <v>289</v>
      </c>
      <c r="B78" s="127" t="s">
        <v>290</v>
      </c>
      <c r="C78" s="127" t="s">
        <v>292</v>
      </c>
      <c r="D78" s="127" t="s">
        <v>291</v>
      </c>
      <c r="E78" s="124"/>
    </row>
    <row r="79" spans="1:15">
      <c r="A79" s="124" t="s">
        <v>92</v>
      </c>
      <c r="B79" s="124" t="s">
        <v>1129</v>
      </c>
      <c r="C79" s="128"/>
      <c r="D79" s="128">
        <f ca="1">IF(Constants!F118="none",$F$70/Constants!C118,MIN(Constants!F118,$F$70/Constants!C118))</f>
        <v>2</v>
      </c>
      <c r="E79" s="124" t="b">
        <f>$B$14=A79</f>
        <v>0</v>
      </c>
    </row>
    <row r="80" spans="1:15">
      <c r="A80" s="124"/>
      <c r="B80" s="124" t="s">
        <v>125</v>
      </c>
      <c r="C80" s="128">
        <f ca="1">IF(Constants!F119="none",$F$70/Constants!C119,MIN(Constants!F119,$F$70/Constants!C119))</f>
        <v>2</v>
      </c>
      <c r="D80" s="128">
        <f ca="1">IF(Constants!F120="none",$F$70/Constants!C120,MIN(Constants!F120,$F$70/Constants!C120))</f>
        <v>2</v>
      </c>
      <c r="E80" s="124"/>
    </row>
    <row r="81" spans="1:5">
      <c r="A81" s="124" t="s">
        <v>96</v>
      </c>
      <c r="B81" s="124" t="s">
        <v>139</v>
      </c>
      <c r="C81" s="128"/>
      <c r="D81" s="128">
        <f ca="1">MIN(Constants!F121,$F$70/Constants!C121)</f>
        <v>2.9999999999999996</v>
      </c>
      <c r="E81" s="124" t="b">
        <f>$B$14=A81</f>
        <v>0</v>
      </c>
    </row>
    <row r="82" spans="1:5">
      <c r="A82" s="124" t="s">
        <v>94</v>
      </c>
      <c r="B82" s="124" t="s">
        <v>132</v>
      </c>
      <c r="C82" s="128"/>
      <c r="D82" s="128">
        <f ca="1">MIN(Constants!F122,$F$70/Constants!C122)</f>
        <v>2</v>
      </c>
      <c r="E82" s="124" t="b">
        <f>$B$14=A82</f>
        <v>0</v>
      </c>
    </row>
    <row r="83" spans="1:5">
      <c r="A83" s="124" t="s">
        <v>99</v>
      </c>
      <c r="B83" s="124" t="s">
        <v>147</v>
      </c>
      <c r="C83" s="128">
        <f ca="1">MIN(Constants!F123,F66/Constants!C123)</f>
        <v>0</v>
      </c>
      <c r="D83" s="128">
        <f ca="1">MIN(Constants!F124,F66/Constants!C124)</f>
        <v>0</v>
      </c>
      <c r="E83" s="124" t="b">
        <f>$B$14=A83</f>
        <v>0</v>
      </c>
    </row>
    <row r="84" spans="1:5">
      <c r="A84" s="124" t="s">
        <v>328</v>
      </c>
      <c r="B84" s="124" t="s">
        <v>331</v>
      </c>
      <c r="C84" s="124"/>
      <c r="D84" s="128">
        <f ca="1">MIN(Constants!F125,F70/Constants!C125)</f>
        <v>2.9999999999999996</v>
      </c>
      <c r="E84" s="124" t="b">
        <f>$B$14=A84</f>
        <v>0</v>
      </c>
    </row>
    <row r="85" spans="1:5">
      <c r="A85" s="124"/>
      <c r="B85" s="124" t="s">
        <v>332</v>
      </c>
      <c r="C85" s="124">
        <f ca="1">MIN(Constants!F126,I54*Constants!C126)</f>
        <v>0</v>
      </c>
      <c r="D85" s="124"/>
      <c r="E85" s="124"/>
    </row>
    <row r="86" spans="1:5">
      <c r="A86" s="124" t="s">
        <v>143</v>
      </c>
      <c r="B86" s="124" t="s">
        <v>373</v>
      </c>
      <c r="C86" s="124"/>
      <c r="D86" s="128">
        <f>MIN(Constants!F127,250/Constants!C127)</f>
        <v>0</v>
      </c>
      <c r="E86" s="124" t="b">
        <f>$B$14=A86</f>
        <v>0</v>
      </c>
    </row>
    <row r="87" spans="1:5">
      <c r="A87" s="124" t="s">
        <v>143</v>
      </c>
      <c r="B87" s="124" t="s">
        <v>356</v>
      </c>
      <c r="C87" s="129">
        <f>MIN(bone_breaker_cap,250/bone_breaker_bonus)</f>
        <v>0.83333333333333337</v>
      </c>
      <c r="E87" s="124" t="b">
        <f>$B$14=A87</f>
        <v>0</v>
      </c>
    </row>
    <row r="88" spans="1:5">
      <c r="A88" s="124" t="s">
        <v>498</v>
      </c>
      <c r="B88" s="124" t="s">
        <v>422</v>
      </c>
      <c r="C88" s="124"/>
      <c r="D88" s="128">
        <f ca="1">MIN(nox_nightshade_cap,E70/E50/nox_nightshade_swamp_bonus)</f>
        <v>4</v>
      </c>
      <c r="E88" s="124" t="b">
        <f>$B$14=A88</f>
        <v>0</v>
      </c>
    </row>
    <row r="89" spans="1:5">
      <c r="A89" s="124" t="s">
        <v>1132</v>
      </c>
      <c r="B89" s="124" t="s">
        <v>1141</v>
      </c>
      <c r="C89" s="124"/>
      <c r="D89" s="128">
        <f ca="1">MIN(F64/abyss_enforce_bonus,abyss_enforcer_cap)</f>
        <v>0</v>
      </c>
      <c r="E89" s="124" t="b">
        <f>$B$14=A89</f>
        <v>0</v>
      </c>
    </row>
    <row r="91" spans="1:5">
      <c r="A91" s="125" t="s">
        <v>288</v>
      </c>
      <c r="B91" s="124"/>
      <c r="C91" s="124"/>
      <c r="D91" s="124"/>
      <c r="E91" s="124"/>
    </row>
    <row r="92" spans="1:5">
      <c r="A92" s="124" t="s">
        <v>103</v>
      </c>
      <c r="B92" s="124" t="s">
        <v>326</v>
      </c>
      <c r="C92" s="124"/>
      <c r="D92" s="124">
        <f ca="1">MIN(B41,B40)*2</f>
        <v>0</v>
      </c>
      <c r="E92" s="124" t="b">
        <f>$B$14=A92</f>
        <v>0</v>
      </c>
    </row>
    <row r="93" spans="1:5">
      <c r="A93" s="124"/>
      <c r="B93" s="124" t="s">
        <v>327</v>
      </c>
      <c r="C93" s="124">
        <f ca="1">MIN(B42,B39)*2</f>
        <v>0</v>
      </c>
      <c r="D93" s="124"/>
      <c r="E93" s="124"/>
    </row>
    <row r="94" spans="1:5">
      <c r="A94" s="124" t="s">
        <v>93</v>
      </c>
      <c r="B94" s="124" t="s">
        <v>129</v>
      </c>
      <c r="C94" s="413">
        <v>0.2</v>
      </c>
      <c r="D94" s="413">
        <f>1/3</f>
        <v>0.33333333333333331</v>
      </c>
      <c r="E94" s="124" t="b">
        <f t="shared" ref="E94:E98" si="1">$B$14=A94</f>
        <v>0</v>
      </c>
    </row>
    <row r="95" spans="1:5">
      <c r="A95" s="124" t="s">
        <v>104</v>
      </c>
      <c r="B95" s="124" t="s">
        <v>158</v>
      </c>
      <c r="C95" s="413">
        <v>0.2</v>
      </c>
      <c r="D95" s="413">
        <v>0.2</v>
      </c>
      <c r="E95" s="124" t="b">
        <f t="shared" si="1"/>
        <v>0</v>
      </c>
    </row>
    <row r="96" spans="1:5">
      <c r="A96" s="124" t="s">
        <v>96</v>
      </c>
      <c r="B96" s="124" t="s">
        <v>139</v>
      </c>
      <c r="C96" s="413">
        <v>0.2</v>
      </c>
      <c r="D96" s="413">
        <v>0.25</v>
      </c>
      <c r="E96" s="124" t="b">
        <f t="shared" si="1"/>
        <v>0</v>
      </c>
    </row>
    <row r="97" spans="1:5">
      <c r="A97" s="124" t="s">
        <v>99</v>
      </c>
      <c r="B97" s="124" t="s">
        <v>147</v>
      </c>
      <c r="C97" s="413">
        <v>0.25</v>
      </c>
      <c r="D97" s="413">
        <v>0.2</v>
      </c>
      <c r="E97" s="124" t="b">
        <f t="shared" si="1"/>
        <v>0</v>
      </c>
    </row>
    <row r="98" spans="1:5">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c r="A4" s="137">
        <f>TblRezone[[#This Row],[Hour]]</f>
        <v>1</v>
      </c>
      <c r="B4" s="138">
        <f>TblImps[[#This Row],[Time]]</f>
        <v>45815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c r="A5" s="137">
        <f>TblRezone[[#This Row],[Hour]]</f>
        <v>2</v>
      </c>
      <c r="B5" s="138">
        <f ca="1">TblImps[[#This Row],[Time]]</f>
        <v>45815.041666666664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c r="A6" s="137">
        <f>TblRezone[[#This Row],[Hour]]</f>
        <v>3</v>
      </c>
      <c r="B6" s="138">
        <f ca="1">TblImps[[#This Row],[Time]]</f>
        <v>45815.083333333328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c r="A7" s="137">
        <f>TblRezone[[#This Row],[Hour]]</f>
        <v>4</v>
      </c>
      <c r="B7" s="138">
        <f ca="1">TblImps[[#This Row],[Time]]</f>
        <v>45815.124999999993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c r="A8" s="137">
        <f>TblRezone[[#This Row],[Hour]]</f>
        <v>5</v>
      </c>
      <c r="B8" s="138">
        <f ca="1">TblImps[[#This Row],[Time]]</f>
        <v>45815.166666666657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c r="A9" s="137">
        <f>TblRezone[[#This Row],[Hour]]</f>
        <v>6</v>
      </c>
      <c r="B9" s="138">
        <f ca="1">TblImps[[#This Row],[Time]]</f>
        <v>45815.208333333321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c r="A10" s="137">
        <f>TblRezone[[#This Row],[Hour]]</f>
        <v>7</v>
      </c>
      <c r="B10" s="138">
        <f ca="1">TblImps[[#This Row],[Time]]</f>
        <v>45815.249999999985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c r="A11" s="137">
        <f>TblRezone[[#This Row],[Hour]]</f>
        <v>8</v>
      </c>
      <c r="B11" s="138">
        <f ca="1">TblImps[[#This Row],[Time]]</f>
        <v>45815.29166666665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c r="A12" s="137">
        <f>TblRezone[[#This Row],[Hour]]</f>
        <v>9</v>
      </c>
      <c r="B12" s="138">
        <f ca="1">TblImps[[#This Row],[Time]]</f>
        <v>45815.333333333314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c r="A13" s="137">
        <f>TblRezone[[#This Row],[Hour]]</f>
        <v>10</v>
      </c>
      <c r="B13" s="138">
        <f ca="1">TblImps[[#This Row],[Time]]</f>
        <v>45815.374999999978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c r="A14" s="137">
        <f>TblRezone[[#This Row],[Hour]]</f>
        <v>11</v>
      </c>
      <c r="B14" s="138">
        <f ca="1">TblImps[[#This Row],[Time]]</f>
        <v>45815.416666666642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c r="A15" s="137">
        <f>TblRezone[[#This Row],[Hour]]</f>
        <v>12</v>
      </c>
      <c r="B15" s="138">
        <f ca="1">TblImps[[#This Row],[Time]]</f>
        <v>45815.458333333307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-6</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c r="A16" s="137">
        <f>TblRezone[[#This Row],[Hour]]</f>
        <v>13</v>
      </c>
      <c r="B16" s="138">
        <f ca="1">TblImps[[#This Row],[Time]]</f>
        <v>45815.499999999971</v>
      </c>
      <c r="C16" s="94">
        <f ca="1">OFFSET(TblPop[[#This Row],[Peasants]],-1,0)+OFFSET(TblPop[[#This Row],[Net Peasant]],-1,0)+TblMili[[#This Row],[Release Draft]]</f>
        <v>556</v>
      </c>
      <c r="D16" s="94">
        <f ca="1">TblMili[[#This Row],[Military]]</f>
        <v>213</v>
      </c>
      <c r="E16" s="94">
        <f ca="1">TblMili[[#This Row],[Draftees]]</f>
        <v>213</v>
      </c>
      <c r="F16" s="94">
        <f ca="1">TblPop[[#This Row],[Peasants]]+TblPop[[#This Row],[Military]]</f>
        <v>769</v>
      </c>
      <c r="G16" s="139">
        <f ca="1">TblPop[[#This Row],[Military]]/TblPop[[#This Row],[Total]]</f>
        <v>0.27698309492847856</v>
      </c>
      <c r="H16" s="140">
        <f ca="1">MIN(TblPop[[#This Row],[Peasants]],TblPop[[#This Row],[Jobs]])</f>
        <v>556</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-6</v>
      </c>
      <c r="X16" s="94">
        <f ca="1">ROUND(TblPop[[#This Row],[Raw Birth]]*(1+TblPop[[#This Row],[Growth]]),0)</f>
        <v>17</v>
      </c>
      <c r="Y16" s="94">
        <f ca="1">(TblPop[[#This Row],[Peasants]]-TblPop[[#This Row],[Draft Growth]])*raw_pop_growth</f>
        <v>16.5</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c r="A17" s="137">
        <f>TblRezone[[#This Row],[Hour]]</f>
        <v>14</v>
      </c>
      <c r="B17" s="138">
        <f ca="1">TblImps[[#This Row],[Time]]</f>
        <v>45815.541666666635</v>
      </c>
      <c r="C17" s="94">
        <f ca="1">OFFSET(TblPop[[#This Row],[Peasants]],-1,0)+OFFSET(TblPop[[#This Row],[Net Peasant]],-1,0)+TblMili[[#This Row],[Release Draft]]</f>
        <v>550</v>
      </c>
      <c r="D17" s="94">
        <f ca="1">TblMili[[#This Row],[Military]]</f>
        <v>219</v>
      </c>
      <c r="E17" s="94">
        <f ca="1">TblMili[[#This Row],[Draftees]]</f>
        <v>219</v>
      </c>
      <c r="F17" s="94">
        <f ca="1">TblPop[[#This Row],[Peasants]]+TblPop[[#This Row],[Military]]</f>
        <v>769</v>
      </c>
      <c r="G17" s="139">
        <f ca="1">TblPop[[#This Row],[Military]]/TblPop[[#This Row],[Total]]</f>
        <v>0.2847854356306892</v>
      </c>
      <c r="H17" s="140">
        <f ca="1">MIN(TblPop[[#This Row],[Peasants]],TblPop[[#This Row],[Jobs]])</f>
        <v>550</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-6</v>
      </c>
      <c r="X17" s="94">
        <f ca="1">ROUND(TblPop[[#This Row],[Raw Birth]]*(1+TblPop[[#This Row],[Growth]]),0)</f>
        <v>16</v>
      </c>
      <c r="Y17" s="94">
        <f ca="1">(TblPop[[#This Row],[Peasants]]-TblPop[[#This Row],[Draft Growth]])*raw_pop_growth</f>
        <v>16.32</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c r="A18" s="137">
        <f>TblRezone[[#This Row],[Hour]]</f>
        <v>15</v>
      </c>
      <c r="B18" s="138">
        <f ca="1">TblImps[[#This Row],[Time]]</f>
        <v>45815.583333333299</v>
      </c>
      <c r="C18" s="94">
        <f ca="1">OFFSET(TblPop[[#This Row],[Peasants]],-1,0)+OFFSET(TblPop[[#This Row],[Net Peasant]],-1,0)+TblMili[[#This Row],[Release Draft]]</f>
        <v>544</v>
      </c>
      <c r="D18" s="94">
        <f ca="1">TblMili[[#This Row],[Military]]</f>
        <v>225</v>
      </c>
      <c r="E18" s="94">
        <f ca="1">TblMili[[#This Row],[Draftees]]</f>
        <v>225</v>
      </c>
      <c r="F18" s="94">
        <f ca="1">TblPop[[#This Row],[Peasants]]+TblPop[[#This Row],[Military]]</f>
        <v>769</v>
      </c>
      <c r="G18" s="139">
        <f ca="1">TblPop[[#This Row],[Military]]/TblPop[[#This Row],[Total]]</f>
        <v>0.2925877763328999</v>
      </c>
      <c r="H18" s="140">
        <f ca="1">MIN(TblPop[[#This Row],[Peasants]],TblPop[[#This Row],[Jobs]])</f>
        <v>544</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-5</v>
      </c>
      <c r="X18" s="94">
        <f ca="1">ROUND(TblPop[[#This Row],[Raw Birth]]*(1+TblPop[[#This Row],[Growth]]),0)</f>
        <v>16</v>
      </c>
      <c r="Y18" s="94">
        <f ca="1">(TblPop[[#This Row],[Peasants]]-TblPop[[#This Row],[Draft Growth]])*raw_pop_growth</f>
        <v>16.169999999999998</v>
      </c>
      <c r="Z18" s="94">
        <f ca="1">ROUND(IF(TblPop[[#This Row],[Military%]]&lt;TblMili[[#This Row],[Draftrate]],ROUND(TblPop[[#This Row],[Peasants]]*Constants!$B$55,0), 0) * IF(AND(TblMagic[[#This Row],[Active DnD]]&lt;=12,TblMagic[[#This Row],[Active DnD]]&gt;6),1.6,1),0)</f>
        <v>5</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c r="A19" s="137">
        <f>TblRezone[[#This Row],[Hour]]</f>
        <v>16</v>
      </c>
      <c r="B19" s="138">
        <f ca="1">TblImps[[#This Row],[Time]]</f>
        <v>45815.624999999964</v>
      </c>
      <c r="C19" s="94">
        <f ca="1">OFFSET(TblPop[[#This Row],[Peasants]],-1,0)+OFFSET(TblPop[[#This Row],[Net Peasant]],-1,0)+TblMili[[#This Row],[Release Draft]]</f>
        <v>539</v>
      </c>
      <c r="D19" s="94">
        <f ca="1">TblMili[[#This Row],[Military]]</f>
        <v>230</v>
      </c>
      <c r="E19" s="94">
        <f ca="1">TblMili[[#This Row],[Draftees]]</f>
        <v>230</v>
      </c>
      <c r="F19" s="94">
        <f ca="1">TblPop[[#This Row],[Peasants]]+TblPop[[#This Row],[Military]]</f>
        <v>769</v>
      </c>
      <c r="G19" s="139">
        <f ca="1">TblPop[[#This Row],[Military]]/TblPop[[#This Row],[Total]]</f>
        <v>0.29908972691807545</v>
      </c>
      <c r="H19" s="140">
        <f ca="1">MIN(TblPop[[#This Row],[Peasants]],TblPop[[#This Row],[Jobs]])</f>
        <v>539</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230</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-5</v>
      </c>
      <c r="X19" s="94">
        <f ca="1">ROUND(TblPop[[#This Row],[Raw Birth]]*(1+TblPop[[#This Row],[Growth]]),0)</f>
        <v>16</v>
      </c>
      <c r="Y19" s="94">
        <f ca="1">(TblPop[[#This Row],[Peasants]]-TblPop[[#This Row],[Draft Growth]])*raw_pop_growth</f>
        <v>16.02</v>
      </c>
      <c r="Z19" s="94">
        <f ca="1">ROUND(IF(TblPop[[#This Row],[Military%]]&lt;TblMili[[#This Row],[Draftrate]],ROUND(TblPop[[#This Row],[Peasants]]*Constants!$B$55,0), 0) * IF(AND(TblMagic[[#This Row],[Active DnD]]&lt;=12,TblMagic[[#This Row],[Active DnD]]&gt;6),1.6,1),0)</f>
        <v>5</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c r="A20" s="137">
        <f>TblRezone[[#This Row],[Hour]]</f>
        <v>17</v>
      </c>
      <c r="B20" s="138">
        <f ca="1">TblImps[[#This Row],[Time]]</f>
        <v>45815.666666666628</v>
      </c>
      <c r="C20" s="94">
        <f ca="1">OFFSET(TblPop[[#This Row],[Peasants]],-1,0)+OFFSET(TblPop[[#This Row],[Net Peasant]],-1,0)+TblMili[[#This Row],[Release Draft]]</f>
        <v>534</v>
      </c>
      <c r="D20" s="94">
        <f ca="1">TblMili[[#This Row],[Military]]</f>
        <v>235</v>
      </c>
      <c r="E20" s="94">
        <f ca="1">TblMili[[#This Row],[Draftees]]</f>
        <v>235</v>
      </c>
      <c r="F20" s="94">
        <f ca="1">TblPop[[#This Row],[Peasants]]+TblPop[[#This Row],[Military]]</f>
        <v>769</v>
      </c>
      <c r="G20" s="139">
        <f ca="1">TblPop[[#This Row],[Military]]/TblPop[[#This Row],[Total]]</f>
        <v>0.305591677503251</v>
      </c>
      <c r="H20" s="140">
        <f ca="1">MIN(TblPop[[#This Row],[Peasants]],TblPop[[#This Row],[Jobs]])</f>
        <v>534</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235</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-5</v>
      </c>
      <c r="X20" s="94">
        <f ca="1">ROUND(TblPop[[#This Row],[Raw Birth]]*(1+TblPop[[#This Row],[Growth]]),0)</f>
        <v>16</v>
      </c>
      <c r="Y20" s="94">
        <f ca="1">(TblPop[[#This Row],[Peasants]]-TblPop[[#This Row],[Draft Growth]])*raw_pop_growth</f>
        <v>15.87</v>
      </c>
      <c r="Z20" s="94">
        <f ca="1">ROUND(IF(TblPop[[#This Row],[Military%]]&lt;TblMili[[#This Row],[Draftrate]],ROUND(TblPop[[#This Row],[Peasants]]*Constants!$B$55,0), 0) * IF(AND(TblMagic[[#This Row],[Active DnD]]&lt;=12,TblMagic[[#This Row],[Active DnD]]&gt;6),1.6,1),0)</f>
        <v>5</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c r="A21" s="137">
        <f>TblRezone[[#This Row],[Hour]]</f>
        <v>18</v>
      </c>
      <c r="B21" s="138">
        <f ca="1">TblImps[[#This Row],[Time]]</f>
        <v>45815.708333333292</v>
      </c>
      <c r="C21" s="94">
        <f ca="1">OFFSET(TblPop[[#This Row],[Peasants]],-1,0)+OFFSET(TblPop[[#This Row],[Net Peasant]],-1,0)+TblMili[[#This Row],[Release Draft]]</f>
        <v>529</v>
      </c>
      <c r="D21" s="94">
        <f ca="1">TblMili[[#This Row],[Military]]</f>
        <v>240</v>
      </c>
      <c r="E21" s="94">
        <f ca="1">TblMili[[#This Row],[Draftees]]</f>
        <v>240</v>
      </c>
      <c r="F21" s="94">
        <f ca="1">TblPop[[#This Row],[Peasants]]+TblPop[[#This Row],[Military]]</f>
        <v>769</v>
      </c>
      <c r="G21" s="139">
        <f ca="1">TblPop[[#This Row],[Military]]/TblPop[[#This Row],[Total]]</f>
        <v>0.31209362808842656</v>
      </c>
      <c r="H21" s="140">
        <f ca="1">MIN(TblPop[[#This Row],[Peasants]],TblPop[[#This Row],[Jobs]])</f>
        <v>529</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240</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-5</v>
      </c>
      <c r="X21" s="94">
        <f ca="1">ROUND(TblPop[[#This Row],[Raw Birth]]*(1+TblPop[[#This Row],[Growth]]),0)</f>
        <v>16</v>
      </c>
      <c r="Y21" s="94">
        <f ca="1">(TblPop[[#This Row],[Peasants]]-TblPop[[#This Row],[Draft Growth]])*raw_pop_growth</f>
        <v>15.719999999999999</v>
      </c>
      <c r="Z21" s="94">
        <f ca="1">ROUND(IF(TblPop[[#This Row],[Military%]]&lt;TblMili[[#This Row],[Draftrate]],ROUND(TblPop[[#This Row],[Peasants]]*Constants!$B$55,0), 0) * IF(AND(TblMagic[[#This Row],[Active DnD]]&lt;=12,TblMagic[[#This Row],[Active DnD]]&gt;6),1.6,1),0)</f>
        <v>5</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c r="A22" s="137">
        <f>TblRezone[[#This Row],[Hour]]</f>
        <v>19</v>
      </c>
      <c r="B22" s="138">
        <f ca="1">TblImps[[#This Row],[Time]]</f>
        <v>45815.749999999956</v>
      </c>
      <c r="C22" s="94">
        <f ca="1">OFFSET(TblPop[[#This Row],[Peasants]],-1,0)+OFFSET(TblPop[[#This Row],[Net Peasant]],-1,0)+TblMili[[#This Row],[Release Draft]]</f>
        <v>524</v>
      </c>
      <c r="D22" s="94">
        <f ca="1">TblMili[[#This Row],[Military]]</f>
        <v>245</v>
      </c>
      <c r="E22" s="94">
        <f ca="1">TblMili[[#This Row],[Draftees]]</f>
        <v>245</v>
      </c>
      <c r="F22" s="94">
        <f ca="1">TblPop[[#This Row],[Peasants]]+TblPop[[#This Row],[Military]]</f>
        <v>769</v>
      </c>
      <c r="G22" s="139">
        <f ca="1">TblPop[[#This Row],[Military]]/TblPop[[#This Row],[Total]]</f>
        <v>0.31859557867360205</v>
      </c>
      <c r="H22" s="140">
        <f ca="1">MIN(TblPop[[#This Row],[Peasants]],TblPop[[#This Row],[Jobs]])</f>
        <v>524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245</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-5</v>
      </c>
      <c r="X22" s="94">
        <f ca="1">ROUND(TblPop[[#This Row],[Raw Birth]]*(1+TblPop[[#This Row],[Growth]]),0)</f>
        <v>16</v>
      </c>
      <c r="Y22" s="94">
        <f ca="1">(TblPop[[#This Row],[Peasants]]-TblPop[[#This Row],[Draft Growth]])*raw_pop_growth</f>
        <v>15.57</v>
      </c>
      <c r="Z22" s="94">
        <f ca="1">ROUND(IF(TblPop[[#This Row],[Military%]]&lt;TblMili[[#This Row],[Draftrate]],ROUND(TblPop[[#This Row],[Peasants]]*Constants!$B$55,0), 0) * IF(AND(TblMagic[[#This Row],[Active DnD]]&lt;=12,TblMagic[[#This Row],[Active DnD]]&gt;6),1.6,1),0)</f>
        <v>5</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c r="A23" s="137">
        <f>TblRezone[[#This Row],[Hour]]</f>
        <v>20</v>
      </c>
      <c r="B23" s="138">
        <f ca="1">TblImps[[#This Row],[Time]]</f>
        <v>45815.791666666621</v>
      </c>
      <c r="C23" s="94">
        <f ca="1">OFFSET(TblPop[[#This Row],[Peasants]],-1,0)+OFFSET(TblPop[[#This Row],[Net Peasant]],-1,0)+TblMili[[#This Row],[Release Draft]]</f>
        <v>519</v>
      </c>
      <c r="D23" s="94">
        <f ca="1">TblMili[[#This Row],[Military]]</f>
        <v>250</v>
      </c>
      <c r="E23" s="94">
        <f ca="1">TblMili[[#This Row],[Draftees]]</f>
        <v>250</v>
      </c>
      <c r="F23" s="94">
        <f ca="1">TblPop[[#This Row],[Peasants]]+TblPop[[#This Row],[Military]]</f>
        <v>769</v>
      </c>
      <c r="G23" s="139">
        <f ca="1">TblPop[[#This Row],[Military]]/TblPop[[#This Row],[Total]]</f>
        <v>0.32509752925877761</v>
      </c>
      <c r="H23" s="140">
        <f ca="1">MIN(TblPop[[#This Row],[Peasants]],TblPop[[#This Row],[Jobs]])</f>
        <v>519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-5</v>
      </c>
      <c r="X23" s="94">
        <f ca="1">ROUND(TblPop[[#This Row],[Raw Birth]]*(1+TblPop[[#This Row],[Growth]]),0)</f>
        <v>15</v>
      </c>
      <c r="Y23" s="94">
        <f ca="1">(TblPop[[#This Row],[Peasants]]-TblPop[[#This Row],[Draft Growth]])*raw_pop_growth</f>
        <v>15.42</v>
      </c>
      <c r="Z23" s="94">
        <f ca="1">ROUND(IF(TblPop[[#This Row],[Military%]]&lt;TblMili[[#This Row],[Draftrate]],ROUND(TblPop[[#This Row],[Peasants]]*Constants!$B$55,0), 0) * IF(AND(TblMagic[[#This Row],[Active DnD]]&lt;=12,TblMagic[[#This Row],[Active DnD]]&gt;6),1.6,1),0)</f>
        <v>5</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c r="A24" s="137">
        <f>TblRezone[[#This Row],[Hour]]</f>
        <v>21</v>
      </c>
      <c r="B24" s="138">
        <f ca="1">TblImps[[#This Row],[Time]]</f>
        <v>45815.833333333285</v>
      </c>
      <c r="C24" s="94">
        <f ca="1">OFFSET(TblPop[[#This Row],[Peasants]],-1,0)+OFFSET(TblPop[[#This Row],[Net Peasant]],-1,0)+TblMili[[#This Row],[Release Draft]]</f>
        <v>514</v>
      </c>
      <c r="D24" s="94">
        <f ca="1">TblMili[[#This Row],[Military]]</f>
        <v>255</v>
      </c>
      <c r="E24" s="94">
        <f ca="1">TblMili[[#This Row],[Draftees]]</f>
        <v>255</v>
      </c>
      <c r="F24" s="94">
        <f ca="1">TblPop[[#This Row],[Peasants]]+TblPop[[#This Row],[Military]]</f>
        <v>769</v>
      </c>
      <c r="G24" s="139">
        <f ca="1">TblPop[[#This Row],[Military]]/TblPop[[#This Row],[Total]]</f>
        <v>0.33159947984395316</v>
      </c>
      <c r="H24" s="140">
        <f ca="1">MIN(TblPop[[#This Row],[Peasants]],TblPop[[#This Row],[Jobs]])</f>
        <v>514</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255</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-5</v>
      </c>
      <c r="X24" s="94">
        <f ca="1">ROUND(TblPop[[#This Row],[Raw Birth]]*(1+TblPop[[#This Row],[Growth]]),0)</f>
        <v>15</v>
      </c>
      <c r="Y24" s="94">
        <f ca="1">(TblPop[[#This Row],[Peasants]]-TblPop[[#This Row],[Draft Growth]])*raw_pop_growth</f>
        <v>15.27</v>
      </c>
      <c r="Z24" s="94">
        <f ca="1">ROUND(IF(TblPop[[#This Row],[Military%]]&lt;TblMili[[#This Row],[Draftrate]],ROUND(TblPop[[#This Row],[Peasants]]*Constants!$B$55,0), 0) * IF(AND(TblMagic[[#This Row],[Active DnD]]&lt;=12,TblMagic[[#This Row],[Active DnD]]&gt;6),1.6,1),0)</f>
        <v>5</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c r="A25" s="137">
        <f>TblRezone[[#This Row],[Hour]]</f>
        <v>22</v>
      </c>
      <c r="B25" s="138">
        <f ca="1">TblImps[[#This Row],[Time]]</f>
        <v>45815.874999999949</v>
      </c>
      <c r="C25" s="94">
        <f ca="1">OFFSET(TblPop[[#This Row],[Peasants]],-1,0)+OFFSET(TblPop[[#This Row],[Net Peasant]],-1,0)+TblMili[[#This Row],[Release Draft]]</f>
        <v>509</v>
      </c>
      <c r="D25" s="94">
        <f ca="1">TblMili[[#This Row],[Military]]</f>
        <v>260</v>
      </c>
      <c r="E25" s="94">
        <f ca="1">TblMili[[#This Row],[Draftees]]</f>
        <v>260</v>
      </c>
      <c r="F25" s="94">
        <f ca="1">TblPop[[#This Row],[Peasants]]+TblPop[[#This Row],[Military]]</f>
        <v>769</v>
      </c>
      <c r="G25" s="139">
        <f ca="1">TblPop[[#This Row],[Military]]/TblPop[[#This Row],[Total]]</f>
        <v>0.33810143042912871</v>
      </c>
      <c r="H25" s="140">
        <f ca="1">MIN(TblPop[[#This Row],[Peasants]],TblPop[[#This Row],[Jobs]])</f>
        <v>509</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260</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-5</v>
      </c>
      <c r="X25" s="94">
        <f ca="1">ROUND(TblPop[[#This Row],[Raw Birth]]*(1+TblPop[[#This Row],[Growth]]),0)</f>
        <v>15</v>
      </c>
      <c r="Y25" s="94">
        <f ca="1">(TblPop[[#This Row],[Peasants]]-TblPop[[#This Row],[Draft Growth]])*raw_pop_growth</f>
        <v>15.12</v>
      </c>
      <c r="Z25" s="94">
        <f ca="1">ROUND(IF(TblPop[[#This Row],[Military%]]&lt;TblMili[[#This Row],[Draftrate]],ROUND(TblPop[[#This Row],[Peasants]]*Constants!$B$55,0), 0) * IF(AND(TblMagic[[#This Row],[Active DnD]]&lt;=12,TblMagic[[#This Row],[Active DnD]]&gt;6),1.6,1),0)</f>
        <v>5</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c r="A26" s="137">
        <f>TblRezone[[#This Row],[Hour]]</f>
        <v>23</v>
      </c>
      <c r="B26" s="138">
        <f ca="1">TblImps[[#This Row],[Time]]</f>
        <v>45815.916666666613</v>
      </c>
      <c r="C26" s="94">
        <f ca="1">OFFSET(TblPop[[#This Row],[Peasants]],-1,0)+OFFSET(TblPop[[#This Row],[Net Peasant]],-1,0)+TblMili[[#This Row],[Release Draft]]</f>
        <v>504</v>
      </c>
      <c r="D26" s="94">
        <f ca="1">TblMili[[#This Row],[Military]]</f>
        <v>265</v>
      </c>
      <c r="E26" s="94">
        <f ca="1">TblMili[[#This Row],[Draftees]]</f>
        <v>265</v>
      </c>
      <c r="F26" s="94">
        <f ca="1">TblPop[[#This Row],[Peasants]]+TblPop[[#This Row],[Military]]</f>
        <v>769</v>
      </c>
      <c r="G26" s="139">
        <f ca="1">TblPop[[#This Row],[Military]]/TblPop[[#This Row],[Total]]</f>
        <v>0.34460338101430427</v>
      </c>
      <c r="H26" s="140">
        <f ca="1">MIN(TblPop[[#This Row],[Peasants]],TblPop[[#This Row],[Jobs]])</f>
        <v>504</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265</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-5</v>
      </c>
      <c r="X26" s="94">
        <f ca="1">ROUND(TblPop[[#This Row],[Raw Birth]]*(1+TblPop[[#This Row],[Growth]]),0)</f>
        <v>15</v>
      </c>
      <c r="Y26" s="94">
        <f ca="1">(TblPop[[#This Row],[Peasants]]-TblPop[[#This Row],[Draft Growth]])*raw_pop_growth</f>
        <v>14.969999999999999</v>
      </c>
      <c r="Z26" s="94">
        <f ca="1">ROUND(IF(TblPop[[#This Row],[Military%]]&lt;TblMili[[#This Row],[Draftrate]],ROUND(TblPop[[#This Row],[Peasants]]*Constants!$B$55,0), 0) * IF(AND(TblMagic[[#This Row],[Active DnD]]&lt;=12,TblMagic[[#This Row],[Active DnD]]&gt;6),1.6,1),0)</f>
        <v>5</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c r="A27" s="137">
        <f>TblRezone[[#This Row],[Hour]]</f>
        <v>24</v>
      </c>
      <c r="B27" s="138">
        <f ca="1">TblImps[[#This Row],[Time]]</f>
        <v>45815.958333333278</v>
      </c>
      <c r="C27" s="94">
        <f ca="1">OFFSET(TblPop[[#This Row],[Peasants]],-1,0)+OFFSET(TblPop[[#This Row],[Net Peasant]],-1,0)+TblMili[[#This Row],[Release Draft]]</f>
        <v>499</v>
      </c>
      <c r="D27" s="94">
        <f ca="1">TblMili[[#This Row],[Military]]</f>
        <v>270</v>
      </c>
      <c r="E27" s="94">
        <f ca="1">TblMili[[#This Row],[Draftees]]</f>
        <v>270</v>
      </c>
      <c r="F27" s="94">
        <f ca="1">TblPop[[#This Row],[Peasants]]+TblPop[[#This Row],[Military]]</f>
        <v>769</v>
      </c>
      <c r="G27" s="139">
        <f ca="1">TblPop[[#This Row],[Military]]/TblPop[[#This Row],[Total]]</f>
        <v>0.35110533159947982</v>
      </c>
      <c r="H27" s="140">
        <f ca="1">MIN(TblPop[[#This Row],[Peasants]],TblPop[[#This Row],[Jobs]])</f>
        <v>499</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270</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-5</v>
      </c>
      <c r="X27" s="94">
        <f ca="1">ROUND(TblPop[[#This Row],[Raw Birth]]*(1+TblPop[[#This Row],[Growth]]),0)</f>
        <v>15</v>
      </c>
      <c r="Y27" s="94">
        <f ca="1">(TblPop[[#This Row],[Peasants]]-TblPop[[#This Row],[Draft Growth]])*raw_pop_growth</f>
        <v>14.82</v>
      </c>
      <c r="Z27" s="94">
        <f ca="1">ROUND(IF(TblPop[[#This Row],[Military%]]&lt;TblMili[[#This Row],[Draftrate]],ROUND(TblPop[[#This Row],[Peasants]]*Constants!$B$55,0), 0) * IF(AND(TblMagic[[#This Row],[Active DnD]]&lt;=12,TblMagic[[#This Row],[Active DnD]]&gt;6),1.6,1),0)</f>
        <v>5</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c r="A28" s="137">
        <f>TblRezone[[#This Row],[Hour]]</f>
        <v>25</v>
      </c>
      <c r="B28" s="138">
        <f ca="1">TblImps[[#This Row],[Time]]</f>
        <v>45815.999999999942</v>
      </c>
      <c r="C28" s="94">
        <f ca="1">OFFSET(TblPop[[#This Row],[Peasants]],-1,0)+OFFSET(TblPop[[#This Row],[Net Peasant]],-1,0)+TblMili[[#This Row],[Release Draft]]</f>
        <v>494</v>
      </c>
      <c r="D28" s="94">
        <f ca="1">TblMili[[#This Row],[Military]]</f>
        <v>275</v>
      </c>
      <c r="E28" s="94">
        <f ca="1">TblMili[[#This Row],[Draftees]]</f>
        <v>275</v>
      </c>
      <c r="F28" s="94">
        <f ca="1">TblPop[[#This Row],[Peasants]]+TblPop[[#This Row],[Military]]</f>
        <v>769</v>
      </c>
      <c r="G28" s="139">
        <f ca="1">TblPop[[#This Row],[Military]]/TblPop[[#This Row],[Total]]</f>
        <v>0.35760728218465537</v>
      </c>
      <c r="H28" s="140">
        <f ca="1">MIN(TblPop[[#This Row],[Peasants]],TblPop[[#This Row],[Jobs]])</f>
        <v>494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275</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-5</v>
      </c>
      <c r="X28" s="94">
        <f ca="1">ROUND(TblPop[[#This Row],[Raw Birth]]*(1+TblPop[[#This Row],[Growth]]),0)</f>
        <v>15</v>
      </c>
      <c r="Y28" s="94">
        <f ca="1">(TblPop[[#This Row],[Peasants]]-TblPop[[#This Row],[Draft Growth]])*raw_pop_growth</f>
        <v>14.67</v>
      </c>
      <c r="Z28" s="94">
        <f ca="1">ROUND(IF(TblPop[[#This Row],[Military%]]&lt;TblMili[[#This Row],[Draftrate]],ROUND(TblPop[[#This Row],[Peasants]]*Constants!$B$55,0), 0) * IF(AND(TblMagic[[#This Row],[Active DnD]]&lt;=12,TblMagic[[#This Row],[Active DnD]]&gt;6),1.6,1),0)</f>
        <v>5</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c r="A29" s="137">
        <f>TblRezone[[#This Row],[Hour]]</f>
        <v>26</v>
      </c>
      <c r="B29" s="138">
        <f ca="1">TblImps[[#This Row],[Time]]</f>
        <v>45816.041666666606</v>
      </c>
      <c r="C29" s="94">
        <f ca="1">OFFSET(TblPop[[#This Row],[Peasants]],-1,0)+OFFSET(TblPop[[#This Row],[Net Peasant]],-1,0)+TblMili[[#This Row],[Release Draft]]</f>
        <v>489</v>
      </c>
      <c r="D29" s="94">
        <f ca="1">TblMili[[#This Row],[Military]]</f>
        <v>280</v>
      </c>
      <c r="E29" s="94">
        <f ca="1">TblMili[[#This Row],[Draftees]]</f>
        <v>280</v>
      </c>
      <c r="F29" s="94">
        <f ca="1">TblPop[[#This Row],[Peasants]]+TblPop[[#This Row],[Military]]</f>
        <v>769</v>
      </c>
      <c r="G29" s="139">
        <f ca="1">TblPop[[#This Row],[Military]]/TblPop[[#This Row],[Total]]</f>
        <v>0.36410923276983093</v>
      </c>
      <c r="H29" s="140">
        <f ca="1">MIN(TblPop[[#This Row],[Peasants]],TblPop[[#This Row],[Jobs]])</f>
        <v>489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280</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-5</v>
      </c>
      <c r="X29" s="94">
        <f ca="1">ROUND(TblPop[[#This Row],[Raw Birth]]*(1+TblPop[[#This Row],[Growth]]),0)</f>
        <v>15</v>
      </c>
      <c r="Y29" s="94">
        <f ca="1">(TblPop[[#This Row],[Peasants]]-TblPop[[#This Row],[Draft Growth]])*raw_pop_growth</f>
        <v>14.52</v>
      </c>
      <c r="Z29" s="94">
        <f ca="1">ROUND(IF(TblPop[[#This Row],[Military%]]&lt;TblMili[[#This Row],[Draftrate]],ROUND(TblPop[[#This Row],[Peasants]]*Constants!$B$55,0), 0) * IF(AND(TblMagic[[#This Row],[Active DnD]]&lt;=12,TblMagic[[#This Row],[Active DnD]]&gt;6),1.6,1),0)</f>
        <v>5</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c r="A30" s="137">
        <f>TblRezone[[#This Row],[Hour]]</f>
        <v>27</v>
      </c>
      <c r="B30" s="138">
        <f ca="1">TblImps[[#This Row],[Time]]</f>
        <v>45816.08333333327</v>
      </c>
      <c r="C30" s="94">
        <f ca="1">OFFSET(TblPop[[#This Row],[Peasants]],-1,0)+OFFSET(TblPop[[#This Row],[Net Peasant]],-1,0)+TblMili[[#This Row],[Release Draft]]</f>
        <v>484</v>
      </c>
      <c r="D30" s="94">
        <f ca="1">TblMili[[#This Row],[Military]]</f>
        <v>285</v>
      </c>
      <c r="E30" s="94">
        <f ca="1">TblMili[[#This Row],[Draftees]]</f>
        <v>285</v>
      </c>
      <c r="F30" s="94">
        <f ca="1">TblPop[[#This Row],[Peasants]]+TblPop[[#This Row],[Military]]</f>
        <v>769</v>
      </c>
      <c r="G30" s="139">
        <f ca="1">TblPop[[#This Row],[Military]]/TblPop[[#This Row],[Total]]</f>
        <v>0.37061118335500648</v>
      </c>
      <c r="H30" s="140">
        <f ca="1">MIN(TblPop[[#This Row],[Peasants]],TblPop[[#This Row],[Jobs]])</f>
        <v>484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285</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-5</v>
      </c>
      <c r="X30" s="94">
        <f ca="1">ROUND(TblPop[[#This Row],[Raw Birth]]*(1+TblPop[[#This Row],[Growth]]),0)</f>
        <v>14</v>
      </c>
      <c r="Y30" s="94">
        <f ca="1">(TblPop[[#This Row],[Peasants]]-TblPop[[#This Row],[Draft Growth]])*raw_pop_growth</f>
        <v>14.37</v>
      </c>
      <c r="Z30" s="94">
        <f ca="1">ROUND(IF(TblPop[[#This Row],[Military%]]&lt;TblMili[[#This Row],[Draftrate]],ROUND(TblPop[[#This Row],[Peasants]]*Constants!$B$55,0), 0) * IF(AND(TblMagic[[#This Row],[Active DnD]]&lt;=12,TblMagic[[#This Row],[Active DnD]]&gt;6),1.6,1),0)</f>
        <v>5</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c r="A31" s="137">
        <f>TblRezone[[#This Row],[Hour]]</f>
        <v>28</v>
      </c>
      <c r="B31" s="138">
        <f ca="1">TblImps[[#This Row],[Time]]</f>
        <v>45816.124999999935</v>
      </c>
      <c r="C31" s="94">
        <f ca="1">OFFSET(TblPop[[#This Row],[Peasants]],-1,0)+OFFSET(TblPop[[#This Row],[Net Peasant]],-1,0)+TblMili[[#This Row],[Release Draft]]</f>
        <v>479</v>
      </c>
      <c r="D31" s="94">
        <f ca="1">TblMili[[#This Row],[Military]]</f>
        <v>290</v>
      </c>
      <c r="E31" s="94">
        <f ca="1">TblMili[[#This Row],[Draftees]]</f>
        <v>290</v>
      </c>
      <c r="F31" s="94">
        <f ca="1">TblPop[[#This Row],[Peasants]]+TblPop[[#This Row],[Military]]</f>
        <v>769</v>
      </c>
      <c r="G31" s="139">
        <f ca="1">TblPop[[#This Row],[Military]]/TblPop[[#This Row],[Total]]</f>
        <v>0.37711313394018203</v>
      </c>
      <c r="H31" s="140">
        <f ca="1">MIN(TblPop[[#This Row],[Peasants]],TblPop[[#This Row],[Jobs]])</f>
        <v>479</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290</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-5</v>
      </c>
      <c r="X31" s="94">
        <f ca="1">ROUND(TblPop[[#This Row],[Raw Birth]]*(1+TblPop[[#This Row],[Growth]]),0)</f>
        <v>14</v>
      </c>
      <c r="Y31" s="94">
        <f ca="1">(TblPop[[#This Row],[Peasants]]-TblPop[[#This Row],[Draft Growth]])*raw_pop_growth</f>
        <v>14.219999999999999</v>
      </c>
      <c r="Z31" s="94">
        <f ca="1">ROUND(IF(TblPop[[#This Row],[Military%]]&lt;TblMili[[#This Row],[Draftrate]],ROUND(TblPop[[#This Row],[Peasants]]*Constants!$B$55,0), 0) * IF(AND(TblMagic[[#This Row],[Active DnD]]&lt;=12,TblMagic[[#This Row],[Active DnD]]&gt;6),1.6,1),0)</f>
        <v>5</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c r="A32" s="137">
        <f>TblRezone[[#This Row],[Hour]]</f>
        <v>29</v>
      </c>
      <c r="B32" s="138">
        <f ca="1">TblImps[[#This Row],[Time]]</f>
        <v>45816.166666666599</v>
      </c>
      <c r="C32" s="94">
        <f ca="1">OFFSET(TblPop[[#This Row],[Peasants]],-1,0)+OFFSET(TblPop[[#This Row],[Net Peasant]],-1,0)+TblMili[[#This Row],[Release Draft]]</f>
        <v>474</v>
      </c>
      <c r="D32" s="94">
        <f ca="1">TblMili[[#This Row],[Military]]</f>
        <v>295</v>
      </c>
      <c r="E32" s="94">
        <f ca="1">TblMili[[#This Row],[Draftees]]</f>
        <v>295</v>
      </c>
      <c r="F32" s="94">
        <f ca="1">TblPop[[#This Row],[Peasants]]+TblPop[[#This Row],[Military]]</f>
        <v>769</v>
      </c>
      <c r="G32" s="139">
        <f ca="1">TblPop[[#This Row],[Military]]/TblPop[[#This Row],[Total]]</f>
        <v>0.38361508452535759</v>
      </c>
      <c r="H32" s="140">
        <f ca="1">MIN(TblPop[[#This Row],[Peasants]],TblPop[[#This Row],[Jobs]])</f>
        <v>474</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295</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-5</v>
      </c>
      <c r="X32" s="94">
        <f ca="1">ROUND(TblPop[[#This Row],[Raw Birth]]*(1+TblPop[[#This Row],[Growth]]),0)</f>
        <v>14</v>
      </c>
      <c r="Y32" s="94">
        <f ca="1">(TblPop[[#This Row],[Peasants]]-TblPop[[#This Row],[Draft Growth]])*raw_pop_growth</f>
        <v>14.07</v>
      </c>
      <c r="Z32" s="94">
        <f ca="1">ROUND(IF(TblPop[[#This Row],[Military%]]&lt;TblMili[[#This Row],[Draftrate]],ROUND(TblPop[[#This Row],[Peasants]]*Constants!$B$55,0), 0) * IF(AND(TblMagic[[#This Row],[Active DnD]]&lt;=12,TblMagic[[#This Row],[Active DnD]]&gt;6),1.6,1),0)</f>
        <v>5</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c r="A33" s="137">
        <f>TblRezone[[#This Row],[Hour]]</f>
        <v>30</v>
      </c>
      <c r="B33" s="138">
        <f ca="1">TblImps[[#This Row],[Time]]</f>
        <v>45816.208333333263</v>
      </c>
      <c r="C33" s="94">
        <f ca="1">OFFSET(TblPop[[#This Row],[Peasants]],-1,0)+OFFSET(TblPop[[#This Row],[Net Peasant]],-1,0)+TblMili[[#This Row],[Release Draft]]</f>
        <v>469</v>
      </c>
      <c r="D33" s="94">
        <f ca="1">TblMili[[#This Row],[Military]]</f>
        <v>300</v>
      </c>
      <c r="E33" s="94">
        <f ca="1">TblMili[[#This Row],[Draftees]]</f>
        <v>300</v>
      </c>
      <c r="F33" s="94">
        <f ca="1">TblPop[[#This Row],[Peasants]]+TblPop[[#This Row],[Military]]</f>
        <v>769</v>
      </c>
      <c r="G33" s="139">
        <f ca="1">TblPop[[#This Row],[Military]]/TblPop[[#This Row],[Total]]</f>
        <v>0.39011703511053314</v>
      </c>
      <c r="H33" s="140">
        <f ca="1">MIN(TblPop[[#This Row],[Peasants]],TblPop[[#This Row],[Jobs]])</f>
        <v>469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300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-5</v>
      </c>
      <c r="X33" s="94">
        <f ca="1">ROUND(TblPop[[#This Row],[Raw Birth]]*(1+TblPop[[#This Row],[Growth]]),0)</f>
        <v>14</v>
      </c>
      <c r="Y33" s="94">
        <f ca="1">(TblPop[[#This Row],[Peasants]]-TblPop[[#This Row],[Draft Growth]])*raw_pop_growth</f>
        <v>13.92</v>
      </c>
      <c r="Z33" s="94">
        <f ca="1">ROUND(IF(TblPop[[#This Row],[Military%]]&lt;TblMili[[#This Row],[Draftrate]],ROUND(TblPop[[#This Row],[Peasants]]*Constants!$B$55,0), 0) * IF(AND(TblMagic[[#This Row],[Active DnD]]&lt;=12,TblMagic[[#This Row],[Active DnD]]&gt;6),1.6,1),0)</f>
        <v>5</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c r="A34" s="137">
        <f>TblRezone[[#This Row],[Hour]]</f>
        <v>31</v>
      </c>
      <c r="B34" s="138">
        <f ca="1">TblImps[[#This Row],[Time]]</f>
        <v>45816.249999999927</v>
      </c>
      <c r="C34" s="94">
        <f ca="1">OFFSET(TblPop[[#This Row],[Peasants]],-1,0)+OFFSET(TblPop[[#This Row],[Net Peasant]],-1,0)+TblMili[[#This Row],[Release Draft]]</f>
        <v>464</v>
      </c>
      <c r="D34" s="94">
        <f ca="1">TblMili[[#This Row],[Military]]</f>
        <v>305</v>
      </c>
      <c r="E34" s="94">
        <f ca="1">TblMili[[#This Row],[Draftees]]</f>
        <v>305</v>
      </c>
      <c r="F34" s="94">
        <f ca="1">TblPop[[#This Row],[Peasants]]+TblPop[[#This Row],[Military]]</f>
        <v>769</v>
      </c>
      <c r="G34" s="139">
        <f ca="1">TblPop[[#This Row],[Military]]/TblPop[[#This Row],[Total]]</f>
        <v>0.39661898569570869</v>
      </c>
      <c r="H34" s="140">
        <f ca="1">MIN(TblPop[[#This Row],[Peasants]],TblPop[[#This Row],[Jobs]])</f>
        <v>464</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305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-5</v>
      </c>
      <c r="X34" s="94">
        <f ca="1">ROUND(TblPop[[#This Row],[Raw Birth]]*(1+TblPop[[#This Row],[Growth]]),0)</f>
        <v>14</v>
      </c>
      <c r="Y34" s="94">
        <f ca="1">(TblPop[[#This Row],[Peasants]]-TblPop[[#This Row],[Draft Growth]])*raw_pop_growth</f>
        <v>13.77</v>
      </c>
      <c r="Z34" s="94">
        <f ca="1">ROUND(IF(TblPop[[#This Row],[Military%]]&lt;TblMili[[#This Row],[Draftrate]],ROUND(TblPop[[#This Row],[Peasants]]*Constants!$B$55,0), 0) * IF(AND(TblMagic[[#This Row],[Active DnD]]&lt;=12,TblMagic[[#This Row],[Active DnD]]&gt;6),1.6,1),0)</f>
        <v>5</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c r="A35" s="137">
        <f>TblRezone[[#This Row],[Hour]]</f>
        <v>32</v>
      </c>
      <c r="B35" s="138">
        <f ca="1">TblImps[[#This Row],[Time]]</f>
        <v>45816.291666666591</v>
      </c>
      <c r="C35" s="94">
        <f ca="1">OFFSET(TblPop[[#This Row],[Peasants]],-1,0)+OFFSET(TblPop[[#This Row],[Net Peasant]],-1,0)+TblMili[[#This Row],[Release Draft]]</f>
        <v>459</v>
      </c>
      <c r="D35" s="94">
        <f ca="1">TblMili[[#This Row],[Military]]</f>
        <v>310</v>
      </c>
      <c r="E35" s="94">
        <f ca="1">TblMili[[#This Row],[Draftees]]</f>
        <v>310</v>
      </c>
      <c r="F35" s="94">
        <f ca="1">TblPop[[#This Row],[Peasants]]+TblPop[[#This Row],[Military]]</f>
        <v>769</v>
      </c>
      <c r="G35" s="139">
        <f ca="1">TblPop[[#This Row],[Military]]/TblPop[[#This Row],[Total]]</f>
        <v>0.40312093628088425</v>
      </c>
      <c r="H35" s="140">
        <f ca="1">MIN(TblPop[[#This Row],[Peasants]],TblPop[[#This Row],[Jobs]])</f>
        <v>459</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310</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-5</v>
      </c>
      <c r="X35" s="94">
        <f ca="1">ROUND(TblPop[[#This Row],[Raw Birth]]*(1+TblPop[[#This Row],[Growth]]),0)</f>
        <v>14</v>
      </c>
      <c r="Y35" s="94">
        <f ca="1">(TblPop[[#This Row],[Peasants]]-TblPop[[#This Row],[Draft Growth]])*raw_pop_growth</f>
        <v>13.62</v>
      </c>
      <c r="Z35" s="94">
        <f ca="1">ROUND(IF(TblPop[[#This Row],[Military%]]&lt;TblMili[[#This Row],[Draftrate]],ROUND(TblPop[[#This Row],[Peasants]]*Constants!$B$55,0), 0) * IF(AND(TblMagic[[#This Row],[Active DnD]]&lt;=12,TblMagic[[#This Row],[Active DnD]]&gt;6),1.6,1),0)</f>
        <v>5</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c r="A36" s="137">
        <f>TblRezone[[#This Row],[Hour]]</f>
        <v>33</v>
      </c>
      <c r="B36" s="138">
        <f ca="1">TblImps[[#This Row],[Time]]</f>
        <v>45816.333333333256</v>
      </c>
      <c r="C36" s="94">
        <f ca="1">OFFSET(TblPop[[#This Row],[Peasants]],-1,0)+OFFSET(TblPop[[#This Row],[Net Peasant]],-1,0)+TblMili[[#This Row],[Release Draft]]</f>
        <v>454</v>
      </c>
      <c r="D36" s="94">
        <f ca="1">TblMili[[#This Row],[Military]]</f>
        <v>315</v>
      </c>
      <c r="E36" s="94">
        <f ca="1">TblMili[[#This Row],[Draftees]]</f>
        <v>315</v>
      </c>
      <c r="F36" s="94">
        <f ca="1">TblPop[[#This Row],[Peasants]]+TblPop[[#This Row],[Military]]</f>
        <v>769</v>
      </c>
      <c r="G36" s="139">
        <f ca="1">TblPop[[#This Row],[Military]]/TblPop[[#This Row],[Total]]</f>
        <v>0.4096228868660598</v>
      </c>
      <c r="H36" s="140">
        <f ca="1">MIN(TblPop[[#This Row],[Peasants]],TblPop[[#This Row],[Jobs]])</f>
        <v>454</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315</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-5</v>
      </c>
      <c r="X36" s="94">
        <f ca="1">ROUND(TblPop[[#This Row],[Raw Birth]]*(1+TblPop[[#This Row],[Growth]]),0)</f>
        <v>13</v>
      </c>
      <c r="Y36" s="94">
        <f ca="1">(TblPop[[#This Row],[Peasants]]-TblPop[[#This Row],[Draft Growth]])*raw_pop_growth</f>
        <v>13.469999999999999</v>
      </c>
      <c r="Z36" s="94">
        <f ca="1">ROUND(IF(TblPop[[#This Row],[Military%]]&lt;TblMili[[#This Row],[Draftrate]],ROUND(TblPop[[#This Row],[Peasants]]*Constants!$B$55,0), 0) * IF(AND(TblMagic[[#This Row],[Active DnD]]&lt;=12,TblMagic[[#This Row],[Active DnD]]&gt;6),1.6,1),0)</f>
        <v>5</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c r="A37" s="137">
        <f>TblRezone[[#This Row],[Hour]]</f>
        <v>34</v>
      </c>
      <c r="B37" s="138">
        <f ca="1">TblImps[[#This Row],[Time]]</f>
        <v>45816.37499999992</v>
      </c>
      <c r="C37" s="94">
        <f ca="1">OFFSET(TblPop[[#This Row],[Peasants]],-1,0)+OFFSET(TblPop[[#This Row],[Net Peasant]],-1,0)+TblMili[[#This Row],[Release Draft]]</f>
        <v>449</v>
      </c>
      <c r="D37" s="94">
        <f ca="1">TblMili[[#This Row],[Military]]</f>
        <v>320</v>
      </c>
      <c r="E37" s="94">
        <f ca="1">TblMili[[#This Row],[Draftees]]</f>
        <v>320</v>
      </c>
      <c r="F37" s="94">
        <f ca="1">TblPop[[#This Row],[Peasants]]+TblPop[[#This Row],[Military]]</f>
        <v>769</v>
      </c>
      <c r="G37" s="139">
        <f ca="1">TblPop[[#This Row],[Military]]/TblPop[[#This Row],[Total]]</f>
        <v>0.41612483745123535</v>
      </c>
      <c r="H37" s="140">
        <f ca="1">MIN(TblPop[[#This Row],[Peasants]],TblPop[[#This Row],[Jobs]])</f>
        <v>449</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320</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-4</v>
      </c>
      <c r="X37" s="94">
        <f ca="1">ROUND(TblPop[[#This Row],[Raw Birth]]*(1+TblPop[[#This Row],[Growth]]),0)</f>
        <v>13</v>
      </c>
      <c r="Y37" s="94">
        <f ca="1">(TblPop[[#This Row],[Peasants]]-TblPop[[#This Row],[Draft Growth]])*raw_pop_growth</f>
        <v>13.35</v>
      </c>
      <c r="Z37" s="94">
        <f ca="1">ROUND(IF(TblPop[[#This Row],[Military%]]&lt;TblMili[[#This Row],[Draftrate]],ROUND(TblPop[[#This Row],[Peasants]]*Constants!$B$55,0), 0) * IF(AND(TblMagic[[#This Row],[Active DnD]]&lt;=12,TblMagic[[#This Row],[Active DnD]]&gt;6),1.6,1),0)</f>
        <v>4</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c r="A38" s="137">
        <f>TblRezone[[#This Row],[Hour]]</f>
        <v>35</v>
      </c>
      <c r="B38" s="138">
        <f ca="1">TblImps[[#This Row],[Time]]</f>
        <v>45816.416666666584</v>
      </c>
      <c r="C38" s="94">
        <f ca="1">OFFSET(TblPop[[#This Row],[Peasants]],-1,0)+OFFSET(TblPop[[#This Row],[Net Peasant]],-1,0)+TblMili[[#This Row],[Release Draft]]</f>
        <v>445</v>
      </c>
      <c r="D38" s="94">
        <f ca="1">TblMili[[#This Row],[Military]]</f>
        <v>324</v>
      </c>
      <c r="E38" s="94">
        <f ca="1">TblMili[[#This Row],[Draftees]]</f>
        <v>324</v>
      </c>
      <c r="F38" s="94">
        <f ca="1">TblPop[[#This Row],[Peasants]]+TblPop[[#This Row],[Military]]</f>
        <v>769</v>
      </c>
      <c r="G38" s="139">
        <f ca="1">TblPop[[#This Row],[Military]]/TblPop[[#This Row],[Total]]</f>
        <v>0.42132639791937582</v>
      </c>
      <c r="H38" s="140">
        <f ca="1">MIN(TblPop[[#This Row],[Peasants]],TblPop[[#This Row],[Jobs]])</f>
        <v>445</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324</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-4</v>
      </c>
      <c r="X38" s="94">
        <f ca="1">ROUND(TblPop[[#This Row],[Raw Birth]]*(1+TblPop[[#This Row],[Growth]]),0)</f>
        <v>13</v>
      </c>
      <c r="Y38" s="94">
        <f ca="1">(TblPop[[#This Row],[Peasants]]-TblPop[[#This Row],[Draft Growth]])*raw_pop_growth</f>
        <v>13.229999999999999</v>
      </c>
      <c r="Z38" s="94">
        <f ca="1">ROUND(IF(TblPop[[#This Row],[Military%]]&lt;TblMili[[#This Row],[Draftrate]],ROUND(TblPop[[#This Row],[Peasants]]*Constants!$B$55,0), 0) * IF(AND(TblMagic[[#This Row],[Active DnD]]&lt;=12,TblMagic[[#This Row],[Active DnD]]&gt;6),1.6,1),0)</f>
        <v>4</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c r="A39" s="137">
        <f>TblRezone[[#This Row],[Hour]]</f>
        <v>36</v>
      </c>
      <c r="B39" s="138">
        <f ca="1">TblImps[[#This Row],[Time]]</f>
        <v>45816.458333333248</v>
      </c>
      <c r="C39" s="94">
        <f ca="1">OFFSET(TblPop[[#This Row],[Peasants]],-1,0)+OFFSET(TblPop[[#This Row],[Net Peasant]],-1,0)+TblMili[[#This Row],[Release Draft]]</f>
        <v>441</v>
      </c>
      <c r="D39" s="94">
        <f ca="1">TblMili[[#This Row],[Military]]</f>
        <v>328</v>
      </c>
      <c r="E39" s="94">
        <f ca="1">TblMili[[#This Row],[Draftees]]</f>
        <v>328</v>
      </c>
      <c r="F39" s="94">
        <f ca="1">TblPop[[#This Row],[Peasants]]+TblPop[[#This Row],[Military]]</f>
        <v>769</v>
      </c>
      <c r="G39" s="139">
        <f ca="1">TblPop[[#This Row],[Military]]/TblPop[[#This Row],[Total]]</f>
        <v>0.42652795838751628</v>
      </c>
      <c r="H39" s="140">
        <f ca="1">MIN(TblPop[[#This Row],[Peasants]],TblPop[[#This Row],[Jobs]])</f>
        <v>441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328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-4</v>
      </c>
      <c r="X39" s="94">
        <f ca="1">ROUND(TblPop[[#This Row],[Raw Birth]]*(1+TblPop[[#This Row],[Growth]]),0)</f>
        <v>13</v>
      </c>
      <c r="Y39" s="94">
        <f ca="1">(TblPop[[#This Row],[Peasants]]-TblPop[[#This Row],[Draft Growth]])*raw_pop_growth</f>
        <v>13.11</v>
      </c>
      <c r="Z39" s="94">
        <f ca="1">ROUND(IF(TblPop[[#This Row],[Military%]]&lt;TblMili[[#This Row],[Draftrate]],ROUND(TblPop[[#This Row],[Peasants]]*Constants!$B$55,0), 0) * IF(AND(TblMagic[[#This Row],[Active DnD]]&lt;=12,TblMagic[[#This Row],[Active DnD]]&gt;6),1.6,1),0)</f>
        <v>4</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c r="A40" s="137">
        <f>TblRezone[[#This Row],[Hour]]</f>
        <v>37</v>
      </c>
      <c r="B40" s="138">
        <f ca="1">TblImps[[#This Row],[Time]]</f>
        <v>45816.499999999913</v>
      </c>
      <c r="C40" s="94">
        <f ca="1">OFFSET(TblPop[[#This Row],[Peasants]],-1,0)+OFFSET(TblPop[[#This Row],[Net Peasant]],-1,0)+TblMili[[#This Row],[Release Draft]]</f>
        <v>437</v>
      </c>
      <c r="D40" s="94">
        <f ca="1">TblMili[[#This Row],[Military]]</f>
        <v>332</v>
      </c>
      <c r="E40" s="94">
        <f ca="1">TblMili[[#This Row],[Draftees]]</f>
        <v>332</v>
      </c>
      <c r="F40" s="94">
        <f ca="1">TblPop[[#This Row],[Peasants]]+TblPop[[#This Row],[Military]]</f>
        <v>769</v>
      </c>
      <c r="G40" s="139">
        <f ca="1">TblPop[[#This Row],[Military]]/TblPop[[#This Row],[Total]]</f>
        <v>0.43172951885565669</v>
      </c>
      <c r="H40" s="140">
        <f ca="1">MIN(TblPop[[#This Row],[Peasants]],TblPop[[#This Row],[Jobs]])</f>
        <v>437</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332</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-4</v>
      </c>
      <c r="X40" s="94">
        <f ca="1">ROUND(TblPop[[#This Row],[Raw Birth]]*(1+TblPop[[#This Row],[Growth]]),0)</f>
        <v>13</v>
      </c>
      <c r="Y40" s="94">
        <f ca="1">(TblPop[[#This Row],[Peasants]]-TblPop[[#This Row],[Draft Growth]])*raw_pop_growth</f>
        <v>12.99</v>
      </c>
      <c r="Z40" s="94">
        <f ca="1">ROUND(IF(TblPop[[#This Row],[Military%]]&lt;TblMili[[#This Row],[Draftrate]],ROUND(TblPop[[#This Row],[Peasants]]*Constants!$B$55,0), 0) * IF(AND(TblMagic[[#This Row],[Active DnD]]&lt;=12,TblMagic[[#This Row],[Active DnD]]&gt;6),1.6,1),0)</f>
        <v>4</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c r="A41" s="137">
        <f>TblRezone[[#This Row],[Hour]]</f>
        <v>38</v>
      </c>
      <c r="B41" s="138">
        <f ca="1">TblImps[[#This Row],[Time]]</f>
        <v>45816.541666666577</v>
      </c>
      <c r="C41" s="94">
        <f ca="1">OFFSET(TblPop[[#This Row],[Peasants]],-1,0)+OFFSET(TblPop[[#This Row],[Net Peasant]],-1,0)+TblMili[[#This Row],[Release Draft]]</f>
        <v>433</v>
      </c>
      <c r="D41" s="94">
        <f ca="1">TblMili[[#This Row],[Military]]</f>
        <v>336</v>
      </c>
      <c r="E41" s="94">
        <f ca="1">TblMili[[#This Row],[Draftees]]</f>
        <v>336</v>
      </c>
      <c r="F41" s="94">
        <f ca="1">TblPop[[#This Row],[Peasants]]+TblPop[[#This Row],[Military]]</f>
        <v>769</v>
      </c>
      <c r="G41" s="139">
        <f ca="1">TblPop[[#This Row],[Military]]/TblPop[[#This Row],[Total]]</f>
        <v>0.43693107932379716</v>
      </c>
      <c r="H41" s="140">
        <f ca="1">MIN(TblPop[[#This Row],[Peasants]],TblPop[[#This Row],[Jobs]])</f>
        <v>433</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336</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-4</v>
      </c>
      <c r="X41" s="94">
        <f ca="1">ROUND(TblPop[[#This Row],[Raw Birth]]*(1+TblPop[[#This Row],[Growth]]),0)</f>
        <v>13</v>
      </c>
      <c r="Y41" s="94">
        <f ca="1">(TblPop[[#This Row],[Peasants]]-TblPop[[#This Row],[Draft Growth]])*raw_pop_growth</f>
        <v>12.87</v>
      </c>
      <c r="Z41" s="94">
        <f ca="1">ROUND(IF(TblPop[[#This Row],[Military%]]&lt;TblMili[[#This Row],[Draftrate]],ROUND(TblPop[[#This Row],[Peasants]]*Constants!$B$55,0), 0) * IF(AND(TblMagic[[#This Row],[Active DnD]]&lt;=12,TblMagic[[#This Row],[Active DnD]]&gt;6),1.6,1),0)</f>
        <v>4</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c r="A42" s="137">
        <f>TblRezone[[#This Row],[Hour]]</f>
        <v>39</v>
      </c>
      <c r="B42" s="138">
        <f ca="1">TblImps[[#This Row],[Time]]</f>
        <v>45816.583333333241</v>
      </c>
      <c r="C42" s="94">
        <f ca="1">OFFSET(TblPop[[#This Row],[Peasants]],-1,0)+OFFSET(TblPop[[#This Row],[Net Peasant]],-1,0)+TblMili[[#This Row],[Release Draft]]</f>
        <v>429</v>
      </c>
      <c r="D42" s="94">
        <f ca="1">TblMili[[#This Row],[Military]]</f>
        <v>340</v>
      </c>
      <c r="E42" s="94">
        <f ca="1">TblMili[[#This Row],[Draftees]]</f>
        <v>340</v>
      </c>
      <c r="F42" s="94">
        <f ca="1">TblPop[[#This Row],[Peasants]]+TblPop[[#This Row],[Military]]</f>
        <v>769</v>
      </c>
      <c r="G42" s="139">
        <f ca="1">TblPop[[#This Row],[Military]]/TblPop[[#This Row],[Total]]</f>
        <v>0.44213263979193757</v>
      </c>
      <c r="H42" s="140">
        <f ca="1">MIN(TblPop[[#This Row],[Peasants]],TblPop[[#This Row],[Jobs]])</f>
        <v>429</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340</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-4</v>
      </c>
      <c r="X42" s="94">
        <f ca="1">ROUND(TblPop[[#This Row],[Raw Birth]]*(1+TblPop[[#This Row],[Growth]]),0)</f>
        <v>13</v>
      </c>
      <c r="Y42" s="94">
        <f ca="1">(TblPop[[#This Row],[Peasants]]-TblPop[[#This Row],[Draft Growth]])*raw_pop_growth</f>
        <v>12.75</v>
      </c>
      <c r="Z42" s="94">
        <f ca="1">ROUND(IF(TblPop[[#This Row],[Military%]]&lt;TblMili[[#This Row],[Draftrate]],ROUND(TblPop[[#This Row],[Peasants]]*Constants!$B$55,0), 0) * IF(AND(TblMagic[[#This Row],[Active DnD]]&lt;=12,TblMagic[[#This Row],[Active DnD]]&gt;6),1.6,1),0)</f>
        <v>4</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c r="A43" s="137">
        <f>TblRezone[[#This Row],[Hour]]</f>
        <v>40</v>
      </c>
      <c r="B43" s="138">
        <f ca="1">TblImps[[#This Row],[Time]]</f>
        <v>45816.624999999905</v>
      </c>
      <c r="C43" s="94">
        <f ca="1">OFFSET(TblPop[[#This Row],[Peasants]],-1,0)+OFFSET(TblPop[[#This Row],[Net Peasant]],-1,0)+TblMili[[#This Row],[Release Draft]]</f>
        <v>425</v>
      </c>
      <c r="D43" s="94">
        <f ca="1">TblMili[[#This Row],[Military]]</f>
        <v>344</v>
      </c>
      <c r="E43" s="94">
        <f ca="1">TblMili[[#This Row],[Draftees]]</f>
        <v>344</v>
      </c>
      <c r="F43" s="94">
        <f ca="1">TblPop[[#This Row],[Peasants]]+TblPop[[#This Row],[Military]]</f>
        <v>769</v>
      </c>
      <c r="G43" s="139">
        <f ca="1">TblPop[[#This Row],[Military]]/TblPop[[#This Row],[Total]]</f>
        <v>0.44733420026007803</v>
      </c>
      <c r="H43" s="140">
        <f ca="1">MIN(TblPop[[#This Row],[Peasants]],TblPop[[#This Row],[Jobs]])</f>
        <v>425</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344</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-4</v>
      </c>
      <c r="X43" s="94">
        <f ca="1">ROUND(TblPop[[#This Row],[Raw Birth]]*(1+TblPop[[#This Row],[Growth]]),0)</f>
        <v>13</v>
      </c>
      <c r="Y43" s="94">
        <f ca="1">(TblPop[[#This Row],[Peasants]]-TblPop[[#This Row],[Draft Growth]])*raw_pop_growth</f>
        <v>12.629999999999999</v>
      </c>
      <c r="Z43" s="94">
        <f ca="1">ROUND(IF(TblPop[[#This Row],[Military%]]&lt;TblMili[[#This Row],[Draftrate]],ROUND(TblPop[[#This Row],[Peasants]]*Constants!$B$55,0), 0) * IF(AND(TblMagic[[#This Row],[Active DnD]]&lt;=12,TblMagic[[#This Row],[Active DnD]]&gt;6),1.6,1),0)</f>
        <v>4</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c r="A44" s="137">
        <f>TblRezone[[#This Row],[Hour]]</f>
        <v>41</v>
      </c>
      <c r="B44" s="138">
        <f ca="1">TblImps[[#This Row],[Time]]</f>
        <v>45816.66666666657</v>
      </c>
      <c r="C44" s="94">
        <f ca="1">OFFSET(TblPop[[#This Row],[Peasants]],-1,0)+OFFSET(TblPop[[#This Row],[Net Peasant]],-1,0)+TblMili[[#This Row],[Release Draft]]</f>
        <v>421</v>
      </c>
      <c r="D44" s="94">
        <f ca="1">TblMili[[#This Row],[Military]]</f>
        <v>348</v>
      </c>
      <c r="E44" s="94">
        <f ca="1">TblMili[[#This Row],[Draftees]]</f>
        <v>348</v>
      </c>
      <c r="F44" s="94">
        <f ca="1">TblPop[[#This Row],[Peasants]]+TblPop[[#This Row],[Military]]</f>
        <v>769</v>
      </c>
      <c r="G44" s="139">
        <f ca="1">TblPop[[#This Row],[Military]]/TblPop[[#This Row],[Total]]</f>
        <v>0.45253576072821844</v>
      </c>
      <c r="H44" s="140">
        <f ca="1">MIN(TblPop[[#This Row],[Peasants]],TblPop[[#This Row],[Jobs]])</f>
        <v>421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348</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-4</v>
      </c>
      <c r="X44" s="94">
        <f ca="1">ROUND(TblPop[[#This Row],[Raw Birth]]*(1+TblPop[[#This Row],[Growth]]),0)</f>
        <v>13</v>
      </c>
      <c r="Y44" s="94">
        <f ca="1">(TblPop[[#This Row],[Peasants]]-TblPop[[#This Row],[Draft Growth]])*raw_pop_growth</f>
        <v>12.51</v>
      </c>
      <c r="Z44" s="94">
        <f ca="1">ROUND(IF(TblPop[[#This Row],[Military%]]&lt;TblMili[[#This Row],[Draftrate]],ROUND(TblPop[[#This Row],[Peasants]]*Constants!$B$55,0), 0) * IF(AND(TblMagic[[#This Row],[Active DnD]]&lt;=12,TblMagic[[#This Row],[Active DnD]]&gt;6),1.6,1),0)</f>
        <v>4</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c r="A45" s="137">
        <f>TblRezone[[#This Row],[Hour]]</f>
        <v>42</v>
      </c>
      <c r="B45" s="138">
        <f ca="1">TblImps[[#This Row],[Time]]</f>
        <v>45816.708333333234</v>
      </c>
      <c r="C45" s="94">
        <f ca="1">OFFSET(TblPop[[#This Row],[Peasants]],-1,0)+OFFSET(TblPop[[#This Row],[Net Peasant]],-1,0)+TblMili[[#This Row],[Release Draft]]</f>
        <v>417</v>
      </c>
      <c r="D45" s="94">
        <f ca="1">TblMili[[#This Row],[Military]]</f>
        <v>352</v>
      </c>
      <c r="E45" s="94">
        <f ca="1">TblMili[[#This Row],[Draftees]]</f>
        <v>352</v>
      </c>
      <c r="F45" s="94">
        <f ca="1">TblPop[[#This Row],[Peasants]]+TblPop[[#This Row],[Military]]</f>
        <v>769</v>
      </c>
      <c r="G45" s="139">
        <f ca="1">TblPop[[#This Row],[Military]]/TblPop[[#This Row],[Total]]</f>
        <v>0.4577373211963589</v>
      </c>
      <c r="H45" s="140">
        <f ca="1">MIN(TblPop[[#This Row],[Peasants]],TblPop[[#This Row],[Jobs]])</f>
        <v>417</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352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-4</v>
      </c>
      <c r="X45" s="94">
        <f ca="1">ROUND(TblPop[[#This Row],[Raw Birth]]*(1+TblPop[[#This Row],[Growth]]),0)</f>
        <v>12</v>
      </c>
      <c r="Y45" s="94">
        <f ca="1">(TblPop[[#This Row],[Peasants]]-TblPop[[#This Row],[Draft Growth]])*raw_pop_growth</f>
        <v>12.389999999999999</v>
      </c>
      <c r="Z45" s="94">
        <f ca="1">ROUND(IF(TblPop[[#This Row],[Military%]]&lt;TblMili[[#This Row],[Draftrate]],ROUND(TblPop[[#This Row],[Peasants]]*Constants!$B$55,0), 0) * IF(AND(TblMagic[[#This Row],[Active DnD]]&lt;=12,TblMagic[[#This Row],[Active DnD]]&gt;6),1.6,1),0)</f>
        <v>4</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c r="A46" s="137">
        <f>TblRezone[[#This Row],[Hour]]</f>
        <v>43</v>
      </c>
      <c r="B46" s="138">
        <f ca="1">TblImps[[#This Row],[Time]]</f>
        <v>45816.749999999898</v>
      </c>
      <c r="C46" s="94">
        <f ca="1">OFFSET(TblPop[[#This Row],[Peasants]],-1,0)+OFFSET(TblPop[[#This Row],[Net Peasant]],-1,0)+TblMili[[#This Row],[Release Draft]]</f>
        <v>413</v>
      </c>
      <c r="D46" s="94">
        <f ca="1">TblMili[[#This Row],[Military]]</f>
        <v>356</v>
      </c>
      <c r="E46" s="94">
        <f ca="1">TblMili[[#This Row],[Draftees]]</f>
        <v>356</v>
      </c>
      <c r="F46" s="94">
        <f ca="1">TblPop[[#This Row],[Peasants]]+TblPop[[#This Row],[Military]]</f>
        <v>769</v>
      </c>
      <c r="G46" s="139">
        <f ca="1">TblPop[[#This Row],[Military]]/TblPop[[#This Row],[Total]]</f>
        <v>0.46293888166449937</v>
      </c>
      <c r="H46" s="140">
        <f ca="1">MIN(TblPop[[#This Row],[Peasants]],TblPop[[#This Row],[Jobs]])</f>
        <v>413</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356</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-4</v>
      </c>
      <c r="X46" s="94">
        <f ca="1">ROUND(TblPop[[#This Row],[Raw Birth]]*(1+TblPop[[#This Row],[Growth]]),0)</f>
        <v>12</v>
      </c>
      <c r="Y46" s="94">
        <f ca="1">(TblPop[[#This Row],[Peasants]]-TblPop[[#This Row],[Draft Growth]])*raw_pop_growth</f>
        <v>12.27</v>
      </c>
      <c r="Z46" s="94">
        <f ca="1">ROUND(IF(TblPop[[#This Row],[Military%]]&lt;TblMili[[#This Row],[Draftrate]],ROUND(TblPop[[#This Row],[Peasants]]*Constants!$B$55,0), 0) * IF(AND(TblMagic[[#This Row],[Active DnD]]&lt;=12,TblMagic[[#This Row],[Active DnD]]&gt;6),1.6,1),0)</f>
        <v>4</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c r="A47" s="137">
        <f>TblRezone[[#This Row],[Hour]]</f>
        <v>44</v>
      </c>
      <c r="B47" s="138">
        <f ca="1">TblImps[[#This Row],[Time]]</f>
        <v>45816.791666666562</v>
      </c>
      <c r="C47" s="94">
        <f ca="1">OFFSET(TblPop[[#This Row],[Peasants]],-1,0)+OFFSET(TblPop[[#This Row],[Net Peasant]],-1,0)+TblMili[[#This Row],[Release Draft]]</f>
        <v>409</v>
      </c>
      <c r="D47" s="94">
        <f ca="1">TblMili[[#This Row],[Military]]</f>
        <v>360</v>
      </c>
      <c r="E47" s="94">
        <f ca="1">TblMili[[#This Row],[Draftees]]</f>
        <v>360</v>
      </c>
      <c r="F47" s="94">
        <f ca="1">TblPop[[#This Row],[Peasants]]+TblPop[[#This Row],[Military]]</f>
        <v>769</v>
      </c>
      <c r="G47" s="139">
        <f ca="1">TblPop[[#This Row],[Military]]/TblPop[[#This Row],[Total]]</f>
        <v>0.46814044213263978</v>
      </c>
      <c r="H47" s="140">
        <f ca="1">MIN(TblPop[[#This Row],[Peasants]],TblPop[[#This Row],[Jobs]])</f>
        <v>409</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360</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-4</v>
      </c>
      <c r="X47" s="94">
        <f ca="1">ROUND(TblPop[[#This Row],[Raw Birth]]*(1+TblPop[[#This Row],[Growth]]),0)</f>
        <v>12</v>
      </c>
      <c r="Y47" s="94">
        <f ca="1">(TblPop[[#This Row],[Peasants]]-TblPop[[#This Row],[Draft Growth]])*raw_pop_growth</f>
        <v>12.15</v>
      </c>
      <c r="Z47" s="94">
        <f ca="1">ROUND(IF(TblPop[[#This Row],[Military%]]&lt;TblMili[[#This Row],[Draftrate]],ROUND(TblPop[[#This Row],[Peasants]]*Constants!$B$55,0), 0) * IF(AND(TblMagic[[#This Row],[Active DnD]]&lt;=12,TblMagic[[#This Row],[Active DnD]]&gt;6),1.6,1),0)</f>
        <v>4</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c r="A48" s="137">
        <f>TblRezone[[#This Row],[Hour]]</f>
        <v>45</v>
      </c>
      <c r="B48" s="138">
        <f ca="1">TblImps[[#This Row],[Time]]</f>
        <v>45816.833333333227</v>
      </c>
      <c r="C48" s="94">
        <f ca="1">OFFSET(TblPop[[#This Row],[Peasants]],-1,0)+OFFSET(TblPop[[#This Row],[Net Peasant]],-1,0)+TblMili[[#This Row],[Release Draft]]</f>
        <v>405</v>
      </c>
      <c r="D48" s="94">
        <f ca="1">TblMili[[#This Row],[Military]]</f>
        <v>364</v>
      </c>
      <c r="E48" s="94">
        <f ca="1">TblMili[[#This Row],[Draftees]]</f>
        <v>364</v>
      </c>
      <c r="F48" s="94">
        <f ca="1">TblPop[[#This Row],[Peasants]]+TblPop[[#This Row],[Military]]</f>
        <v>769</v>
      </c>
      <c r="G48" s="139">
        <f ca="1">TblPop[[#This Row],[Military]]/TblPop[[#This Row],[Total]]</f>
        <v>0.47334200260078024</v>
      </c>
      <c r="H48" s="140">
        <f ca="1">MIN(TblPop[[#This Row],[Peasants]],TblPop[[#This Row],[Jobs]])</f>
        <v>405</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364</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-4</v>
      </c>
      <c r="X48" s="94">
        <f ca="1">ROUND(TblPop[[#This Row],[Raw Birth]]*(1+TblPop[[#This Row],[Growth]]),0)</f>
        <v>12</v>
      </c>
      <c r="Y48" s="94">
        <f ca="1">(TblPop[[#This Row],[Peasants]]-TblPop[[#This Row],[Draft Growth]])*raw_pop_growth</f>
        <v>12.03</v>
      </c>
      <c r="Z48" s="94">
        <f ca="1">ROUND(IF(TblPop[[#This Row],[Military%]]&lt;TblMili[[#This Row],[Draftrate]],ROUND(TblPop[[#This Row],[Peasants]]*Constants!$B$55,0), 0) * IF(AND(TblMagic[[#This Row],[Active DnD]]&lt;=12,TblMagic[[#This Row],[Active DnD]]&gt;6),1.6,1),0)</f>
        <v>4</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c r="A49" s="137">
        <f>TblRezone[[#This Row],[Hour]]</f>
        <v>46</v>
      </c>
      <c r="B49" s="138">
        <f ca="1">TblImps[[#This Row],[Time]]</f>
        <v>45816.874999999891</v>
      </c>
      <c r="C49" s="94">
        <f ca="1">OFFSET(TblPop[[#This Row],[Peasants]],-1,0)+OFFSET(TblPop[[#This Row],[Net Peasant]],-1,0)+TblMili[[#This Row],[Release Draft]]</f>
        <v>401</v>
      </c>
      <c r="D49" s="94">
        <f ca="1">TblMili[[#This Row],[Military]]</f>
        <v>368</v>
      </c>
      <c r="E49" s="94">
        <f ca="1">TblMili[[#This Row],[Draftees]]</f>
        <v>368</v>
      </c>
      <c r="F49" s="94">
        <f ca="1">TblPop[[#This Row],[Peasants]]+TblPop[[#This Row],[Military]]</f>
        <v>769</v>
      </c>
      <c r="G49" s="139">
        <f ca="1">TblPop[[#This Row],[Military]]/TblPop[[#This Row],[Total]]</f>
        <v>0.47854356306892065</v>
      </c>
      <c r="H49" s="140">
        <f ca="1">MIN(TblPop[[#This Row],[Peasants]],TblPop[[#This Row],[Jobs]])</f>
        <v>401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368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-4</v>
      </c>
      <c r="X49" s="94">
        <f ca="1">ROUND(TblPop[[#This Row],[Raw Birth]]*(1+TblPop[[#This Row],[Growth]]),0)</f>
        <v>12</v>
      </c>
      <c r="Y49" s="94">
        <f ca="1">(TblPop[[#This Row],[Peasants]]-TblPop[[#This Row],[Draft Growth]])*raw_pop_growth</f>
        <v>11.91</v>
      </c>
      <c r="Z49" s="94">
        <f ca="1">ROUND(IF(TblPop[[#This Row],[Military%]]&lt;TblMili[[#This Row],[Draftrate]],ROUND(TblPop[[#This Row],[Peasants]]*Constants!$B$55,0), 0) * IF(AND(TblMagic[[#This Row],[Active DnD]]&lt;=12,TblMagic[[#This Row],[Active DnD]]&gt;6),1.6,1),0)</f>
        <v>4</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c r="A50" s="137">
        <f>TblRezone[[#This Row],[Hour]]</f>
        <v>47</v>
      </c>
      <c r="B50" s="138">
        <f ca="1">TblImps[[#This Row],[Time]]</f>
        <v>45816.916666666555</v>
      </c>
      <c r="C50" s="94">
        <f ca="1">OFFSET(TblPop[[#This Row],[Peasants]],-1,0)+OFFSET(TblPop[[#This Row],[Net Peasant]],-1,0)+TblMili[[#This Row],[Release Draft]]</f>
        <v>397</v>
      </c>
      <c r="D50" s="94">
        <f ca="1">TblMili[[#This Row],[Military]]</f>
        <v>372</v>
      </c>
      <c r="E50" s="94">
        <f ca="1">TblMili[[#This Row],[Draftees]]</f>
        <v>372</v>
      </c>
      <c r="F50" s="94">
        <f ca="1">TblPop[[#This Row],[Peasants]]+TblPop[[#This Row],[Military]]</f>
        <v>769</v>
      </c>
      <c r="G50" s="139">
        <f ca="1">TblPop[[#This Row],[Military]]/TblPop[[#This Row],[Total]]</f>
        <v>0.48374512353706112</v>
      </c>
      <c r="H50" s="140">
        <f ca="1">MIN(TblPop[[#This Row],[Peasants]],TblPop[[#This Row],[Jobs]])</f>
        <v>397</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372</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-4</v>
      </c>
      <c r="X50" s="94">
        <f ca="1">ROUND(TblPop[[#This Row],[Raw Birth]]*(1+TblPop[[#This Row],[Growth]]),0)</f>
        <v>12</v>
      </c>
      <c r="Y50" s="94">
        <f ca="1">(TblPop[[#This Row],[Peasants]]-TblPop[[#This Row],[Draft Growth]])*raw_pop_growth</f>
        <v>11.79</v>
      </c>
      <c r="Z50" s="94">
        <f ca="1">ROUND(IF(TblPop[[#This Row],[Military%]]&lt;TblMili[[#This Row],[Draftrate]],ROUND(TblPop[[#This Row],[Peasants]]*Constants!$B$55,0), 0) * IF(AND(TblMagic[[#This Row],[Active DnD]]&lt;=12,TblMagic[[#This Row],[Active DnD]]&gt;6),1.6,1),0)</f>
        <v>4</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c r="A51" s="137">
        <f>TblRezone[[#This Row],[Hour]]</f>
        <v>48</v>
      </c>
      <c r="B51" s="138">
        <f ca="1">TblImps[[#This Row],[Time]]</f>
        <v>45816.958333333219</v>
      </c>
      <c r="C51" s="94">
        <f ca="1">OFFSET(TblPop[[#This Row],[Peasants]],-1,0)+OFFSET(TblPop[[#This Row],[Net Peasant]],-1,0)+TblMili[[#This Row],[Release Draft]]</f>
        <v>393</v>
      </c>
      <c r="D51" s="94">
        <f ca="1">TblMili[[#This Row],[Military]]</f>
        <v>376</v>
      </c>
      <c r="E51" s="94">
        <f ca="1">TblMili[[#This Row],[Draftees]]</f>
        <v>376</v>
      </c>
      <c r="F51" s="94">
        <f ca="1">TblPop[[#This Row],[Peasants]]+TblPop[[#This Row],[Military]]</f>
        <v>769</v>
      </c>
      <c r="G51" s="139">
        <f ca="1">TblPop[[#This Row],[Military]]/TblPop[[#This Row],[Total]]</f>
        <v>0.48894668400520158</v>
      </c>
      <c r="H51" s="140">
        <f ca="1">MIN(TblPop[[#This Row],[Peasants]],TblPop[[#This Row],[Jobs]])</f>
        <v>393</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376</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-4</v>
      </c>
      <c r="X51" s="94">
        <f ca="1">ROUND(TblPop[[#This Row],[Raw Birth]]*(1+TblPop[[#This Row],[Growth]]),0)</f>
        <v>12</v>
      </c>
      <c r="Y51" s="94">
        <f ca="1">(TblPop[[#This Row],[Peasants]]-TblPop[[#This Row],[Draft Growth]])*raw_pop_growth</f>
        <v>11.67</v>
      </c>
      <c r="Z51" s="94">
        <f ca="1">ROUND(IF(TblPop[[#This Row],[Military%]]&lt;TblMili[[#This Row],[Draftrate]],ROUND(TblPop[[#This Row],[Peasants]]*Constants!$B$55,0), 0) * IF(AND(TblMagic[[#This Row],[Active DnD]]&lt;=12,TblMagic[[#This Row],[Active DnD]]&gt;6),1.6,1),0)</f>
        <v>4</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c r="A52" s="144">
        <f>TblRezone[[#This Row],[Hour]]</f>
        <v>49</v>
      </c>
      <c r="B52" s="145">
        <f ca="1">TblImps[[#This Row],[Time]]</f>
        <v>45816.999999999884</v>
      </c>
      <c r="C52" s="35">
        <f ca="1">OFFSET(TblPop[[#This Row],[Peasants]],-1,0)+OFFSET(TblPop[[#This Row],[Net Peasant]],-1,0)+TblMili[[#This Row],[Release Draft]]</f>
        <v>389</v>
      </c>
      <c r="D52" s="35">
        <f ca="1">TblMili[[#This Row],[Military]]</f>
        <v>380</v>
      </c>
      <c r="E52" s="35">
        <f ca="1">TblMili[[#This Row],[Draftees]]</f>
        <v>380</v>
      </c>
      <c r="F52" s="35">
        <f ca="1">TblPop[[#This Row],[Peasants]]+TblPop[[#This Row],[Military]]</f>
        <v>769</v>
      </c>
      <c r="G52" s="146">
        <f ca="1">TblPop[[#This Row],[Military]]/TblPop[[#This Row],[Total]]</f>
        <v>0.49414824447334199</v>
      </c>
      <c r="H52" s="147">
        <f ca="1">MIN(TblPop[[#This Row],[Peasants]],TblPop[[#This Row],[Jobs]])</f>
        <v>389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380</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-4</v>
      </c>
      <c r="X52" s="35">
        <f ca="1">ROUND(TblPop[[#This Row],[Raw Birth]]*(1+TblPop[[#This Row],[Growth]]),0)</f>
        <v>12</v>
      </c>
      <c r="Y52" s="35">
        <f ca="1">(TblPop[[#This Row],[Peasants]]-TblPop[[#This Row],[Draft Growth]])*raw_pop_growth</f>
        <v>11.549999999999999</v>
      </c>
      <c r="Z52" s="35">
        <f ca="1">ROUND(IF(TblPop[[#This Row],[Military%]]&lt;TblMili[[#This Row],[Draftrate]],ROUND(TblPop[[#This Row],[Peasants]]*Constants!$B$55,0), 0) * IF(AND(TblMagic[[#This Row],[Active DnD]]&lt;=12,TblMagic[[#This Row],[Active DnD]]&gt;6),1.6,1),0)</f>
        <v>4</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c r="A53" s="137">
        <f>TblRezone[[#This Row],[Hour]]</f>
        <v>50</v>
      </c>
      <c r="B53" s="138">
        <f ca="1">TblImps[[#This Row],[Time]]</f>
        <v>45817.041666666548</v>
      </c>
      <c r="C53" s="94">
        <f ca="1">OFFSET(TblPop[[#This Row],[Peasants]],-1,0)+OFFSET(TblPop[[#This Row],[Net Peasant]],-1,0)+TblMili[[#This Row],[Release Draft]]</f>
        <v>385</v>
      </c>
      <c r="D53" s="94">
        <f ca="1">TblMili[[#This Row],[Military]]</f>
        <v>384</v>
      </c>
      <c r="E53" s="94">
        <f ca="1">TblMili[[#This Row],[Draftees]]</f>
        <v>384</v>
      </c>
      <c r="F53" s="94">
        <f ca="1">TblPop[[#This Row],[Peasants]]+TblPop[[#This Row],[Military]]</f>
        <v>769</v>
      </c>
      <c r="G53" s="139">
        <f ca="1">TblPop[[#This Row],[Military]]/TblPop[[#This Row],[Total]]</f>
        <v>0.49934980494148246</v>
      </c>
      <c r="H53" s="140">
        <f ca="1">MIN(TblPop[[#This Row],[Peasants]],TblPop[[#This Row],[Jobs]])</f>
        <v>385</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384</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-4</v>
      </c>
      <c r="X53" s="94">
        <f ca="1">ROUND(TblPop[[#This Row],[Raw Birth]]*(1+TblPop[[#This Row],[Growth]]),0)</f>
        <v>11</v>
      </c>
      <c r="Y53" s="94">
        <f ca="1">(TblPop[[#This Row],[Peasants]]-TblPop[[#This Row],[Draft Growth]])*raw_pop_growth</f>
        <v>11.43</v>
      </c>
      <c r="Z53" s="94">
        <f ca="1">ROUND(IF(TblPop[[#This Row],[Military%]]&lt;TblMili[[#This Row],[Draftrate]],ROUND(TblPop[[#This Row],[Peasants]]*Constants!$B$55,0), 0) * IF(AND(TblMagic[[#This Row],[Active DnD]]&lt;=12,TblMagic[[#This Row],[Active DnD]]&gt;6),1.6,1),0)</f>
        <v>4</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c r="A54" s="137">
        <f>TblRezone[[#This Row],[Hour]]</f>
        <v>51</v>
      </c>
      <c r="B54" s="138">
        <f ca="1">TblImps[[#This Row],[Time]]</f>
        <v>45817.083333333212</v>
      </c>
      <c r="C54" s="94">
        <f ca="1">OFFSET(TblPop[[#This Row],[Peasants]],-1,0)+OFFSET(TblPop[[#This Row],[Net Peasant]],-1,0)+TblMili[[#This Row],[Release Draft]]</f>
        <v>381</v>
      </c>
      <c r="D54" s="94">
        <f ca="1">TblMili[[#This Row],[Military]]</f>
        <v>388</v>
      </c>
      <c r="E54" s="94">
        <f ca="1">TblMili[[#This Row],[Draftees]]</f>
        <v>388</v>
      </c>
      <c r="F54" s="94">
        <f ca="1">TblPop[[#This Row],[Peasants]]+TblPop[[#This Row],[Military]]</f>
        <v>769</v>
      </c>
      <c r="G54" s="139">
        <f ca="1">TblPop[[#This Row],[Military]]/TblPop[[#This Row],[Total]]</f>
        <v>0.50455136540962287</v>
      </c>
      <c r="H54" s="140">
        <f ca="1">MIN(TblPop[[#This Row],[Peasants]],TblPop[[#This Row],[Jobs]])</f>
        <v>381</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388</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-4</v>
      </c>
      <c r="X54" s="94">
        <f ca="1">ROUND(TblPop[[#This Row],[Raw Birth]]*(1+TblPop[[#This Row],[Growth]]),0)</f>
        <v>11</v>
      </c>
      <c r="Y54" s="94">
        <f ca="1">(TblPop[[#This Row],[Peasants]]-TblPop[[#This Row],[Draft Growth]])*raw_pop_growth</f>
        <v>11.309999999999999</v>
      </c>
      <c r="Z54" s="94">
        <f ca="1">ROUND(IF(TblPop[[#This Row],[Military%]]&lt;TblMili[[#This Row],[Draftrate]],ROUND(TblPop[[#This Row],[Peasants]]*Constants!$B$55,0), 0) * IF(AND(TblMagic[[#This Row],[Active DnD]]&lt;=12,TblMagic[[#This Row],[Active DnD]]&gt;6),1.6,1),0)</f>
        <v>4</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c r="A55" s="137">
        <f>TblRezone[[#This Row],[Hour]]</f>
        <v>52</v>
      </c>
      <c r="B55" s="138">
        <f ca="1">TblImps[[#This Row],[Time]]</f>
        <v>45817.124999999876</v>
      </c>
      <c r="C55" s="94">
        <f ca="1">OFFSET(TblPop[[#This Row],[Peasants]],-1,0)+OFFSET(TblPop[[#This Row],[Net Peasant]],-1,0)+TblMili[[#This Row],[Release Draft]]</f>
        <v>377</v>
      </c>
      <c r="D55" s="94">
        <f ca="1">TblMili[[#This Row],[Military]]</f>
        <v>392</v>
      </c>
      <c r="E55" s="94">
        <f ca="1">TblMili[[#This Row],[Draftees]]</f>
        <v>392</v>
      </c>
      <c r="F55" s="94">
        <f ca="1">TblPop[[#This Row],[Peasants]]+TblPop[[#This Row],[Military]]</f>
        <v>769</v>
      </c>
      <c r="G55" s="139">
        <f ca="1">TblPop[[#This Row],[Military]]/TblPop[[#This Row],[Total]]</f>
        <v>0.50975292587776333</v>
      </c>
      <c r="H55" s="140">
        <f ca="1">MIN(TblPop[[#This Row],[Peasants]],TblPop[[#This Row],[Jobs]])</f>
        <v>377</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392</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-4</v>
      </c>
      <c r="X55" s="94">
        <f ca="1">ROUND(TblPop[[#This Row],[Raw Birth]]*(1+TblPop[[#This Row],[Growth]]),0)</f>
        <v>11</v>
      </c>
      <c r="Y55" s="94">
        <f ca="1">(TblPop[[#This Row],[Peasants]]-TblPop[[#This Row],[Draft Growth]])*raw_pop_growth</f>
        <v>11.19</v>
      </c>
      <c r="Z55" s="94">
        <f ca="1">ROUND(IF(TblPop[[#This Row],[Military%]]&lt;TblMili[[#This Row],[Draftrate]],ROUND(TblPop[[#This Row],[Peasants]]*Constants!$B$55,0), 0) * IF(AND(TblMagic[[#This Row],[Active DnD]]&lt;=12,TblMagic[[#This Row],[Active DnD]]&gt;6),1.6,1),0)</f>
        <v>4</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c r="A56" s="137">
        <f>TblRezone[[#This Row],[Hour]]</f>
        <v>53</v>
      </c>
      <c r="B56" s="138">
        <f ca="1">TblImps[[#This Row],[Time]]</f>
        <v>45817.166666666541</v>
      </c>
      <c r="C56" s="94">
        <f ca="1">OFFSET(TblPop[[#This Row],[Peasants]],-1,0)+OFFSET(TblPop[[#This Row],[Net Peasant]],-1,0)+TblMili[[#This Row],[Release Draft]]</f>
        <v>373</v>
      </c>
      <c r="D56" s="94">
        <f ca="1">TblMili[[#This Row],[Military]]</f>
        <v>396</v>
      </c>
      <c r="E56" s="94">
        <f ca="1">TblMili[[#This Row],[Draftees]]</f>
        <v>396</v>
      </c>
      <c r="F56" s="94">
        <f ca="1">TblPop[[#This Row],[Peasants]]+TblPop[[#This Row],[Military]]</f>
        <v>769</v>
      </c>
      <c r="G56" s="139">
        <f ca="1">TblPop[[#This Row],[Military]]/TblPop[[#This Row],[Total]]</f>
        <v>0.51495448634590379</v>
      </c>
      <c r="H56" s="140">
        <f ca="1">MIN(TblPop[[#This Row],[Peasants]],TblPop[[#This Row],[Jobs]])</f>
        <v>373</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396</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-4</v>
      </c>
      <c r="X56" s="94">
        <f ca="1">ROUND(TblPop[[#This Row],[Raw Birth]]*(1+TblPop[[#This Row],[Growth]]),0)</f>
        <v>11</v>
      </c>
      <c r="Y56" s="94">
        <f ca="1">(TblPop[[#This Row],[Peasants]]-TblPop[[#This Row],[Draft Growth]])*raw_pop_growth</f>
        <v>11.07</v>
      </c>
      <c r="Z56" s="94">
        <f ca="1">ROUND(IF(TblPop[[#This Row],[Military%]]&lt;TblMili[[#This Row],[Draftrate]],ROUND(TblPop[[#This Row],[Peasants]]*Constants!$B$55,0), 0) * IF(AND(TblMagic[[#This Row],[Active DnD]]&lt;=12,TblMagic[[#This Row],[Active DnD]]&gt;6),1.6,1),0)</f>
        <v>4</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c r="A57" s="137">
        <f>TblRezone[[#This Row],[Hour]]</f>
        <v>54</v>
      </c>
      <c r="B57" s="138">
        <f ca="1">TblImps[[#This Row],[Time]]</f>
        <v>45817.208333333205</v>
      </c>
      <c r="C57" s="94">
        <f ca="1">OFFSET(TblPop[[#This Row],[Peasants]],-1,0)+OFFSET(TblPop[[#This Row],[Net Peasant]],-1,0)+TblMili[[#This Row],[Release Draft]]</f>
        <v>369</v>
      </c>
      <c r="D57" s="94">
        <f ca="1">TblMili[[#This Row],[Military]]</f>
        <v>400</v>
      </c>
      <c r="E57" s="94">
        <f ca="1">TblMili[[#This Row],[Draftees]]</f>
        <v>400</v>
      </c>
      <c r="F57" s="94">
        <f ca="1">TblPop[[#This Row],[Peasants]]+TblPop[[#This Row],[Military]]</f>
        <v>769</v>
      </c>
      <c r="G57" s="139">
        <f ca="1">TblPop[[#This Row],[Military]]/TblPop[[#This Row],[Total]]</f>
        <v>0.52015604681404426</v>
      </c>
      <c r="H57" s="140">
        <f ca="1">MIN(TblPop[[#This Row],[Peasants]],TblPop[[#This Row],[Jobs]])</f>
        <v>369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400</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-4</v>
      </c>
      <c r="X57" s="94">
        <f ca="1">ROUND(TblPop[[#This Row],[Raw Birth]]*(1+TblPop[[#This Row],[Growth]]),0)</f>
        <v>11</v>
      </c>
      <c r="Y57" s="94">
        <f ca="1">(TblPop[[#This Row],[Peasants]]-TblPop[[#This Row],[Draft Growth]])*raw_pop_growth</f>
        <v>10.95</v>
      </c>
      <c r="Z57" s="94">
        <f ca="1">ROUND(IF(TblPop[[#This Row],[Military%]]&lt;TblMili[[#This Row],[Draftrate]],ROUND(TblPop[[#This Row],[Peasants]]*Constants!$B$55,0), 0) * IF(AND(TblMagic[[#This Row],[Active DnD]]&lt;=12,TblMagic[[#This Row],[Active DnD]]&gt;6),1.6,1),0)</f>
        <v>4</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c r="A58" s="137">
        <f>TblRezone[[#This Row],[Hour]]</f>
        <v>55</v>
      </c>
      <c r="B58" s="138">
        <f ca="1">TblImps[[#This Row],[Time]]</f>
        <v>45817.249999999869</v>
      </c>
      <c r="C58" s="94">
        <f ca="1">OFFSET(TblPop[[#This Row],[Peasants]],-1,0)+OFFSET(TblPop[[#This Row],[Net Peasant]],-1,0)+TblMili[[#This Row],[Release Draft]]</f>
        <v>365</v>
      </c>
      <c r="D58" s="94">
        <f ca="1">TblMili[[#This Row],[Military]]</f>
        <v>404</v>
      </c>
      <c r="E58" s="94">
        <f ca="1">TblMili[[#This Row],[Draftees]]</f>
        <v>404</v>
      </c>
      <c r="F58" s="94">
        <f ca="1">TblPop[[#This Row],[Peasants]]+TblPop[[#This Row],[Military]]</f>
        <v>769</v>
      </c>
      <c r="G58" s="139">
        <f ca="1">TblPop[[#This Row],[Military]]/TblPop[[#This Row],[Total]]</f>
        <v>0.52535760728218461</v>
      </c>
      <c r="H58" s="140">
        <f ca="1">MIN(TblPop[[#This Row],[Peasants]],TblPop[[#This Row],[Jobs]])</f>
        <v>365</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404</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-4</v>
      </c>
      <c r="X58" s="94">
        <f ca="1">ROUND(TblPop[[#This Row],[Raw Birth]]*(1+TblPop[[#This Row],[Growth]]),0)</f>
        <v>11</v>
      </c>
      <c r="Y58" s="94">
        <f ca="1">(TblPop[[#This Row],[Peasants]]-TblPop[[#This Row],[Draft Growth]])*raw_pop_growth</f>
        <v>10.83</v>
      </c>
      <c r="Z58" s="94">
        <f ca="1">ROUND(IF(TblPop[[#This Row],[Military%]]&lt;TblMili[[#This Row],[Draftrate]],ROUND(TblPop[[#This Row],[Peasants]]*Constants!$B$55,0), 0) * IF(AND(TblMagic[[#This Row],[Active DnD]]&lt;=12,TblMagic[[#This Row],[Active DnD]]&gt;6),1.6,1),0)</f>
        <v>4</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c r="A59" s="137">
        <f>TblRezone[[#This Row],[Hour]]</f>
        <v>56</v>
      </c>
      <c r="B59" s="138">
        <f ca="1">TblImps[[#This Row],[Time]]</f>
        <v>45817.291666666533</v>
      </c>
      <c r="C59" s="94">
        <f ca="1">OFFSET(TblPop[[#This Row],[Peasants]],-1,0)+OFFSET(TblPop[[#This Row],[Net Peasant]],-1,0)+TblMili[[#This Row],[Release Draft]]</f>
        <v>361</v>
      </c>
      <c r="D59" s="94">
        <f ca="1">TblMili[[#This Row],[Military]]</f>
        <v>408</v>
      </c>
      <c r="E59" s="94">
        <f ca="1">TblMili[[#This Row],[Draftees]]</f>
        <v>408</v>
      </c>
      <c r="F59" s="94">
        <f ca="1">TblPop[[#This Row],[Peasants]]+TblPop[[#This Row],[Military]]</f>
        <v>769</v>
      </c>
      <c r="G59" s="139">
        <f ca="1">TblPop[[#This Row],[Military]]/TblPop[[#This Row],[Total]]</f>
        <v>0.53055916775032508</v>
      </c>
      <c r="H59" s="140">
        <f ca="1">MIN(TblPop[[#This Row],[Peasants]],TblPop[[#This Row],[Jobs]])</f>
        <v>361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408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-4</v>
      </c>
      <c r="X59" s="94">
        <f ca="1">ROUND(TblPop[[#This Row],[Raw Birth]]*(1+TblPop[[#This Row],[Growth]]),0)</f>
        <v>11</v>
      </c>
      <c r="Y59" s="94">
        <f ca="1">(TblPop[[#This Row],[Peasants]]-TblPop[[#This Row],[Draft Growth]])*raw_pop_growth</f>
        <v>10.709999999999999</v>
      </c>
      <c r="Z59" s="94">
        <f ca="1">ROUND(IF(TblPop[[#This Row],[Military%]]&lt;TblMili[[#This Row],[Draftrate]],ROUND(TblPop[[#This Row],[Peasants]]*Constants!$B$55,0), 0) * IF(AND(TblMagic[[#This Row],[Active DnD]]&lt;=12,TblMagic[[#This Row],[Active DnD]]&gt;6),1.6,1),0)</f>
        <v>4</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c r="A60" s="137">
        <f>TblRezone[[#This Row],[Hour]]</f>
        <v>57</v>
      </c>
      <c r="B60" s="138">
        <f ca="1">TblImps[[#This Row],[Time]]</f>
        <v>45817.333333333198</v>
      </c>
      <c r="C60" s="94">
        <f ca="1">OFFSET(TblPop[[#This Row],[Peasants]],-1,0)+OFFSET(TblPop[[#This Row],[Net Peasant]],-1,0)+TblMili[[#This Row],[Release Draft]]</f>
        <v>357</v>
      </c>
      <c r="D60" s="94">
        <f ca="1">TblMili[[#This Row],[Military]]</f>
        <v>412</v>
      </c>
      <c r="E60" s="94">
        <f ca="1">TblMili[[#This Row],[Draftees]]</f>
        <v>412</v>
      </c>
      <c r="F60" s="94">
        <f ca="1">TblPop[[#This Row],[Peasants]]+TblPop[[#This Row],[Military]]</f>
        <v>769</v>
      </c>
      <c r="G60" s="139">
        <f ca="1">TblPop[[#This Row],[Military]]/TblPop[[#This Row],[Total]]</f>
        <v>0.53576072821846554</v>
      </c>
      <c r="H60" s="140">
        <f ca="1">MIN(TblPop[[#This Row],[Peasants]],TblPop[[#This Row],[Jobs]])</f>
        <v>357</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412</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-4</v>
      </c>
      <c r="X60" s="94">
        <f ca="1">ROUND(TblPop[[#This Row],[Raw Birth]]*(1+TblPop[[#This Row],[Growth]]),0)</f>
        <v>11</v>
      </c>
      <c r="Y60" s="94">
        <f ca="1">(TblPop[[#This Row],[Peasants]]-TblPop[[#This Row],[Draft Growth]])*raw_pop_growth</f>
        <v>10.59</v>
      </c>
      <c r="Z60" s="94">
        <f ca="1">ROUND(IF(TblPop[[#This Row],[Military%]]&lt;TblMili[[#This Row],[Draftrate]],ROUND(TblPop[[#This Row],[Peasants]]*Constants!$B$55,0), 0) * IF(AND(TblMagic[[#This Row],[Active DnD]]&lt;=12,TblMagic[[#This Row],[Active DnD]]&gt;6),1.6,1),0)</f>
        <v>4</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c r="A61" s="137">
        <f>TblRezone[[#This Row],[Hour]]</f>
        <v>58</v>
      </c>
      <c r="B61" s="138">
        <f ca="1">TblImps[[#This Row],[Time]]</f>
        <v>45817.374999999862</v>
      </c>
      <c r="C61" s="94">
        <f ca="1">OFFSET(TblPop[[#This Row],[Peasants]],-1,0)+OFFSET(TblPop[[#This Row],[Net Peasant]],-1,0)+TblMili[[#This Row],[Release Draft]]</f>
        <v>353</v>
      </c>
      <c r="D61" s="94">
        <f ca="1">TblMili[[#This Row],[Military]]</f>
        <v>416</v>
      </c>
      <c r="E61" s="94">
        <f ca="1">TblMili[[#This Row],[Draftees]]</f>
        <v>416</v>
      </c>
      <c r="F61" s="94">
        <f ca="1">TblPop[[#This Row],[Peasants]]+TblPop[[#This Row],[Military]]</f>
        <v>769</v>
      </c>
      <c r="G61" s="139">
        <f ca="1">TblPop[[#This Row],[Military]]/TblPop[[#This Row],[Total]]</f>
        <v>0.54096228868660601</v>
      </c>
      <c r="H61" s="140">
        <f ca="1">MIN(TblPop[[#This Row],[Peasants]],TblPop[[#This Row],[Jobs]])</f>
        <v>353</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416</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-4</v>
      </c>
      <c r="X61" s="94">
        <f ca="1">ROUND(TblPop[[#This Row],[Raw Birth]]*(1+TblPop[[#This Row],[Growth]]),0)</f>
        <v>10</v>
      </c>
      <c r="Y61" s="94">
        <f ca="1">(TblPop[[#This Row],[Peasants]]-TblPop[[#This Row],[Draft Growth]])*raw_pop_growth</f>
        <v>10.469999999999999</v>
      </c>
      <c r="Z61" s="94">
        <f ca="1">ROUND(IF(TblPop[[#This Row],[Military%]]&lt;TblMili[[#This Row],[Draftrate]],ROUND(TblPop[[#This Row],[Peasants]]*Constants!$B$55,0), 0) * IF(AND(TblMagic[[#This Row],[Active DnD]]&lt;=12,TblMagic[[#This Row],[Active DnD]]&gt;6),1.6,1),0)</f>
        <v>4</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c r="A62" s="137">
        <f>TblRezone[[#This Row],[Hour]]</f>
        <v>59</v>
      </c>
      <c r="B62" s="138">
        <f ca="1">TblImps[[#This Row],[Time]]</f>
        <v>45817.416666666526</v>
      </c>
      <c r="C62" s="94">
        <f ca="1">OFFSET(TblPop[[#This Row],[Peasants]],-1,0)+OFFSET(TblPop[[#This Row],[Net Peasant]],-1,0)+TblMili[[#This Row],[Release Draft]]</f>
        <v>349</v>
      </c>
      <c r="D62" s="94">
        <f ca="1">TblMili[[#This Row],[Military]]</f>
        <v>420</v>
      </c>
      <c r="E62" s="94">
        <f ca="1">TblMili[[#This Row],[Draftees]]</f>
        <v>420</v>
      </c>
      <c r="F62" s="94">
        <f ca="1">TblPop[[#This Row],[Peasants]]+TblPop[[#This Row],[Military]]</f>
        <v>769</v>
      </c>
      <c r="G62" s="139">
        <f ca="1">TblPop[[#This Row],[Military]]/TblPop[[#This Row],[Total]]</f>
        <v>0.54616384915474647</v>
      </c>
      <c r="H62" s="140">
        <f ca="1">MIN(TblPop[[#This Row],[Peasants]],TblPop[[#This Row],[Jobs]])</f>
        <v>349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420</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10</v>
      </c>
      <c r="Y62" s="94">
        <f ca="1">(TblPop[[#This Row],[Peasants]]-TblPop[[#This Row],[Draft Growth]])*raw_pop_growth</f>
        <v>10.379999999999999</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c r="A63" s="137">
        <f>TblRezone[[#This Row],[Hour]]</f>
        <v>60</v>
      </c>
      <c r="B63" s="138">
        <f ca="1">TblImps[[#This Row],[Time]]</f>
        <v>45817.45833333319</v>
      </c>
      <c r="C63" s="94">
        <f ca="1">OFFSET(TblPop[[#This Row],[Peasants]],-1,0)+OFFSET(TblPop[[#This Row],[Net Peasant]],-1,0)+TblMili[[#This Row],[Release Draft]]</f>
        <v>346</v>
      </c>
      <c r="D63" s="94">
        <f ca="1">TblMili[[#This Row],[Military]]</f>
        <v>423</v>
      </c>
      <c r="E63" s="94">
        <f ca="1">TblMili[[#This Row],[Draftees]]</f>
        <v>423</v>
      </c>
      <c r="F63" s="94">
        <f ca="1">TblPop[[#This Row],[Peasants]]+TblPop[[#This Row],[Military]]</f>
        <v>769</v>
      </c>
      <c r="G63" s="139">
        <f ca="1">TblPop[[#This Row],[Military]]/TblPop[[#This Row],[Total]]</f>
        <v>0.55006501950585174</v>
      </c>
      <c r="H63" s="140">
        <f ca="1">MIN(TblPop[[#This Row],[Peasants]],TblPop[[#This Row],[Jobs]])</f>
        <v>346</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423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10</v>
      </c>
      <c r="Y63" s="94">
        <f ca="1">(TblPop[[#This Row],[Peasants]]-TblPop[[#This Row],[Draft Growth]])*raw_pop_growth</f>
        <v>10.29</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c r="A64" s="137">
        <f>TblRezone[[#This Row],[Hour]]</f>
        <v>61</v>
      </c>
      <c r="B64" s="138">
        <f ca="1">TblImps[[#This Row],[Time]]</f>
        <v>45817.499999999854</v>
      </c>
      <c r="C64" s="94">
        <f ca="1">OFFSET(TblPop[[#This Row],[Peasants]],-1,0)+OFFSET(TblPop[[#This Row],[Net Peasant]],-1,0)+TblMili[[#This Row],[Release Draft]]</f>
        <v>343</v>
      </c>
      <c r="D64" s="94">
        <f ca="1">TblMili[[#This Row],[Military]]</f>
        <v>426</v>
      </c>
      <c r="E64" s="94">
        <f ca="1">TblMili[[#This Row],[Draftees]]</f>
        <v>426</v>
      </c>
      <c r="F64" s="94">
        <f ca="1">TblPop[[#This Row],[Peasants]]+TblPop[[#This Row],[Military]]</f>
        <v>769</v>
      </c>
      <c r="G64" s="139">
        <f ca="1">TblPop[[#This Row],[Military]]/TblPop[[#This Row],[Total]]</f>
        <v>0.55396618985695711</v>
      </c>
      <c r="H64" s="140">
        <f ca="1">MIN(TblPop[[#This Row],[Peasants]],TblPop[[#This Row],[Jobs]])</f>
        <v>343</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426</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10</v>
      </c>
      <c r="Y64" s="94">
        <f ca="1">(TblPop[[#This Row],[Peasants]]-TblPop[[#This Row],[Draft Growth]])*raw_pop_growth</f>
        <v>10.199999999999999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c r="A65" s="137">
        <f>TblRezone[[#This Row],[Hour]]</f>
        <v>62</v>
      </c>
      <c r="B65" s="138">
        <f ca="1">TblImps[[#This Row],[Time]]</f>
        <v>45817.541666666519</v>
      </c>
      <c r="C65" s="94">
        <f ca="1">OFFSET(TblPop[[#This Row],[Peasants]],-1,0)+OFFSET(TblPop[[#This Row],[Net Peasant]],-1,0)+TblMili[[#This Row],[Release Draft]]</f>
        <v>340</v>
      </c>
      <c r="D65" s="94">
        <f ca="1">TblMili[[#This Row],[Military]]</f>
        <v>429</v>
      </c>
      <c r="E65" s="94">
        <f ca="1">TblMili[[#This Row],[Draftees]]</f>
        <v>429</v>
      </c>
      <c r="F65" s="94">
        <f ca="1">TblPop[[#This Row],[Peasants]]+TblPop[[#This Row],[Military]]</f>
        <v>769</v>
      </c>
      <c r="G65" s="139">
        <f ca="1">TblPop[[#This Row],[Military]]/TblPop[[#This Row],[Total]]</f>
        <v>0.55786736020806238</v>
      </c>
      <c r="H65" s="140">
        <f ca="1">MIN(TblPop[[#This Row],[Peasants]],TblPop[[#This Row],[Jobs]])</f>
        <v>340</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429</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10</v>
      </c>
      <c r="Y65" s="94">
        <f ca="1">(TblPop[[#This Row],[Peasants]]-TblPop[[#This Row],[Draft Growth]])*raw_pop_growth</f>
        <v>10.11</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c r="A66" s="137">
        <f>TblRezone[[#This Row],[Hour]]</f>
        <v>63</v>
      </c>
      <c r="B66" s="138">
        <f ca="1">TblImps[[#This Row],[Time]]</f>
        <v>45817.583333333183</v>
      </c>
      <c r="C66" s="94">
        <f ca="1">OFFSET(TblPop[[#This Row],[Peasants]],-1,0)+OFFSET(TblPop[[#This Row],[Net Peasant]],-1,0)+TblMili[[#This Row],[Release Draft]]</f>
        <v>337</v>
      </c>
      <c r="D66" s="94">
        <f ca="1">TblMili[[#This Row],[Military]]</f>
        <v>432</v>
      </c>
      <c r="E66" s="94">
        <f ca="1">TblMili[[#This Row],[Draftees]]</f>
        <v>432</v>
      </c>
      <c r="F66" s="94">
        <f ca="1">TblPop[[#This Row],[Peasants]]+TblPop[[#This Row],[Military]]</f>
        <v>769</v>
      </c>
      <c r="G66" s="139">
        <f ca="1">TblPop[[#This Row],[Military]]/TblPop[[#This Row],[Total]]</f>
        <v>0.56176853055916776</v>
      </c>
      <c r="H66" s="140">
        <f ca="1">MIN(TblPop[[#This Row],[Peasants]],TblPop[[#This Row],[Jobs]])</f>
        <v>337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432</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10</v>
      </c>
      <c r="Y66" s="94">
        <f ca="1">(TblPop[[#This Row],[Peasants]]-TblPop[[#This Row],[Draft Growth]])*raw_pop_growth</f>
        <v>10.02</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c r="A67" s="137">
        <f>TblRezone[[#This Row],[Hour]]</f>
        <v>64</v>
      </c>
      <c r="B67" s="138">
        <f ca="1">TblImps[[#This Row],[Time]]</f>
        <v>45817.624999999847</v>
      </c>
      <c r="C67" s="94">
        <f ca="1">OFFSET(TblPop[[#This Row],[Peasants]],-1,0)+OFFSET(TblPop[[#This Row],[Net Peasant]],-1,0)+TblMili[[#This Row],[Release Draft]]</f>
        <v>334</v>
      </c>
      <c r="D67" s="94">
        <f ca="1">TblMili[[#This Row],[Military]]</f>
        <v>435</v>
      </c>
      <c r="E67" s="94">
        <f ca="1">TblMili[[#This Row],[Draftees]]</f>
        <v>435</v>
      </c>
      <c r="F67" s="94">
        <f ca="1">TblPop[[#This Row],[Peasants]]+TblPop[[#This Row],[Military]]</f>
        <v>769</v>
      </c>
      <c r="G67" s="139">
        <f ca="1">TblPop[[#This Row],[Military]]/TblPop[[#This Row],[Total]]</f>
        <v>0.56566970091027313</v>
      </c>
      <c r="H67" s="140">
        <f ca="1">MIN(TblPop[[#This Row],[Peasants]],TblPop[[#This Row],[Jobs]])</f>
        <v>334</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435</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-3</v>
      </c>
      <c r="X67" s="94">
        <f ca="1">ROUND(TblPop[[#This Row],[Raw Birth]]*(1+TblPop[[#This Row],[Growth]]),0)</f>
        <v>10</v>
      </c>
      <c r="Y67" s="94">
        <f ca="1">(TblPop[[#This Row],[Peasants]]-TblPop[[#This Row],[Draft Growth]])*raw_pop_growth</f>
        <v>9.93</v>
      </c>
      <c r="Z67" s="94">
        <f ca="1">ROUND(IF(TblPop[[#This Row],[Military%]]&lt;TblMili[[#This Row],[Draftrate]],ROUND(TblPop[[#This Row],[Peasants]]*Constants!$B$55,0), 0) * IF(AND(TblMagic[[#This Row],[Active DnD]]&lt;=12,TblMagic[[#This Row],[Active DnD]]&gt;6),1.6,1),0)</f>
        <v>3</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c r="A68" s="137">
        <f>TblRezone[[#This Row],[Hour]]</f>
        <v>65</v>
      </c>
      <c r="B68" s="138">
        <f ca="1">TblImps[[#This Row],[Time]]</f>
        <v>45817.666666666511</v>
      </c>
      <c r="C68" s="94">
        <f ca="1">OFFSET(TblPop[[#This Row],[Peasants]],-1,0)+OFFSET(TblPop[[#This Row],[Net Peasant]],-1,0)+TblMili[[#This Row],[Release Draft]]</f>
        <v>331</v>
      </c>
      <c r="D68" s="94">
        <f ca="1">TblMili[[#This Row],[Military]]</f>
        <v>438</v>
      </c>
      <c r="E68" s="94">
        <f ca="1">TblMili[[#This Row],[Draftees]]</f>
        <v>438</v>
      </c>
      <c r="F68" s="94">
        <f ca="1">TblPop[[#This Row],[Peasants]]+TblPop[[#This Row],[Military]]</f>
        <v>769</v>
      </c>
      <c r="G68" s="139">
        <f ca="1">TblPop[[#This Row],[Military]]/TblPop[[#This Row],[Total]]</f>
        <v>0.5695708712613784</v>
      </c>
      <c r="H68" s="140">
        <f ca="1">MIN(TblPop[[#This Row],[Peasants]],TblPop[[#This Row],[Jobs]])</f>
        <v>331</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438</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-3</v>
      </c>
      <c r="X68" s="94">
        <f ca="1">ROUND(TblPop[[#This Row],[Raw Birth]]*(1+TblPop[[#This Row],[Growth]]),0)</f>
        <v>10</v>
      </c>
      <c r="Y68" s="94">
        <f ca="1">(TblPop[[#This Row],[Peasants]]-TblPop[[#This Row],[Draft Growth]])*raw_pop_growth</f>
        <v>9.84</v>
      </c>
      <c r="Z68" s="94">
        <f ca="1">ROUND(IF(TblPop[[#This Row],[Military%]]&lt;TblMili[[#This Row],[Draftrate]],ROUND(TblPop[[#This Row],[Peasants]]*Constants!$B$55,0), 0) * IF(AND(TblMagic[[#This Row],[Active DnD]]&lt;=12,TblMagic[[#This Row],[Active DnD]]&gt;6),1.6,1),0)</f>
        <v>3</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c r="A69" s="137">
        <f>TblRezone[[#This Row],[Hour]]</f>
        <v>66</v>
      </c>
      <c r="B69" s="138">
        <f ca="1">TblImps[[#This Row],[Time]]</f>
        <v>45817.708333333176</v>
      </c>
      <c r="C69" s="94">
        <f ca="1">OFFSET(TblPop[[#This Row],[Peasants]],-1,0)+OFFSET(TblPop[[#This Row],[Net Peasant]],-1,0)+TblMili[[#This Row],[Release Draft]]</f>
        <v>328</v>
      </c>
      <c r="D69" s="94">
        <f ca="1">TblMili[[#This Row],[Military]]</f>
        <v>441</v>
      </c>
      <c r="E69" s="94">
        <f ca="1">TblMili[[#This Row],[Draftees]]</f>
        <v>441</v>
      </c>
      <c r="F69" s="94">
        <f ca="1">TblPop[[#This Row],[Peasants]]+TblPop[[#This Row],[Military]]</f>
        <v>769</v>
      </c>
      <c r="G69" s="139">
        <f ca="1">TblPop[[#This Row],[Military]]/TblPop[[#This Row],[Total]]</f>
        <v>0.57347204161248377</v>
      </c>
      <c r="H69" s="140">
        <f ca="1">MIN(TblPop[[#This Row],[Peasants]],TblPop[[#This Row],[Jobs]])</f>
        <v>328</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441</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-3</v>
      </c>
      <c r="X69" s="94">
        <f ca="1">ROUND(TblPop[[#This Row],[Raw Birth]]*(1+TblPop[[#This Row],[Growth]]),0)</f>
        <v>10</v>
      </c>
      <c r="Y69" s="94">
        <f ca="1">(TblPop[[#This Row],[Peasants]]-TblPop[[#This Row],[Draft Growth]])*raw_pop_growth</f>
        <v>9.75</v>
      </c>
      <c r="Z69" s="94">
        <f ca="1">ROUND(IF(TblPop[[#This Row],[Military%]]&lt;TblMili[[#This Row],[Draftrate]],ROUND(TblPop[[#This Row],[Peasants]]*Constants!$B$55,0), 0) * IF(AND(TblMagic[[#This Row],[Active DnD]]&lt;=12,TblMagic[[#This Row],[Active DnD]]&gt;6),1.6,1),0)</f>
        <v>3</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c r="A70" s="137">
        <f>TblRezone[[#This Row],[Hour]]</f>
        <v>67</v>
      </c>
      <c r="B70" s="138">
        <f ca="1">TblImps[[#This Row],[Time]]</f>
        <v>45817.74999999984</v>
      </c>
      <c r="C70" s="94">
        <f ca="1">OFFSET(TblPop[[#This Row],[Peasants]],-1,0)+OFFSET(TblPop[[#This Row],[Net Peasant]],-1,0)+TblMili[[#This Row],[Release Draft]]</f>
        <v>325</v>
      </c>
      <c r="D70" s="94">
        <f ca="1">TblMili[[#This Row],[Military]]</f>
        <v>444</v>
      </c>
      <c r="E70" s="94">
        <f ca="1">TblMili[[#This Row],[Draftees]]</f>
        <v>444</v>
      </c>
      <c r="F70" s="94">
        <f ca="1">TblPop[[#This Row],[Peasants]]+TblPop[[#This Row],[Military]]</f>
        <v>769</v>
      </c>
      <c r="G70" s="139">
        <f ca="1">TblPop[[#This Row],[Military]]/TblPop[[#This Row],[Total]]</f>
        <v>0.57737321196358904</v>
      </c>
      <c r="H70" s="140">
        <f ca="1">MIN(TblPop[[#This Row],[Peasants]],TblPop[[#This Row],[Jobs]])</f>
        <v>325</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444</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-3</v>
      </c>
      <c r="X70" s="94">
        <f ca="1">ROUND(TblPop[[#This Row],[Raw Birth]]*(1+TblPop[[#This Row],[Growth]]),0)</f>
        <v>10</v>
      </c>
      <c r="Y70" s="94">
        <f ca="1">(TblPop[[#This Row],[Peasants]]-TblPop[[#This Row],[Draft Growth]])*raw_pop_growth</f>
        <v>9.66</v>
      </c>
      <c r="Z70" s="94">
        <f ca="1">ROUND(IF(TblPop[[#This Row],[Military%]]&lt;TblMili[[#This Row],[Draftrate]],ROUND(TblPop[[#This Row],[Peasants]]*Constants!$B$55,0), 0) * IF(AND(TblMagic[[#This Row],[Active DnD]]&lt;=12,TblMagic[[#This Row],[Active DnD]]&gt;6),1.6,1),0)</f>
        <v>3</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c r="A71" s="137">
        <f>TblRezone[[#This Row],[Hour]]</f>
        <v>68</v>
      </c>
      <c r="B71" s="138">
        <f ca="1">TblImps[[#This Row],[Time]]</f>
        <v>45817.791666666504</v>
      </c>
      <c r="C71" s="94">
        <f ca="1">OFFSET(TblPop[[#This Row],[Peasants]],-1,0)+OFFSET(TblPop[[#This Row],[Net Peasant]],-1,0)+TblMili[[#This Row],[Release Draft]]</f>
        <v>322</v>
      </c>
      <c r="D71" s="94">
        <f ca="1">TblMili[[#This Row],[Military]]</f>
        <v>447</v>
      </c>
      <c r="E71" s="94">
        <f ca="1">TblMili[[#This Row],[Draftees]]</f>
        <v>447</v>
      </c>
      <c r="F71" s="94">
        <f ca="1">TblPop[[#This Row],[Peasants]]+TblPop[[#This Row],[Military]]</f>
        <v>769</v>
      </c>
      <c r="G71" s="139">
        <f ca="1">TblPop[[#This Row],[Military]]/TblPop[[#This Row],[Total]]</f>
        <v>0.58127438231469442</v>
      </c>
      <c r="H71" s="140">
        <f ca="1">MIN(TblPop[[#This Row],[Peasants]],TblPop[[#This Row],[Jobs]])</f>
        <v>322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447</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-3</v>
      </c>
      <c r="X71" s="94">
        <f ca="1">ROUND(TblPop[[#This Row],[Raw Birth]]*(1+TblPop[[#This Row],[Growth]]),0)</f>
        <v>10</v>
      </c>
      <c r="Y71" s="94">
        <f ca="1">(TblPop[[#This Row],[Peasants]]-TblPop[[#This Row],[Draft Growth]])*raw_pop_growth</f>
        <v>9.57</v>
      </c>
      <c r="Z71" s="94">
        <f ca="1">ROUND(IF(TblPop[[#This Row],[Military%]]&lt;TblMili[[#This Row],[Draftrate]],ROUND(TblPop[[#This Row],[Peasants]]*Constants!$B$55,0), 0) * IF(AND(TblMagic[[#This Row],[Active DnD]]&lt;=12,TblMagic[[#This Row],[Active DnD]]&gt;6),1.6,1),0)</f>
        <v>3</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c r="A72" s="137">
        <f>TblRezone[[#This Row],[Hour]]</f>
        <v>69</v>
      </c>
      <c r="B72" s="138">
        <f ca="1">TblImps[[#This Row],[Time]]</f>
        <v>45817.833333333168</v>
      </c>
      <c r="C72" s="94">
        <f ca="1">OFFSET(TblPop[[#This Row],[Peasants]],-1,0)+OFFSET(TblPop[[#This Row],[Net Peasant]],-1,0)+TblMili[[#This Row],[Release Draft]]</f>
        <v>319</v>
      </c>
      <c r="D72" s="94">
        <f ca="1">TblMili[[#This Row],[Military]]</f>
        <v>450</v>
      </c>
      <c r="E72" s="94">
        <f ca="1">TblMili[[#This Row],[Draftees]]</f>
        <v>450</v>
      </c>
      <c r="F72" s="94">
        <f ca="1">TblPop[[#This Row],[Peasants]]+TblPop[[#This Row],[Military]]</f>
        <v>769</v>
      </c>
      <c r="G72" s="139">
        <f ca="1">TblPop[[#This Row],[Military]]/TblPop[[#This Row],[Total]]</f>
        <v>0.58517555266579979</v>
      </c>
      <c r="H72" s="140">
        <f ca="1">MIN(TblPop[[#This Row],[Peasants]],TblPop[[#This Row],[Jobs]])</f>
        <v>319</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450</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-3</v>
      </c>
      <c r="X72" s="94">
        <f ca="1">ROUND(TblPop[[#This Row],[Raw Birth]]*(1+TblPop[[#This Row],[Growth]]),0)</f>
        <v>9</v>
      </c>
      <c r="Y72" s="94">
        <f ca="1">(TblPop[[#This Row],[Peasants]]-TblPop[[#This Row],[Draft Growth]])*raw_pop_growth</f>
        <v>9.48</v>
      </c>
      <c r="Z72" s="94">
        <f ca="1">ROUND(IF(TblPop[[#This Row],[Military%]]&lt;TblMili[[#This Row],[Draftrate]],ROUND(TblPop[[#This Row],[Peasants]]*Constants!$B$55,0), 0) * IF(AND(TblMagic[[#This Row],[Active DnD]]&lt;=12,TblMagic[[#This Row],[Active DnD]]&gt;6),1.6,1),0)</f>
        <v>3</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c r="A73" s="137">
        <f>TblRezone[[#This Row],[Hour]]</f>
        <v>70</v>
      </c>
      <c r="B73" s="138">
        <f ca="1">TblImps[[#This Row],[Time]]</f>
        <v>45817.874999999833</v>
      </c>
      <c r="C73" s="94">
        <f ca="1">OFFSET(TblPop[[#This Row],[Peasants]],-1,0)+OFFSET(TblPop[[#This Row],[Net Peasant]],-1,0)+TblMili[[#This Row],[Release Draft]]</f>
        <v>316</v>
      </c>
      <c r="D73" s="94">
        <f ca="1">TblMili[[#This Row],[Military]]</f>
        <v>453</v>
      </c>
      <c r="E73" s="94">
        <f ca="1">TblMili[[#This Row],[Draftees]]</f>
        <v>453</v>
      </c>
      <c r="F73" s="94">
        <f ca="1">TblPop[[#This Row],[Peasants]]+TblPop[[#This Row],[Military]]</f>
        <v>769</v>
      </c>
      <c r="G73" s="139">
        <f ca="1">TblPop[[#This Row],[Military]]/TblPop[[#This Row],[Total]]</f>
        <v>0.58907672301690506</v>
      </c>
      <c r="H73" s="140">
        <f ca="1">MIN(TblPop[[#This Row],[Peasants]],TblPop[[#This Row],[Jobs]])</f>
        <v>316</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453</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-3</v>
      </c>
      <c r="X73" s="94">
        <f ca="1">ROUND(TblPop[[#This Row],[Raw Birth]]*(1+TblPop[[#This Row],[Growth]]),0)</f>
        <v>9</v>
      </c>
      <c r="Y73" s="94">
        <f ca="1">(TblPop[[#This Row],[Peasants]]-TblPop[[#This Row],[Draft Growth]])*raw_pop_growth</f>
        <v>9.3899999999999988</v>
      </c>
      <c r="Z73" s="94">
        <f ca="1">ROUND(IF(TblPop[[#This Row],[Military%]]&lt;TblMili[[#This Row],[Draftrate]],ROUND(TblPop[[#This Row],[Peasants]]*Constants!$B$55,0), 0) * IF(AND(TblMagic[[#This Row],[Active DnD]]&lt;=12,TblMagic[[#This Row],[Active DnD]]&gt;6),1.6,1),0)</f>
        <v>3</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c r="A74" s="137">
        <f>TblRezone[[#This Row],[Hour]]</f>
        <v>71</v>
      </c>
      <c r="B74" s="138">
        <f ca="1">TblImps[[#This Row],[Time]]</f>
        <v>45817.916666666497</v>
      </c>
      <c r="C74" s="94">
        <f ca="1">OFFSET(TblPop[[#This Row],[Peasants]],-1,0)+OFFSET(TblPop[[#This Row],[Net Peasant]],-1,0)+TblMili[[#This Row],[Release Draft]]</f>
        <v>313</v>
      </c>
      <c r="D74" s="94">
        <f ca="1">TblMili[[#This Row],[Military]]</f>
        <v>456</v>
      </c>
      <c r="E74" s="94">
        <f ca="1">TblMili[[#This Row],[Draftees]]</f>
        <v>456</v>
      </c>
      <c r="F74" s="94">
        <f ca="1">TblPop[[#This Row],[Peasants]]+TblPop[[#This Row],[Military]]</f>
        <v>769</v>
      </c>
      <c r="G74" s="139">
        <f ca="1">TblPop[[#This Row],[Military]]/TblPop[[#This Row],[Total]]</f>
        <v>0.59297789336801043</v>
      </c>
      <c r="H74" s="140">
        <f ca="1">MIN(TblPop[[#This Row],[Peasants]],TblPop[[#This Row],[Jobs]])</f>
        <v>313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456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-3</v>
      </c>
      <c r="X74" s="94">
        <f ca="1">ROUND(TblPop[[#This Row],[Raw Birth]]*(1+TblPop[[#This Row],[Growth]]),0)</f>
        <v>9</v>
      </c>
      <c r="Y74" s="94">
        <f ca="1">(TblPop[[#This Row],[Peasants]]-TblPop[[#This Row],[Draft Growth]])*raw_pop_growth</f>
        <v>9.2999999999999989</v>
      </c>
      <c r="Z74" s="94">
        <f ca="1">ROUND(IF(TblPop[[#This Row],[Military%]]&lt;TblMili[[#This Row],[Draftrate]],ROUND(TblPop[[#This Row],[Peasants]]*Constants!$B$55,0), 0) * IF(AND(TblMagic[[#This Row],[Active DnD]]&lt;=12,TblMagic[[#This Row],[Active DnD]]&gt;6),1.6,1),0)</f>
        <v>3</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c r="A75" s="137">
        <f>TblRezone[[#This Row],[Hour]]</f>
        <v>72</v>
      </c>
      <c r="B75" s="138">
        <f ca="1">TblImps[[#This Row],[Time]]</f>
        <v>45817.958333333161</v>
      </c>
      <c r="C75" s="94">
        <f ca="1">OFFSET(TblPop[[#This Row],[Peasants]],-1,0)+OFFSET(TblPop[[#This Row],[Net Peasant]],-1,0)+TblMili[[#This Row],[Release Draft]]</f>
        <v>310</v>
      </c>
      <c r="D75" s="94">
        <f ca="1">TblMili[[#This Row],[Military]]</f>
        <v>459</v>
      </c>
      <c r="E75" s="94">
        <f ca="1">TblMili[[#This Row],[Draftees]]</f>
        <v>459</v>
      </c>
      <c r="F75" s="94">
        <f ca="1">TblPop[[#This Row],[Peasants]]+TblPop[[#This Row],[Military]]</f>
        <v>769</v>
      </c>
      <c r="G75" s="139">
        <f ca="1">TblPop[[#This Row],[Military]]/TblPop[[#This Row],[Total]]</f>
        <v>0.5968790637191157</v>
      </c>
      <c r="H75" s="140">
        <f ca="1">MIN(TblPop[[#This Row],[Peasants]],TblPop[[#This Row],[Jobs]])</f>
        <v>310</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459</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-3</v>
      </c>
      <c r="X75" s="94">
        <f ca="1">ROUND(TblPop[[#This Row],[Raw Birth]]*(1+TblPop[[#This Row],[Growth]]),0)</f>
        <v>9</v>
      </c>
      <c r="Y75" s="94">
        <f ca="1">(TblPop[[#This Row],[Peasants]]-TblPop[[#This Row],[Draft Growth]])*raw_pop_growth</f>
        <v>9.2099999999999991</v>
      </c>
      <c r="Z75" s="94">
        <f ca="1">ROUND(IF(TblPop[[#This Row],[Military%]]&lt;TblMili[[#This Row],[Draftrate]],ROUND(TblPop[[#This Row],[Peasants]]*Constants!$B$55,0), 0) * IF(AND(TblMagic[[#This Row],[Active DnD]]&lt;=12,TblMagic[[#This Row],[Active DnD]]&gt;6),1.6,1),0)</f>
        <v>3</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c r="A76" s="137">
        <f>TblRezone[[#This Row],[Hour]]</f>
        <v>73</v>
      </c>
      <c r="B76" s="138">
        <f ca="1">TblImps[[#This Row],[Time]]</f>
        <v>45817.999999999825</v>
      </c>
      <c r="C76" s="94">
        <f ca="1">OFFSET(TblPop[[#This Row],[Peasants]],-1,0)+OFFSET(TblPop[[#This Row],[Net Peasant]],-1,0)+TblMili[[#This Row],[Release Draft]]</f>
        <v>307</v>
      </c>
      <c r="D76" s="94">
        <f ca="1">TblMili[[#This Row],[Military]]</f>
        <v>462</v>
      </c>
      <c r="E76" s="94">
        <f ca="1">TblMili[[#This Row],[Draftees]]</f>
        <v>462</v>
      </c>
      <c r="F76" s="94">
        <f ca="1">TblPop[[#This Row],[Peasants]]+TblPop[[#This Row],[Military]]</f>
        <v>769</v>
      </c>
      <c r="G76" s="139">
        <f ca="1">TblPop[[#This Row],[Military]]/TblPop[[#This Row],[Total]]</f>
        <v>0.60078023407022108</v>
      </c>
      <c r="H76" s="140">
        <f ca="1">MIN(TblPop[[#This Row],[Peasants]],TblPop[[#This Row],[Jobs]])</f>
        <v>307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462</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-3</v>
      </c>
      <c r="X76" s="94">
        <f ca="1">ROUND(TblPop[[#This Row],[Raw Birth]]*(1+TblPop[[#This Row],[Growth]]),0)</f>
        <v>9</v>
      </c>
      <c r="Y76" s="94">
        <f ca="1">(TblPop[[#This Row],[Peasants]]-TblPop[[#This Row],[Draft Growth]])*raw_pop_growth</f>
        <v>9.1199999999999992</v>
      </c>
      <c r="Z76" s="94">
        <f ca="1">ROUND(IF(TblPop[[#This Row],[Military%]]&lt;TblMili[[#This Row],[Draftrate]],ROUND(TblPop[[#This Row],[Peasants]]*Constants!$B$55,0), 0) * IF(AND(TblMagic[[#This Row],[Active DnD]]&lt;=12,TblMagic[[#This Row],[Active DnD]]&gt;6),1.6,1),0)</f>
        <v>3</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c r="A77" s="137">
        <f>TblRezone[[#This Row],[Hour]]</f>
        <v>74</v>
      </c>
      <c r="B77" s="138">
        <f ca="1">TblImps[[#This Row],[Time]]</f>
        <v>45818.04166666649</v>
      </c>
      <c r="C77" s="94">
        <f ca="1">OFFSET(TblPop[[#This Row],[Peasants]],-1,0)+OFFSET(TblPop[[#This Row],[Net Peasant]],-1,0)+TblMili[[#This Row],[Release Draft]]</f>
        <v>304</v>
      </c>
      <c r="D77" s="94">
        <f ca="1">TblMili[[#This Row],[Military]]</f>
        <v>465</v>
      </c>
      <c r="E77" s="94">
        <f ca="1">TblMili[[#This Row],[Draftees]]</f>
        <v>465</v>
      </c>
      <c r="F77" s="94">
        <f ca="1">TblPop[[#This Row],[Peasants]]+TblPop[[#This Row],[Military]]</f>
        <v>769</v>
      </c>
      <c r="G77" s="139">
        <f ca="1">TblPop[[#This Row],[Military]]/TblPop[[#This Row],[Total]]</f>
        <v>0.60468140442132645</v>
      </c>
      <c r="H77" s="140">
        <f ca="1">MIN(TblPop[[#This Row],[Peasants]],TblPop[[#This Row],[Jobs]])</f>
        <v>304</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465</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-3</v>
      </c>
      <c r="X77" s="94">
        <f ca="1">ROUND(TblPop[[#This Row],[Raw Birth]]*(1+TblPop[[#This Row],[Growth]]),0)</f>
        <v>9</v>
      </c>
      <c r="Y77" s="94">
        <f ca="1">(TblPop[[#This Row],[Peasants]]-TblPop[[#This Row],[Draft Growth]])*raw_pop_growth</f>
        <v>9.0299999999999994</v>
      </c>
      <c r="Z77" s="94">
        <f ca="1">ROUND(IF(TblPop[[#This Row],[Military%]]&lt;TblMili[[#This Row],[Draftrate]],ROUND(TblPop[[#This Row],[Peasants]]*Constants!$B$55,0), 0) * IF(AND(TblMagic[[#This Row],[Active DnD]]&lt;=12,TblMagic[[#This Row],[Active DnD]]&gt;6),1.6,1),0)</f>
        <v>3</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c r="A78" s="137">
        <f>TblRezone[[#This Row],[Hour]]</f>
        <v>75</v>
      </c>
      <c r="B78" s="138">
        <f ca="1">TblImps[[#This Row],[Time]]</f>
        <v>45818.083333333154</v>
      </c>
      <c r="C78" s="94">
        <f ca="1">OFFSET(TblPop[[#This Row],[Peasants]],-1,0)+OFFSET(TblPop[[#This Row],[Net Peasant]],-1,0)+TblMili[[#This Row],[Release Draft]]</f>
        <v>301</v>
      </c>
      <c r="D78" s="94">
        <f ca="1">TblMili[[#This Row],[Military]]</f>
        <v>468</v>
      </c>
      <c r="E78" s="94">
        <f ca="1">TblMili[[#This Row],[Draftees]]</f>
        <v>468</v>
      </c>
      <c r="F78" s="94">
        <f ca="1">TblPop[[#This Row],[Peasants]]+TblPop[[#This Row],[Military]]</f>
        <v>769</v>
      </c>
      <c r="G78" s="139">
        <f ca="1">TblPop[[#This Row],[Military]]/TblPop[[#This Row],[Total]]</f>
        <v>0.60858257477243172</v>
      </c>
      <c r="H78" s="140">
        <f ca="1">MIN(TblPop[[#This Row],[Peasants]],TblPop[[#This Row],[Jobs]])</f>
        <v>301</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468</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-3</v>
      </c>
      <c r="X78" s="94">
        <f ca="1">ROUND(TblPop[[#This Row],[Raw Birth]]*(1+TblPop[[#This Row],[Growth]]),0)</f>
        <v>9</v>
      </c>
      <c r="Y78" s="94">
        <f ca="1">(TblPop[[#This Row],[Peasants]]-TblPop[[#This Row],[Draft Growth]])*raw_pop_growth</f>
        <v>8.94</v>
      </c>
      <c r="Z78" s="94">
        <f ca="1">ROUND(IF(TblPop[[#This Row],[Military%]]&lt;TblMili[[#This Row],[Draftrate]],ROUND(TblPop[[#This Row],[Peasants]]*Constants!$B$55,0), 0) * IF(AND(TblMagic[[#This Row],[Active DnD]]&lt;=12,TblMagic[[#This Row],[Active DnD]]&gt;6),1.6,1),0)</f>
        <v>3</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c r="A79" s="137">
        <f>TblRezone[[#This Row],[Hour]]</f>
        <v>76</v>
      </c>
      <c r="B79" s="138">
        <f ca="1">TblImps[[#This Row],[Time]]</f>
        <v>45818.124999999818</v>
      </c>
      <c r="C79" s="94">
        <f ca="1">OFFSET(TblPop[[#This Row],[Peasants]],-1,0)+OFFSET(TblPop[[#This Row],[Net Peasant]],-1,0)+TblMili[[#This Row],[Release Draft]]</f>
        <v>298</v>
      </c>
      <c r="D79" s="94">
        <f ca="1">TblMili[[#This Row],[Military]]</f>
        <v>471</v>
      </c>
      <c r="E79" s="94">
        <f ca="1">TblMili[[#This Row],[Draftees]]</f>
        <v>471</v>
      </c>
      <c r="F79" s="94">
        <f ca="1">TblPop[[#This Row],[Peasants]]+TblPop[[#This Row],[Military]]</f>
        <v>769</v>
      </c>
      <c r="G79" s="139">
        <f ca="1">TblPop[[#This Row],[Military]]/TblPop[[#This Row],[Total]]</f>
        <v>0.61248374512353709</v>
      </c>
      <c r="H79" s="140">
        <f ca="1">MIN(TblPop[[#This Row],[Peasants]],TblPop[[#This Row],[Jobs]])</f>
        <v>298</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471</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-3</v>
      </c>
      <c r="X79" s="94">
        <f ca="1">ROUND(TblPop[[#This Row],[Raw Birth]]*(1+TblPop[[#This Row],[Growth]]),0)</f>
        <v>9</v>
      </c>
      <c r="Y79" s="94">
        <f ca="1">(TblPop[[#This Row],[Peasants]]-TblPop[[#This Row],[Draft Growth]])*raw_pop_growth</f>
        <v>8.85</v>
      </c>
      <c r="Z79" s="94">
        <f ca="1">ROUND(IF(TblPop[[#This Row],[Military%]]&lt;TblMili[[#This Row],[Draftrate]],ROUND(TblPop[[#This Row],[Peasants]]*Constants!$B$55,0), 0) * IF(AND(TblMagic[[#This Row],[Active DnD]]&lt;=12,TblMagic[[#This Row],[Active DnD]]&gt;6),1.6,1),0)</f>
        <v>3</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c r="A80" s="137">
        <f>TblRezone[[#This Row],[Hour]]</f>
        <v>77</v>
      </c>
      <c r="B80" s="138">
        <f ca="1">TblImps[[#This Row],[Time]]</f>
        <v>45818.166666666482</v>
      </c>
      <c r="C80" s="94">
        <f ca="1">OFFSET(TblPop[[#This Row],[Peasants]],-1,0)+OFFSET(TblPop[[#This Row],[Net Peasant]],-1,0)+TblMili[[#This Row],[Release Draft]]</f>
        <v>295</v>
      </c>
      <c r="D80" s="94">
        <f ca="1">TblMili[[#This Row],[Military]]</f>
        <v>474</v>
      </c>
      <c r="E80" s="94">
        <f ca="1">TblMili[[#This Row],[Draftees]]</f>
        <v>474</v>
      </c>
      <c r="F80" s="94">
        <f ca="1">TblPop[[#This Row],[Peasants]]+TblPop[[#This Row],[Military]]</f>
        <v>769</v>
      </c>
      <c r="G80" s="139">
        <f ca="1">TblPop[[#This Row],[Military]]/TblPop[[#This Row],[Total]]</f>
        <v>0.61638491547464236</v>
      </c>
      <c r="H80" s="140">
        <f ca="1">MIN(TblPop[[#This Row],[Peasants]],TblPop[[#This Row],[Jobs]])</f>
        <v>295</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474</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-3</v>
      </c>
      <c r="X80" s="94">
        <f ca="1">ROUND(TblPop[[#This Row],[Raw Birth]]*(1+TblPop[[#This Row],[Growth]]),0)</f>
        <v>9</v>
      </c>
      <c r="Y80" s="94">
        <f ca="1">(TblPop[[#This Row],[Peasants]]-TblPop[[#This Row],[Draft Growth]])*raw_pop_growth</f>
        <v>8.76</v>
      </c>
      <c r="Z80" s="94">
        <f ca="1">ROUND(IF(TblPop[[#This Row],[Military%]]&lt;TblMili[[#This Row],[Draftrate]],ROUND(TblPop[[#This Row],[Peasants]]*Constants!$B$55,0), 0) * IF(AND(TblMagic[[#This Row],[Active DnD]]&lt;=12,TblMagic[[#This Row],[Active DnD]]&gt;6),1.6,1),0)</f>
        <v>3</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c r="A81" s="137">
        <f>TblRezone[[#This Row],[Hour]]</f>
        <v>78</v>
      </c>
      <c r="B81" s="138">
        <f ca="1">TblImps[[#This Row],[Time]]</f>
        <v>45818.208333333147</v>
      </c>
      <c r="C81" s="94">
        <f ca="1">OFFSET(TblPop[[#This Row],[Peasants]],-1,0)+OFFSET(TblPop[[#This Row],[Net Peasant]],-1,0)+TblMili[[#This Row],[Release Draft]]</f>
        <v>292</v>
      </c>
      <c r="D81" s="94">
        <f ca="1">TblMili[[#This Row],[Military]]</f>
        <v>477</v>
      </c>
      <c r="E81" s="94">
        <f ca="1">TblMili[[#This Row],[Draftees]]</f>
        <v>477</v>
      </c>
      <c r="F81" s="94">
        <f ca="1">TblPop[[#This Row],[Peasants]]+TblPop[[#This Row],[Military]]</f>
        <v>769</v>
      </c>
      <c r="G81" s="139">
        <f ca="1">TblPop[[#This Row],[Military]]/TblPop[[#This Row],[Total]]</f>
        <v>0.62028608582574774</v>
      </c>
      <c r="H81" s="140">
        <f ca="1">MIN(TblPop[[#This Row],[Peasants]],TblPop[[#This Row],[Jobs]])</f>
        <v>292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477</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-3</v>
      </c>
      <c r="X81" s="94">
        <f ca="1">ROUND(TblPop[[#This Row],[Raw Birth]]*(1+TblPop[[#This Row],[Growth]]),0)</f>
        <v>9</v>
      </c>
      <c r="Y81" s="94">
        <f ca="1">(TblPop[[#This Row],[Peasants]]-TblPop[[#This Row],[Draft Growth]])*raw_pop_growth</f>
        <v>8.67</v>
      </c>
      <c r="Z81" s="94">
        <f ca="1">ROUND(IF(TblPop[[#This Row],[Military%]]&lt;TblMili[[#This Row],[Draftrate]],ROUND(TblPop[[#This Row],[Peasants]]*Constants!$B$55,0), 0) * IF(AND(TblMagic[[#This Row],[Active DnD]]&lt;=12,TblMagic[[#This Row],[Active DnD]]&gt;6),1.6,1),0)</f>
        <v>3</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c r="A82" s="137">
        <f>TblRezone[[#This Row],[Hour]]</f>
        <v>79</v>
      </c>
      <c r="B82" s="138">
        <f ca="1">TblImps[[#This Row],[Time]]</f>
        <v>45818.249999999811</v>
      </c>
      <c r="C82" s="94">
        <f ca="1">OFFSET(TblPop[[#This Row],[Peasants]],-1,0)+OFFSET(TblPop[[#This Row],[Net Peasant]],-1,0)+TblMili[[#This Row],[Release Draft]]</f>
        <v>289</v>
      </c>
      <c r="D82" s="94">
        <f ca="1">TblMili[[#This Row],[Military]]</f>
        <v>480</v>
      </c>
      <c r="E82" s="94">
        <f ca="1">TblMili[[#This Row],[Draftees]]</f>
        <v>480</v>
      </c>
      <c r="F82" s="94">
        <f ca="1">TblPop[[#This Row],[Peasants]]+TblPop[[#This Row],[Military]]</f>
        <v>769</v>
      </c>
      <c r="G82" s="139">
        <f ca="1">TblPop[[#This Row],[Military]]/TblPop[[#This Row],[Total]]</f>
        <v>0.62418725617685311</v>
      </c>
      <c r="H82" s="140">
        <f ca="1">MIN(TblPop[[#This Row],[Peasants]],TblPop[[#This Row],[Jobs]])</f>
        <v>289</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480</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-3</v>
      </c>
      <c r="X82" s="94">
        <f ca="1">ROUND(TblPop[[#This Row],[Raw Birth]]*(1+TblPop[[#This Row],[Growth]]),0)</f>
        <v>9</v>
      </c>
      <c r="Y82" s="94">
        <f ca="1">(TblPop[[#This Row],[Peasants]]-TblPop[[#This Row],[Draft Growth]])*raw_pop_growth</f>
        <v>8.58</v>
      </c>
      <c r="Z82" s="94">
        <f ca="1">ROUND(IF(TblPop[[#This Row],[Military%]]&lt;TblMili[[#This Row],[Draftrate]],ROUND(TblPop[[#This Row],[Peasants]]*Constants!$B$55,0), 0) * IF(AND(TblMagic[[#This Row],[Active DnD]]&lt;=12,TblMagic[[#This Row],[Active DnD]]&gt;6),1.6,1),0)</f>
        <v>3</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c r="A83" s="137">
        <f>TblRezone[[#This Row],[Hour]]</f>
        <v>80</v>
      </c>
      <c r="B83" s="138">
        <f ca="1">TblImps[[#This Row],[Time]]</f>
        <v>45818.291666666475</v>
      </c>
      <c r="C83" s="94">
        <f ca="1">OFFSET(TblPop[[#This Row],[Peasants]],-1,0)+OFFSET(TblPop[[#This Row],[Net Peasant]],-1,0)+TblMili[[#This Row],[Release Draft]]</f>
        <v>286</v>
      </c>
      <c r="D83" s="94">
        <f ca="1">TblMili[[#This Row],[Military]]</f>
        <v>483</v>
      </c>
      <c r="E83" s="94">
        <f ca="1">TblMili[[#This Row],[Draftees]]</f>
        <v>483</v>
      </c>
      <c r="F83" s="94">
        <f ca="1">TblPop[[#This Row],[Peasants]]+TblPop[[#This Row],[Military]]</f>
        <v>769</v>
      </c>
      <c r="G83" s="139">
        <f ca="1">TblPop[[#This Row],[Military]]/TblPop[[#This Row],[Total]]</f>
        <v>0.62808842652795838</v>
      </c>
      <c r="H83" s="140">
        <f ca="1">MIN(TblPop[[#This Row],[Peasants]],TblPop[[#This Row],[Jobs]])</f>
        <v>286</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483</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-3</v>
      </c>
      <c r="X83" s="94">
        <f ca="1">ROUND(TblPop[[#This Row],[Raw Birth]]*(1+TblPop[[#This Row],[Growth]]),0)</f>
        <v>8</v>
      </c>
      <c r="Y83" s="94">
        <f ca="1">(TblPop[[#This Row],[Peasants]]-TblPop[[#This Row],[Draft Growth]])*raw_pop_growth</f>
        <v>8.49</v>
      </c>
      <c r="Z83" s="94">
        <f ca="1">ROUND(IF(TblPop[[#This Row],[Military%]]&lt;TblMili[[#This Row],[Draftrate]],ROUND(TblPop[[#This Row],[Peasants]]*Constants!$B$55,0), 0) * IF(AND(TblMagic[[#This Row],[Active DnD]]&lt;=12,TblMagic[[#This Row],[Active DnD]]&gt;6),1.6,1),0)</f>
        <v>3</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c r="A84" s="137">
        <f>TblRezone[[#This Row],[Hour]]</f>
        <v>81</v>
      </c>
      <c r="B84" s="138">
        <f ca="1">TblImps[[#This Row],[Time]]</f>
        <v>45818.333333333139</v>
      </c>
      <c r="C84" s="94">
        <f ca="1">OFFSET(TblPop[[#This Row],[Peasants]],-1,0)+OFFSET(TblPop[[#This Row],[Net Peasant]],-1,0)+TblMili[[#This Row],[Release Draft]]</f>
        <v>283</v>
      </c>
      <c r="D84" s="94">
        <f ca="1">TblMili[[#This Row],[Military]]</f>
        <v>486</v>
      </c>
      <c r="E84" s="94">
        <f ca="1">TblMili[[#This Row],[Draftees]]</f>
        <v>486</v>
      </c>
      <c r="F84" s="94">
        <f ca="1">TblPop[[#This Row],[Peasants]]+TblPop[[#This Row],[Military]]</f>
        <v>769</v>
      </c>
      <c r="G84" s="139">
        <f ca="1">TblPop[[#This Row],[Military]]/TblPop[[#This Row],[Total]]</f>
        <v>0.63198959687906375</v>
      </c>
      <c r="H84" s="140">
        <f ca="1">MIN(TblPop[[#This Row],[Peasants]],TblPop[[#This Row],[Jobs]])</f>
        <v>283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486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-3</v>
      </c>
      <c r="X84" s="94">
        <f ca="1">ROUND(TblPop[[#This Row],[Raw Birth]]*(1+TblPop[[#This Row],[Growth]]),0)</f>
        <v>8</v>
      </c>
      <c r="Y84" s="94">
        <f ca="1">(TblPop[[#This Row],[Peasants]]-TblPop[[#This Row],[Draft Growth]])*raw_pop_growth</f>
        <v>8.4</v>
      </c>
      <c r="Z84" s="94">
        <f ca="1">ROUND(IF(TblPop[[#This Row],[Military%]]&lt;TblMili[[#This Row],[Draftrate]],ROUND(TblPop[[#This Row],[Peasants]]*Constants!$B$55,0), 0) * IF(AND(TblMagic[[#This Row],[Active DnD]]&lt;=12,TblMagic[[#This Row],[Active DnD]]&gt;6),1.6,1),0)</f>
        <v>3</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c r="A85" s="137">
        <f>TblRezone[[#This Row],[Hour]]</f>
        <v>82</v>
      </c>
      <c r="B85" s="138">
        <f ca="1">TblImps[[#This Row],[Time]]</f>
        <v>45818.374999999804</v>
      </c>
      <c r="C85" s="94">
        <f ca="1">OFFSET(TblPop[[#This Row],[Peasants]],-1,0)+OFFSET(TblPop[[#This Row],[Net Peasant]],-1,0)+TblMili[[#This Row],[Release Draft]]</f>
        <v>280</v>
      </c>
      <c r="D85" s="94">
        <f ca="1">TblMili[[#This Row],[Military]]</f>
        <v>489</v>
      </c>
      <c r="E85" s="94">
        <f ca="1">TblMili[[#This Row],[Draftees]]</f>
        <v>489</v>
      </c>
      <c r="F85" s="94">
        <f ca="1">TblPop[[#This Row],[Peasants]]+TblPop[[#This Row],[Military]]</f>
        <v>769</v>
      </c>
      <c r="G85" s="139">
        <f ca="1">TblPop[[#This Row],[Military]]/TblPop[[#This Row],[Total]]</f>
        <v>0.63589076723016902</v>
      </c>
      <c r="H85" s="140">
        <f ca="1">MIN(TblPop[[#This Row],[Peasants]],TblPop[[#This Row],[Jobs]])</f>
        <v>280</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489</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-3</v>
      </c>
      <c r="X85" s="94">
        <f ca="1">ROUND(TblPop[[#This Row],[Raw Birth]]*(1+TblPop[[#This Row],[Growth]]),0)</f>
        <v>8</v>
      </c>
      <c r="Y85" s="94">
        <f ca="1">(TblPop[[#This Row],[Peasants]]-TblPop[[#This Row],[Draft Growth]])*raw_pop_growth</f>
        <v>8.31</v>
      </c>
      <c r="Z85" s="94">
        <f ca="1">ROUND(IF(TblPop[[#This Row],[Military%]]&lt;TblMili[[#This Row],[Draftrate]],ROUND(TblPop[[#This Row],[Peasants]]*Constants!$B$55,0), 0) * IF(AND(TblMagic[[#This Row],[Active DnD]]&lt;=12,TblMagic[[#This Row],[Active DnD]]&gt;6),1.6,1),0)</f>
        <v>3</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c r="A86" s="137">
        <f>TblRezone[[#This Row],[Hour]]</f>
        <v>83</v>
      </c>
      <c r="B86" s="138">
        <f ca="1">TblImps[[#This Row],[Time]]</f>
        <v>45818.416666666468</v>
      </c>
      <c r="C86" s="94">
        <f ca="1">OFFSET(TblPop[[#This Row],[Peasants]],-1,0)+OFFSET(TblPop[[#This Row],[Net Peasant]],-1,0)+TblMili[[#This Row],[Release Draft]]</f>
        <v>277</v>
      </c>
      <c r="D86" s="94">
        <f ca="1">TblMili[[#This Row],[Military]]</f>
        <v>492</v>
      </c>
      <c r="E86" s="94">
        <f ca="1">TblMili[[#This Row],[Draftees]]</f>
        <v>492</v>
      </c>
      <c r="F86" s="94">
        <f ca="1">TblPop[[#This Row],[Peasants]]+TblPop[[#This Row],[Military]]</f>
        <v>769</v>
      </c>
      <c r="G86" s="139">
        <f ca="1">TblPop[[#This Row],[Military]]/TblPop[[#This Row],[Total]]</f>
        <v>0.63979193758127439</v>
      </c>
      <c r="H86" s="140">
        <f ca="1">MIN(TblPop[[#This Row],[Peasants]],TblPop[[#This Row],[Jobs]])</f>
        <v>277</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492</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-3</v>
      </c>
      <c r="X86" s="94">
        <f ca="1">ROUND(TblPop[[#This Row],[Raw Birth]]*(1+TblPop[[#This Row],[Growth]]),0)</f>
        <v>8</v>
      </c>
      <c r="Y86" s="94">
        <f ca="1">(TblPop[[#This Row],[Peasants]]-TblPop[[#This Row],[Draft Growth]])*raw_pop_growth</f>
        <v>8.2199999999999989</v>
      </c>
      <c r="Z86" s="94">
        <f ca="1">ROUND(IF(TblPop[[#This Row],[Military%]]&lt;TblMili[[#This Row],[Draftrate]],ROUND(TblPop[[#This Row],[Peasants]]*Constants!$B$55,0), 0) * IF(AND(TblMagic[[#This Row],[Active DnD]]&lt;=12,TblMagic[[#This Row],[Active DnD]]&gt;6),1.6,1),0)</f>
        <v>3</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c r="A87" s="137">
        <f>TblRezone[[#This Row],[Hour]]</f>
        <v>84</v>
      </c>
      <c r="B87" s="138">
        <f ca="1">TblImps[[#This Row],[Time]]</f>
        <v>45818.458333333132</v>
      </c>
      <c r="C87" s="94">
        <f ca="1">OFFSET(TblPop[[#This Row],[Peasants]],-1,0)+OFFSET(TblPop[[#This Row],[Net Peasant]],-1,0)+TblMili[[#This Row],[Release Draft]]</f>
        <v>274</v>
      </c>
      <c r="D87" s="94">
        <f ca="1">TblMili[[#This Row],[Military]]</f>
        <v>495</v>
      </c>
      <c r="E87" s="94">
        <f ca="1">TblMili[[#This Row],[Draftees]]</f>
        <v>495</v>
      </c>
      <c r="F87" s="94">
        <f ca="1">TblPop[[#This Row],[Peasants]]+TblPop[[#This Row],[Military]]</f>
        <v>769</v>
      </c>
      <c r="G87" s="139">
        <f ca="1">TblPop[[#This Row],[Military]]/TblPop[[#This Row],[Total]]</f>
        <v>0.64369310793237966</v>
      </c>
      <c r="H87" s="140">
        <f ca="1">MIN(TblPop[[#This Row],[Peasants]],TblPop[[#This Row],[Jobs]])</f>
        <v>274</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495</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-3</v>
      </c>
      <c r="X87" s="94">
        <f ca="1">ROUND(TblPop[[#This Row],[Raw Birth]]*(1+TblPop[[#This Row],[Growth]]),0)</f>
        <v>8</v>
      </c>
      <c r="Y87" s="94">
        <f ca="1">(TblPop[[#This Row],[Peasants]]-TblPop[[#This Row],[Draft Growth]])*raw_pop_growth</f>
        <v>8.129999999999999</v>
      </c>
      <c r="Z87" s="94">
        <f ca="1">ROUND(IF(TblPop[[#This Row],[Military%]]&lt;TblMili[[#This Row],[Draftrate]],ROUND(TblPop[[#This Row],[Peasants]]*Constants!$B$55,0), 0) * IF(AND(TblMagic[[#This Row],[Active DnD]]&lt;=12,TblMagic[[#This Row],[Active DnD]]&gt;6),1.6,1),0)</f>
        <v>3</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c r="A88" s="137">
        <f>TblRezone[[#This Row],[Hour]]</f>
        <v>85</v>
      </c>
      <c r="B88" s="138">
        <f ca="1">TblImps[[#This Row],[Time]]</f>
        <v>45818.499999999796</v>
      </c>
      <c r="C88" s="94">
        <f ca="1">OFFSET(TblPop[[#This Row],[Peasants]],-1,0)+OFFSET(TblPop[[#This Row],[Net Peasant]],-1,0)+TblMili[[#This Row],[Release Draft]]</f>
        <v>271</v>
      </c>
      <c r="D88" s="94">
        <f ca="1">TblMili[[#This Row],[Military]]</f>
        <v>498</v>
      </c>
      <c r="E88" s="94">
        <f ca="1">TblMili[[#This Row],[Draftees]]</f>
        <v>498</v>
      </c>
      <c r="F88" s="94">
        <f ca="1">TblPop[[#This Row],[Peasants]]+TblPop[[#This Row],[Military]]</f>
        <v>769</v>
      </c>
      <c r="G88" s="139">
        <f ca="1">TblPop[[#This Row],[Military]]/TblPop[[#This Row],[Total]]</f>
        <v>0.64759427828348504</v>
      </c>
      <c r="H88" s="140">
        <f ca="1">MIN(TblPop[[#This Row],[Peasants]],TblPop[[#This Row],[Jobs]])</f>
        <v>271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498</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-3</v>
      </c>
      <c r="X88" s="94">
        <f ca="1">ROUND(TblPop[[#This Row],[Raw Birth]]*(1+TblPop[[#This Row],[Growth]]),0)</f>
        <v>8</v>
      </c>
      <c r="Y88" s="94">
        <f ca="1">(TblPop[[#This Row],[Peasants]]-TblPop[[#This Row],[Draft Growth]])*raw_pop_growth</f>
        <v>8.0399999999999991</v>
      </c>
      <c r="Z88" s="94">
        <f ca="1">ROUND(IF(TblPop[[#This Row],[Military%]]&lt;TblMili[[#This Row],[Draftrate]],ROUND(TblPop[[#This Row],[Peasants]]*Constants!$B$55,0), 0) * IF(AND(TblMagic[[#This Row],[Active DnD]]&lt;=12,TblMagic[[#This Row],[Active DnD]]&gt;6),1.6,1),0)</f>
        <v>3</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c r="A89" s="137">
        <f>TblRezone[[#This Row],[Hour]]</f>
        <v>86</v>
      </c>
      <c r="B89" s="138">
        <f ca="1">TblImps[[#This Row],[Time]]</f>
        <v>45818.541666666461</v>
      </c>
      <c r="C89" s="94">
        <f ca="1">OFFSET(TblPop[[#This Row],[Peasants]],-1,0)+OFFSET(TblPop[[#This Row],[Net Peasant]],-1,0)+TblMili[[#This Row],[Release Draft]]</f>
        <v>268</v>
      </c>
      <c r="D89" s="94">
        <f ca="1">TblMili[[#This Row],[Military]]</f>
        <v>501</v>
      </c>
      <c r="E89" s="94">
        <f ca="1">TblMili[[#This Row],[Draftees]]</f>
        <v>501</v>
      </c>
      <c r="F89" s="94">
        <f ca="1">TblPop[[#This Row],[Peasants]]+TblPop[[#This Row],[Military]]</f>
        <v>769</v>
      </c>
      <c r="G89" s="139">
        <f ca="1">TblPop[[#This Row],[Military]]/TblPop[[#This Row],[Total]]</f>
        <v>0.65149544863459041</v>
      </c>
      <c r="H89" s="140">
        <f ca="1">MIN(TblPop[[#This Row],[Peasants]],TblPop[[#This Row],[Jobs]])</f>
        <v>268</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501</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-3</v>
      </c>
      <c r="X89" s="94">
        <f ca="1">ROUND(TblPop[[#This Row],[Raw Birth]]*(1+TblPop[[#This Row],[Growth]]),0)</f>
        <v>8</v>
      </c>
      <c r="Y89" s="94">
        <f ca="1">(TblPop[[#This Row],[Peasants]]-TblPop[[#This Row],[Draft Growth]])*raw_pop_growth</f>
        <v>7.9499999999999993</v>
      </c>
      <c r="Z89" s="94">
        <f ca="1">ROUND(IF(TblPop[[#This Row],[Military%]]&lt;TblMili[[#This Row],[Draftrate]],ROUND(TblPop[[#This Row],[Peasants]]*Constants!$B$55,0), 0) * IF(AND(TblMagic[[#This Row],[Active DnD]]&lt;=12,TblMagic[[#This Row],[Active DnD]]&gt;6),1.6,1),0)</f>
        <v>3</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c r="A90" s="137">
        <f>TblRezone[[#This Row],[Hour]]</f>
        <v>87</v>
      </c>
      <c r="B90" s="138">
        <f ca="1">TblImps[[#This Row],[Time]]</f>
        <v>45818.583333333125</v>
      </c>
      <c r="C90" s="94">
        <f ca="1">OFFSET(TblPop[[#This Row],[Peasants]],-1,0)+OFFSET(TblPop[[#This Row],[Net Peasant]],-1,0)+TblMili[[#This Row],[Release Draft]]</f>
        <v>265</v>
      </c>
      <c r="D90" s="94">
        <f ca="1">TblMili[[#This Row],[Military]]</f>
        <v>504</v>
      </c>
      <c r="E90" s="94">
        <f ca="1">TblMili[[#This Row],[Draftees]]</f>
        <v>504</v>
      </c>
      <c r="F90" s="94">
        <f ca="1">TblPop[[#This Row],[Peasants]]+TblPop[[#This Row],[Military]]</f>
        <v>769</v>
      </c>
      <c r="G90" s="139">
        <f ca="1">TblPop[[#This Row],[Military]]/TblPop[[#This Row],[Total]]</f>
        <v>0.65539661898569568</v>
      </c>
      <c r="H90" s="140">
        <f ca="1">MIN(TblPop[[#This Row],[Peasants]],TblPop[[#This Row],[Jobs]])</f>
        <v>265</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504</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-3</v>
      </c>
      <c r="X90" s="94">
        <f ca="1">ROUND(TblPop[[#This Row],[Raw Birth]]*(1+TblPop[[#This Row],[Growth]]),0)</f>
        <v>8</v>
      </c>
      <c r="Y90" s="94">
        <f ca="1">(TblPop[[#This Row],[Peasants]]-TblPop[[#This Row],[Draft Growth]])*raw_pop_growth</f>
        <v>7.8599999999999994</v>
      </c>
      <c r="Z90" s="94">
        <f ca="1">ROUND(IF(TblPop[[#This Row],[Military%]]&lt;TblMili[[#This Row],[Draftrate]],ROUND(TblPop[[#This Row],[Peasants]]*Constants!$B$55,0), 0) * IF(AND(TblMagic[[#This Row],[Active DnD]]&lt;=12,TblMagic[[#This Row],[Active DnD]]&gt;6),1.6,1),0)</f>
        <v>3</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c r="A91" s="137">
        <f>TblRezone[[#This Row],[Hour]]</f>
        <v>88</v>
      </c>
      <c r="B91" s="138">
        <f ca="1">TblImps[[#This Row],[Time]]</f>
        <v>45818.624999999789</v>
      </c>
      <c r="C91" s="94">
        <f ca="1">OFFSET(TblPop[[#This Row],[Peasants]],-1,0)+OFFSET(TblPop[[#This Row],[Net Peasant]],-1,0)+TblMili[[#This Row],[Release Draft]]</f>
        <v>262</v>
      </c>
      <c r="D91" s="94">
        <f ca="1">TblMili[[#This Row],[Military]]</f>
        <v>507</v>
      </c>
      <c r="E91" s="94">
        <f ca="1">TblMili[[#This Row],[Draftees]]</f>
        <v>507</v>
      </c>
      <c r="F91" s="94">
        <f ca="1">TblPop[[#This Row],[Peasants]]+TblPop[[#This Row],[Military]]</f>
        <v>769</v>
      </c>
      <c r="G91" s="139">
        <f ca="1">TblPop[[#This Row],[Military]]/TblPop[[#This Row],[Total]]</f>
        <v>0.65929778933680105</v>
      </c>
      <c r="H91" s="140">
        <f ca="1">MIN(TblPop[[#This Row],[Peasants]],TblPop[[#This Row],[Jobs]])</f>
        <v>262</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507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-3</v>
      </c>
      <c r="X91" s="94">
        <f ca="1">ROUND(TblPop[[#This Row],[Raw Birth]]*(1+TblPop[[#This Row],[Growth]]),0)</f>
        <v>8</v>
      </c>
      <c r="Y91" s="94">
        <f ca="1">(TblPop[[#This Row],[Peasants]]-TblPop[[#This Row],[Draft Growth]])*raw_pop_growth</f>
        <v>7.77</v>
      </c>
      <c r="Z91" s="94">
        <f ca="1">ROUND(IF(TblPop[[#This Row],[Military%]]&lt;TblMili[[#This Row],[Draftrate]],ROUND(TblPop[[#This Row],[Peasants]]*Constants!$B$55,0), 0) * IF(AND(TblMagic[[#This Row],[Active DnD]]&lt;=12,TblMagic[[#This Row],[Active DnD]]&gt;6),1.6,1),0)</f>
        <v>3</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c r="A92" s="137">
        <f>TblRezone[[#This Row],[Hour]]</f>
        <v>89</v>
      </c>
      <c r="B92" s="138">
        <f ca="1">TblImps[[#This Row],[Time]]</f>
        <v>45818.666666666453</v>
      </c>
      <c r="C92" s="94">
        <f ca="1">OFFSET(TblPop[[#This Row],[Peasants]],-1,0)+OFFSET(TblPop[[#This Row],[Net Peasant]],-1,0)+TblMili[[#This Row],[Release Draft]]</f>
        <v>259</v>
      </c>
      <c r="D92" s="94">
        <f ca="1">TblMili[[#This Row],[Military]]</f>
        <v>510</v>
      </c>
      <c r="E92" s="94">
        <f ca="1">TblMili[[#This Row],[Draftees]]</f>
        <v>510</v>
      </c>
      <c r="F92" s="94">
        <f ca="1">TblPop[[#This Row],[Peasants]]+TblPop[[#This Row],[Military]]</f>
        <v>769</v>
      </c>
      <c r="G92" s="139">
        <f ca="1">TblPop[[#This Row],[Military]]/TblPop[[#This Row],[Total]]</f>
        <v>0.66319895968790632</v>
      </c>
      <c r="H92" s="140">
        <f ca="1">MIN(TblPop[[#This Row],[Peasants]],TblPop[[#This Row],[Jobs]])</f>
        <v>259</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510</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-3</v>
      </c>
      <c r="X92" s="94">
        <f ca="1">ROUND(TblPop[[#This Row],[Raw Birth]]*(1+TblPop[[#This Row],[Growth]]),0)</f>
        <v>8</v>
      </c>
      <c r="Y92" s="94">
        <f ca="1">(TblPop[[#This Row],[Peasants]]-TblPop[[#This Row],[Draft Growth]])*raw_pop_growth</f>
        <v>7.68</v>
      </c>
      <c r="Z92" s="94">
        <f ca="1">ROUND(IF(TblPop[[#This Row],[Military%]]&lt;TblMili[[#This Row],[Draftrate]],ROUND(TblPop[[#This Row],[Peasants]]*Constants!$B$55,0), 0) * IF(AND(TblMagic[[#This Row],[Active DnD]]&lt;=12,TblMagic[[#This Row],[Active DnD]]&gt;6),1.6,1),0)</f>
        <v>3</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c r="A93" s="137">
        <f>TblRezone[[#This Row],[Hour]]</f>
        <v>90</v>
      </c>
      <c r="B93" s="138">
        <f ca="1">TblImps[[#This Row],[Time]]</f>
        <v>45818.708333333117</v>
      </c>
      <c r="C93" s="94">
        <f ca="1">OFFSET(TblPop[[#This Row],[Peasants]],-1,0)+OFFSET(TblPop[[#This Row],[Net Peasant]],-1,0)+TblMili[[#This Row],[Release Draft]]</f>
        <v>256</v>
      </c>
      <c r="D93" s="94">
        <f ca="1">TblMili[[#This Row],[Military]]</f>
        <v>513</v>
      </c>
      <c r="E93" s="94">
        <f ca="1">TblMili[[#This Row],[Draftees]]</f>
        <v>513</v>
      </c>
      <c r="F93" s="94">
        <f ca="1">TblPop[[#This Row],[Peasants]]+TblPop[[#This Row],[Military]]</f>
        <v>769</v>
      </c>
      <c r="G93" s="139">
        <f ca="1">TblPop[[#This Row],[Military]]/TblPop[[#This Row],[Total]]</f>
        <v>0.6671001300390117</v>
      </c>
      <c r="H93" s="140">
        <f ca="1">MIN(TblPop[[#This Row],[Peasants]],TblPop[[#This Row],[Jobs]])</f>
        <v>256</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513</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-3</v>
      </c>
      <c r="X93" s="94">
        <f ca="1">ROUND(TblPop[[#This Row],[Raw Birth]]*(1+TblPop[[#This Row],[Growth]]),0)</f>
        <v>8</v>
      </c>
      <c r="Y93" s="94">
        <f ca="1">(TblPop[[#This Row],[Peasants]]-TblPop[[#This Row],[Draft Growth]])*raw_pop_growth</f>
        <v>7.59</v>
      </c>
      <c r="Z93" s="94">
        <f ca="1">ROUND(IF(TblPop[[#This Row],[Military%]]&lt;TblMili[[#This Row],[Draftrate]],ROUND(TblPop[[#This Row],[Peasants]]*Constants!$B$55,0), 0) * IF(AND(TblMagic[[#This Row],[Active DnD]]&lt;=12,TblMagic[[#This Row],[Active DnD]]&gt;6),1.6,1),0)</f>
        <v>3</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c r="A94" s="137">
        <f>TblRezone[[#This Row],[Hour]]</f>
        <v>91</v>
      </c>
      <c r="B94" s="138">
        <f ca="1">TblImps[[#This Row],[Time]]</f>
        <v>45818.749999999782</v>
      </c>
      <c r="C94" s="94">
        <f ca="1">OFFSET(TblPop[[#This Row],[Peasants]],-1,0)+OFFSET(TblPop[[#This Row],[Net Peasant]],-1,0)+TblMili[[#This Row],[Release Draft]]</f>
        <v>253</v>
      </c>
      <c r="D94" s="94">
        <f ca="1">TblMili[[#This Row],[Military]]</f>
        <v>516</v>
      </c>
      <c r="E94" s="94">
        <f ca="1">TblMili[[#This Row],[Draftees]]</f>
        <v>516</v>
      </c>
      <c r="F94" s="94">
        <f ca="1">TblPop[[#This Row],[Peasants]]+TblPop[[#This Row],[Military]]</f>
        <v>769</v>
      </c>
      <c r="G94" s="139">
        <f ca="1">TblPop[[#This Row],[Military]]/TblPop[[#This Row],[Total]]</f>
        <v>0.67100130039011707</v>
      </c>
      <c r="H94" s="140">
        <f ca="1">MIN(TblPop[[#This Row],[Peasants]],TblPop[[#This Row],[Jobs]])</f>
        <v>253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516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-3</v>
      </c>
      <c r="X94" s="94">
        <f ca="1">ROUND(TblPop[[#This Row],[Raw Birth]]*(1+TblPop[[#This Row],[Growth]]),0)</f>
        <v>8</v>
      </c>
      <c r="Y94" s="94">
        <f ca="1">(TblPop[[#This Row],[Peasants]]-TblPop[[#This Row],[Draft Growth]])*raw_pop_growth</f>
        <v>7.5</v>
      </c>
      <c r="Z94" s="94">
        <f ca="1">ROUND(IF(TblPop[[#This Row],[Military%]]&lt;TblMili[[#This Row],[Draftrate]],ROUND(TblPop[[#This Row],[Peasants]]*Constants!$B$55,0), 0) * IF(AND(TblMagic[[#This Row],[Active DnD]]&lt;=12,TblMagic[[#This Row],[Active DnD]]&gt;6),1.6,1),0)</f>
        <v>3</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c r="A95" s="137">
        <f>TblRezone[[#This Row],[Hour]]</f>
        <v>92</v>
      </c>
      <c r="B95" s="138">
        <f ca="1">TblImps[[#This Row],[Time]]</f>
        <v>45818.791666666446</v>
      </c>
      <c r="C95" s="94">
        <f ca="1">OFFSET(TblPop[[#This Row],[Peasants]],-1,0)+OFFSET(TblPop[[#This Row],[Net Peasant]],-1,0)+TblMili[[#This Row],[Release Draft]]</f>
        <v>250</v>
      </c>
      <c r="D95" s="94">
        <f ca="1">TblMili[[#This Row],[Military]]</f>
        <v>519</v>
      </c>
      <c r="E95" s="94">
        <f ca="1">TblMili[[#This Row],[Draftees]]</f>
        <v>519</v>
      </c>
      <c r="F95" s="94">
        <f ca="1">TblPop[[#This Row],[Peasants]]+TblPop[[#This Row],[Military]]</f>
        <v>769</v>
      </c>
      <c r="G95" s="139">
        <f ca="1">TblPop[[#This Row],[Military]]/TblPop[[#This Row],[Total]]</f>
        <v>0.67490247074122234</v>
      </c>
      <c r="H95" s="140">
        <f ca="1">MIN(TblPop[[#This Row],[Peasants]],TblPop[[#This Row],[Jobs]])</f>
        <v>250</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519</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-3</v>
      </c>
      <c r="X95" s="94">
        <f ca="1">ROUND(TblPop[[#This Row],[Raw Birth]]*(1+TblPop[[#This Row],[Growth]]),0)</f>
        <v>7</v>
      </c>
      <c r="Y95" s="94">
        <f ca="1">(TblPop[[#This Row],[Peasants]]-TblPop[[#This Row],[Draft Growth]])*raw_pop_growth</f>
        <v>7.41</v>
      </c>
      <c r="Z95" s="94">
        <f ca="1">ROUND(IF(TblPop[[#This Row],[Military%]]&lt;TblMili[[#This Row],[Draftrate]],ROUND(TblPop[[#This Row],[Peasants]]*Constants!$B$55,0), 0) * IF(AND(TblMagic[[#This Row],[Active DnD]]&lt;=12,TblMagic[[#This Row],[Active DnD]]&gt;6),1.6,1),0)</f>
        <v>3</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c r="A96" s="137">
        <f>TblRezone[[#This Row],[Hour]]</f>
        <v>93</v>
      </c>
      <c r="B96" s="138">
        <f ca="1">TblImps[[#This Row],[Time]]</f>
        <v>45818.83333333311</v>
      </c>
      <c r="C96" s="94">
        <f ca="1">OFFSET(TblPop[[#This Row],[Peasants]],-1,0)+OFFSET(TblPop[[#This Row],[Net Peasant]],-1,0)+TblMili[[#This Row],[Release Draft]]</f>
        <v>247</v>
      </c>
      <c r="D96" s="94">
        <f ca="1">TblMili[[#This Row],[Military]]</f>
        <v>522</v>
      </c>
      <c r="E96" s="94">
        <f ca="1">TblMili[[#This Row],[Draftees]]</f>
        <v>522</v>
      </c>
      <c r="F96" s="94">
        <f ca="1">TblPop[[#This Row],[Peasants]]+TblPop[[#This Row],[Military]]</f>
        <v>769</v>
      </c>
      <c r="G96" s="139">
        <f ca="1">TblPop[[#This Row],[Military]]/TblPop[[#This Row],[Total]]</f>
        <v>0.67880364109232771</v>
      </c>
      <c r="H96" s="140">
        <f ca="1">MIN(TblPop[[#This Row],[Peasants]],TblPop[[#This Row],[Jobs]])</f>
        <v>247</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522</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7</v>
      </c>
      <c r="Y96" s="94">
        <f ca="1">(TblPop[[#This Row],[Peasants]]-TblPop[[#This Row],[Draft Growth]])*raw_pop_growth</f>
        <v>7.35</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c r="A97" s="137">
        <f>TblRezone[[#This Row],[Hour]]</f>
        <v>94</v>
      </c>
      <c r="B97" s="138">
        <f ca="1">TblImps[[#This Row],[Time]]</f>
        <v>45818.874999999774</v>
      </c>
      <c r="C97" s="94">
        <f ca="1">OFFSET(TblPop[[#This Row],[Peasants]],-1,0)+OFFSET(TblPop[[#This Row],[Net Peasant]],-1,0)+TblMili[[#This Row],[Release Draft]]</f>
        <v>245</v>
      </c>
      <c r="D97" s="94">
        <f ca="1">TblMili[[#This Row],[Military]]</f>
        <v>524</v>
      </c>
      <c r="E97" s="94">
        <f ca="1">TblMili[[#This Row],[Draftees]]</f>
        <v>524</v>
      </c>
      <c r="F97" s="94">
        <f ca="1">TblPop[[#This Row],[Peasants]]+TblPop[[#This Row],[Military]]</f>
        <v>769</v>
      </c>
      <c r="G97" s="139">
        <f ca="1">TblPop[[#This Row],[Military]]/TblPop[[#This Row],[Total]]</f>
        <v>0.68140442132639789</v>
      </c>
      <c r="H97" s="140">
        <f ca="1">MIN(TblPop[[#This Row],[Peasants]],TblPop[[#This Row],[Jobs]])</f>
        <v>245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524</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7</v>
      </c>
      <c r="Y97" s="94">
        <f ca="1">(TblPop[[#This Row],[Peasants]]-TblPop[[#This Row],[Draft Growth]])*raw_pop_growth</f>
        <v>7.29</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c r="A98" s="137">
        <f>TblRezone[[#This Row],[Hour]]</f>
        <v>95</v>
      </c>
      <c r="B98" s="138">
        <f ca="1">TblImps[[#This Row],[Time]]</f>
        <v>45818.916666666439</v>
      </c>
      <c r="C98" s="94">
        <f ca="1">OFFSET(TblPop[[#This Row],[Peasants]],-1,0)+OFFSET(TblPop[[#This Row],[Net Peasant]],-1,0)+TblMili[[#This Row],[Release Draft]]</f>
        <v>243</v>
      </c>
      <c r="D98" s="94">
        <f ca="1">TblMili[[#This Row],[Military]]</f>
        <v>526</v>
      </c>
      <c r="E98" s="94">
        <f ca="1">TblMili[[#This Row],[Draftees]]</f>
        <v>526</v>
      </c>
      <c r="F98" s="94">
        <f ca="1">TblPop[[#This Row],[Peasants]]+TblPop[[#This Row],[Military]]</f>
        <v>769</v>
      </c>
      <c r="G98" s="139">
        <f ca="1">TblPop[[#This Row],[Military]]/TblPop[[#This Row],[Total]]</f>
        <v>0.68400520156046818</v>
      </c>
      <c r="H98" s="140">
        <f ca="1">MIN(TblPop[[#This Row],[Peasants]],TblPop[[#This Row],[Jobs]])</f>
        <v>243</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526</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7</v>
      </c>
      <c r="Y98" s="94">
        <f ca="1">(TblPop[[#This Row],[Peasants]]-TblPop[[#This Row],[Draft Growth]])*raw_pop_growth</f>
        <v>7.2299999999999995</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c r="A99" s="137">
        <f>TblRezone[[#This Row],[Hour]]</f>
        <v>96</v>
      </c>
      <c r="B99" s="138">
        <f ca="1">TblImps[[#This Row],[Time]]</f>
        <v>45818.958333333103</v>
      </c>
      <c r="C99" s="94">
        <f ca="1">OFFSET(TblPop[[#This Row],[Peasants]],-1,0)+OFFSET(TblPop[[#This Row],[Net Peasant]],-1,0)+TblMili[[#This Row],[Release Draft]]</f>
        <v>241</v>
      </c>
      <c r="D99" s="94">
        <f ca="1">TblMili[[#This Row],[Military]]</f>
        <v>528</v>
      </c>
      <c r="E99" s="94">
        <f ca="1">TblMili[[#This Row],[Draftees]]</f>
        <v>528</v>
      </c>
      <c r="F99" s="94">
        <f ca="1">TblPop[[#This Row],[Peasants]]+TblPop[[#This Row],[Military]]</f>
        <v>769</v>
      </c>
      <c r="G99" s="139">
        <f ca="1">TblPop[[#This Row],[Military]]/TblPop[[#This Row],[Total]]</f>
        <v>0.68660598179453836</v>
      </c>
      <c r="H99" s="140">
        <f ca="1">MIN(TblPop[[#This Row],[Peasants]],TblPop[[#This Row],[Jobs]])</f>
        <v>241</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528</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7</v>
      </c>
      <c r="Y99" s="94">
        <f ca="1">(TblPop[[#This Row],[Peasants]]-TblPop[[#This Row],[Draft Growth]])*raw_pop_growth</f>
        <v>7.17</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c r="A100" s="137">
        <f>TblRezone[[#This Row],[Hour]]</f>
        <v>97</v>
      </c>
      <c r="B100" s="138">
        <f ca="1">TblImps[[#This Row],[Time]]</f>
        <v>45818.999999999767</v>
      </c>
      <c r="C100" s="94">
        <f ca="1">OFFSET(TblPop[[#This Row],[Peasants]],-1,0)+OFFSET(TblPop[[#This Row],[Net Peasant]],-1,0)+TblMili[[#This Row],[Release Draft]]</f>
        <v>239</v>
      </c>
      <c r="D100" s="94">
        <f ca="1">TblMili[[#This Row],[Military]]</f>
        <v>530</v>
      </c>
      <c r="E100" s="94">
        <f ca="1">TblMili[[#This Row],[Draftees]]</f>
        <v>530</v>
      </c>
      <c r="F100" s="94">
        <f ca="1">TblPop[[#This Row],[Peasants]]+TblPop[[#This Row],[Military]]</f>
        <v>769</v>
      </c>
      <c r="G100" s="139">
        <f ca="1">TblPop[[#This Row],[Military]]/TblPop[[#This Row],[Total]]</f>
        <v>0.68920676202860853</v>
      </c>
      <c r="H100" s="140">
        <f ca="1">MIN(TblPop[[#This Row],[Peasants]],TblPop[[#This Row],[Jobs]])</f>
        <v>239</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530</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7</v>
      </c>
      <c r="Y100" s="94">
        <f ca="1">(TblPop[[#This Row],[Peasants]]-TblPop[[#This Row],[Draft Growth]])*raw_pop_growth</f>
        <v>7.1099999999999994</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c r="A101" s="137">
        <f>TblRezone[[#This Row],[Hour]]</f>
        <v>98</v>
      </c>
      <c r="B101" s="138">
        <f ca="1">TblImps[[#This Row],[Time]]</f>
        <v>45819.041666666431</v>
      </c>
      <c r="C101" s="94">
        <f ca="1">OFFSET(TblPop[[#This Row],[Peasants]],-1,0)+OFFSET(TblPop[[#This Row],[Net Peasant]],-1,0)+TblMili[[#This Row],[Release Draft]]</f>
        <v>237</v>
      </c>
      <c r="D101" s="94">
        <f ca="1">TblMili[[#This Row],[Military]]</f>
        <v>532</v>
      </c>
      <c r="E101" s="94">
        <f ca="1">TblMili[[#This Row],[Draftees]]</f>
        <v>532</v>
      </c>
      <c r="F101" s="94">
        <f ca="1">TblPop[[#This Row],[Peasants]]+TblPop[[#This Row],[Military]]</f>
        <v>769</v>
      </c>
      <c r="G101" s="139">
        <f ca="1">TblPop[[#This Row],[Military]]/TblPop[[#This Row],[Total]]</f>
        <v>0.69180754226267882</v>
      </c>
      <c r="H101" s="140">
        <f ca="1">MIN(TblPop[[#This Row],[Peasants]],TblPop[[#This Row],[Jobs]])</f>
        <v>237</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532</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7</v>
      </c>
      <c r="Y101" s="94">
        <f ca="1">(TblPop[[#This Row],[Peasants]]-TblPop[[#This Row],[Draft Growth]])*raw_pop_growth</f>
        <v>7.05</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c r="A102" s="137">
        <f>TblRezone[[#This Row],[Hour]]</f>
        <v>99</v>
      </c>
      <c r="B102" s="138">
        <f ca="1">TblImps[[#This Row],[Time]]</f>
        <v>45819.083333333096</v>
      </c>
      <c r="C102" s="94">
        <f ca="1">OFFSET(TblPop[[#This Row],[Peasants]],-1,0)+OFFSET(TblPop[[#This Row],[Net Peasant]],-1,0)+TblMili[[#This Row],[Release Draft]]</f>
        <v>235</v>
      </c>
      <c r="D102" s="94">
        <f ca="1">TblMili[[#This Row],[Military]]</f>
        <v>534</v>
      </c>
      <c r="E102" s="94">
        <f ca="1">TblMili[[#This Row],[Draftees]]</f>
        <v>534</v>
      </c>
      <c r="F102" s="94">
        <f ca="1">TblPop[[#This Row],[Peasants]]+TblPop[[#This Row],[Military]]</f>
        <v>769</v>
      </c>
      <c r="G102" s="139">
        <f ca="1">TblPop[[#This Row],[Military]]/TblPop[[#This Row],[Total]]</f>
        <v>0.694408322496749</v>
      </c>
      <c r="H102" s="140">
        <f ca="1">MIN(TblPop[[#This Row],[Peasants]],TblPop[[#This Row],[Jobs]])</f>
        <v>235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534</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7</v>
      </c>
      <c r="Y102" s="94">
        <f ca="1">(TblPop[[#This Row],[Peasants]]-TblPop[[#This Row],[Draft Growth]])*raw_pop_growth</f>
        <v>6.9899999999999993</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c r="A103" s="137">
        <f>TblRezone[[#This Row],[Hour]]</f>
        <v>100</v>
      </c>
      <c r="B103" s="138">
        <f ca="1">TblImps[[#This Row],[Time]]</f>
        <v>45819.12499999976</v>
      </c>
      <c r="C103" s="94">
        <f ca="1">OFFSET(TblPop[[#This Row],[Peasants]],-1,0)+OFFSET(TblPop[[#This Row],[Net Peasant]],-1,0)+TblMili[[#This Row],[Release Draft]]</f>
        <v>233</v>
      </c>
      <c r="D103" s="94">
        <f ca="1">TblMili[[#This Row],[Military]]</f>
        <v>536</v>
      </c>
      <c r="E103" s="94">
        <f ca="1">TblMili[[#This Row],[Draftees]]</f>
        <v>536</v>
      </c>
      <c r="F103" s="94">
        <f ca="1">TblPop[[#This Row],[Peasants]]+TblPop[[#This Row],[Military]]</f>
        <v>769</v>
      </c>
      <c r="G103" s="139">
        <f ca="1">TblPop[[#This Row],[Military]]/TblPop[[#This Row],[Total]]</f>
        <v>0.69700910273081929</v>
      </c>
      <c r="H103" s="140">
        <f ca="1">MIN(TblPop[[#This Row],[Peasants]],TblPop[[#This Row],[Jobs]])</f>
        <v>233</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536</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7</v>
      </c>
      <c r="Y103" s="94">
        <f ca="1">(TblPop[[#This Row],[Peasants]]-TblPop[[#This Row],[Draft Growth]])*raw_pop_growth</f>
        <v>6.93</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c r="A104" s="137">
        <f>TblRezone[[#This Row],[Hour]]</f>
        <v>101</v>
      </c>
      <c r="B104" s="138">
        <f ca="1">TblImps[[#This Row],[Time]]</f>
        <v>45819.166666666424</v>
      </c>
      <c r="C104" s="94">
        <f ca="1">OFFSET(TblPop[[#This Row],[Peasants]],-1,0)+OFFSET(TblPop[[#This Row],[Net Peasant]],-1,0)+TblMili[[#This Row],[Release Draft]]</f>
        <v>231</v>
      </c>
      <c r="D104" s="94">
        <f ca="1">TblMili[[#This Row],[Military]]</f>
        <v>538</v>
      </c>
      <c r="E104" s="94">
        <f ca="1">TblMili[[#This Row],[Draftees]]</f>
        <v>538</v>
      </c>
      <c r="F104" s="94">
        <f ca="1">TblPop[[#This Row],[Peasants]]+TblPop[[#This Row],[Military]]</f>
        <v>769</v>
      </c>
      <c r="G104" s="139">
        <f ca="1">TblPop[[#This Row],[Military]]/TblPop[[#This Row],[Total]]</f>
        <v>0.69960988296488946</v>
      </c>
      <c r="H104" s="140">
        <f ca="1">MIN(TblPop[[#This Row],[Peasants]],TblPop[[#This Row],[Jobs]])</f>
        <v>231</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538</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7</v>
      </c>
      <c r="Y104" s="94">
        <f ca="1">(TblPop[[#This Row],[Peasants]]-TblPop[[#This Row],[Draft Growth]])*raw_pop_growth</f>
        <v>6.87</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c r="A105" s="137">
        <f>TblRezone[[#This Row],[Hour]]</f>
        <v>102</v>
      </c>
      <c r="B105" s="138">
        <f ca="1">TblImps[[#This Row],[Time]]</f>
        <v>45819.208333333088</v>
      </c>
      <c r="C105" s="94">
        <f ca="1">OFFSET(TblPop[[#This Row],[Peasants]],-1,0)+OFFSET(TblPop[[#This Row],[Net Peasant]],-1,0)+TblMili[[#This Row],[Release Draft]]</f>
        <v>229</v>
      </c>
      <c r="D105" s="94">
        <f ca="1">TblMili[[#This Row],[Military]]</f>
        <v>540</v>
      </c>
      <c r="E105" s="94">
        <f ca="1">TblMili[[#This Row],[Draftees]]</f>
        <v>540</v>
      </c>
      <c r="F105" s="94">
        <f ca="1">TblPop[[#This Row],[Peasants]]+TblPop[[#This Row],[Military]]</f>
        <v>769</v>
      </c>
      <c r="G105" s="139">
        <f ca="1">TblPop[[#This Row],[Military]]/TblPop[[#This Row],[Total]]</f>
        <v>0.70221066319895964</v>
      </c>
      <c r="H105" s="140">
        <f ca="1">MIN(TblPop[[#This Row],[Peasants]],TblPop[[#This Row],[Jobs]])</f>
        <v>229</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540</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7</v>
      </c>
      <c r="Y105" s="94">
        <f ca="1">(TblPop[[#This Row],[Peasants]]-TblPop[[#This Row],[Draft Growth]])*raw_pop_growth</f>
        <v>6.81</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c r="A106" s="137">
        <f>TblRezone[[#This Row],[Hour]]</f>
        <v>103</v>
      </c>
      <c r="B106" s="138">
        <f ca="1">TblImps[[#This Row],[Time]]</f>
        <v>45819.249999999753</v>
      </c>
      <c r="C106" s="94">
        <f ca="1">OFFSET(TblPop[[#This Row],[Peasants]],-1,0)+OFFSET(TblPop[[#This Row],[Net Peasant]],-1,0)+TblMili[[#This Row],[Release Draft]]</f>
        <v>227</v>
      </c>
      <c r="D106" s="94">
        <f ca="1">TblMili[[#This Row],[Military]]</f>
        <v>542</v>
      </c>
      <c r="E106" s="94">
        <f ca="1">TblMili[[#This Row],[Draftees]]</f>
        <v>542</v>
      </c>
      <c r="F106" s="94">
        <f ca="1">TblPop[[#This Row],[Peasants]]+TblPop[[#This Row],[Military]]</f>
        <v>769</v>
      </c>
      <c r="G106" s="139">
        <f ca="1">TblPop[[#This Row],[Military]]/TblPop[[#This Row],[Total]]</f>
        <v>0.70481144343302993</v>
      </c>
      <c r="H106" s="140">
        <f ca="1">MIN(TblPop[[#This Row],[Peasants]],TblPop[[#This Row],[Jobs]])</f>
        <v>227</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542</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7</v>
      </c>
      <c r="Y106" s="94">
        <f ca="1">(TblPop[[#This Row],[Peasants]]-TblPop[[#This Row],[Draft Growth]])*raw_pop_growth</f>
        <v>6.75</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c r="A107" s="137">
        <f>TblRezone[[#This Row],[Hour]]</f>
        <v>104</v>
      </c>
      <c r="B107" s="138">
        <f ca="1">TblImps[[#This Row],[Time]]</f>
        <v>45819.291666666417</v>
      </c>
      <c r="C107" s="94">
        <f ca="1">OFFSET(TblPop[[#This Row],[Peasants]],-1,0)+OFFSET(TblPop[[#This Row],[Net Peasant]],-1,0)+TblMili[[#This Row],[Release Draft]]</f>
        <v>225</v>
      </c>
      <c r="D107" s="94">
        <f ca="1">TblMili[[#This Row],[Military]]</f>
        <v>544</v>
      </c>
      <c r="E107" s="94">
        <f ca="1">TblMili[[#This Row],[Draftees]]</f>
        <v>544</v>
      </c>
      <c r="F107" s="94">
        <f ca="1">TblPop[[#This Row],[Peasants]]+TblPop[[#This Row],[Military]]</f>
        <v>769</v>
      </c>
      <c r="G107" s="139">
        <f ca="1">TblPop[[#This Row],[Military]]/TblPop[[#This Row],[Total]]</f>
        <v>0.7074122236671001</v>
      </c>
      <c r="H107" s="140">
        <f ca="1">MIN(TblPop[[#This Row],[Peasants]],TblPop[[#This Row],[Jobs]])</f>
        <v>225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544</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7</v>
      </c>
      <c r="Y107" s="94">
        <f ca="1">(TblPop[[#This Row],[Peasants]]-TblPop[[#This Row],[Draft Growth]])*raw_pop_growth</f>
        <v>6.6899999999999995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c r="A108" s="137">
        <f>TblRezone[[#This Row],[Hour]]</f>
        <v>105</v>
      </c>
      <c r="B108" s="138">
        <f ca="1">TblImps[[#This Row],[Time]]</f>
        <v>45819.333333333081</v>
      </c>
      <c r="C108" s="94">
        <f ca="1">OFFSET(TblPop[[#This Row],[Peasants]],-1,0)+OFFSET(TblPop[[#This Row],[Net Peasant]],-1,0)+TblMili[[#This Row],[Release Draft]]</f>
        <v>223</v>
      </c>
      <c r="D108" s="94">
        <f ca="1">TblMili[[#This Row],[Military]]</f>
        <v>546</v>
      </c>
      <c r="E108" s="94">
        <f ca="1">TblMili[[#This Row],[Draftees]]</f>
        <v>546</v>
      </c>
      <c r="F108" s="94">
        <f ca="1">TblPop[[#This Row],[Peasants]]+TblPop[[#This Row],[Military]]</f>
        <v>769</v>
      </c>
      <c r="G108" s="139">
        <f ca="1">TblPop[[#This Row],[Military]]/TblPop[[#This Row],[Total]]</f>
        <v>0.71001300390117039</v>
      </c>
      <c r="H108" s="140">
        <f ca="1">MIN(TblPop[[#This Row],[Peasants]],TblPop[[#This Row],[Jobs]])</f>
        <v>223</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546</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7</v>
      </c>
      <c r="Y108" s="94">
        <f ca="1">(TblPop[[#This Row],[Peasants]]-TblPop[[#This Row],[Draft Growth]])*raw_pop_growth</f>
        <v>6.63</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c r="A109" s="137">
        <f>TblRezone[[#This Row],[Hour]]</f>
        <v>106</v>
      </c>
      <c r="B109" s="138">
        <f ca="1">TblImps[[#This Row],[Time]]</f>
        <v>45819.374999999745</v>
      </c>
      <c r="C109" s="94">
        <f ca="1">OFFSET(TblPop[[#This Row],[Peasants]],-1,0)+OFFSET(TblPop[[#This Row],[Net Peasant]],-1,0)+TblMili[[#This Row],[Release Draft]]</f>
        <v>221</v>
      </c>
      <c r="D109" s="94">
        <f ca="1">TblMili[[#This Row],[Military]]</f>
        <v>548</v>
      </c>
      <c r="E109" s="94">
        <f ca="1">TblMili[[#This Row],[Draftees]]</f>
        <v>548</v>
      </c>
      <c r="F109" s="94">
        <f ca="1">TblPop[[#This Row],[Peasants]]+TblPop[[#This Row],[Military]]</f>
        <v>769</v>
      </c>
      <c r="G109" s="139">
        <f ca="1">TblPop[[#This Row],[Military]]/TblPop[[#This Row],[Total]]</f>
        <v>0.71261378413524057</v>
      </c>
      <c r="H109" s="140">
        <f ca="1">MIN(TblPop[[#This Row],[Peasants]],TblPop[[#This Row],[Jobs]])</f>
        <v>221</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548</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7</v>
      </c>
      <c r="Y109" s="94">
        <f ca="1">(TblPop[[#This Row],[Peasants]]-TblPop[[#This Row],[Draft Growth]])*raw_pop_growth</f>
        <v>6.5699999999999994</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c r="A110" s="137">
        <f>TblRezone[[#This Row],[Hour]]</f>
        <v>107</v>
      </c>
      <c r="B110" s="138">
        <f ca="1">TblImps[[#This Row],[Time]]</f>
        <v>45819.41666666641</v>
      </c>
      <c r="C110" s="94">
        <f ca="1">OFFSET(TblPop[[#This Row],[Peasants]],-1,0)+OFFSET(TblPop[[#This Row],[Net Peasant]],-1,0)+TblMili[[#This Row],[Release Draft]]</f>
        <v>219</v>
      </c>
      <c r="D110" s="94">
        <f ca="1">TblMili[[#This Row],[Military]]</f>
        <v>550</v>
      </c>
      <c r="E110" s="94">
        <f ca="1">TblMili[[#This Row],[Draftees]]</f>
        <v>550</v>
      </c>
      <c r="F110" s="94">
        <f ca="1">TblPop[[#This Row],[Peasants]]+TblPop[[#This Row],[Military]]</f>
        <v>769</v>
      </c>
      <c r="G110" s="139">
        <f ca="1">TblPop[[#This Row],[Military]]/TblPop[[#This Row],[Total]]</f>
        <v>0.71521456436931075</v>
      </c>
      <c r="H110" s="140">
        <f ca="1">MIN(TblPop[[#This Row],[Peasants]],TblPop[[#This Row],[Jobs]])</f>
        <v>219</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550</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7</v>
      </c>
      <c r="Y110" s="94">
        <f ca="1">(TblPop[[#This Row],[Peasants]]-TblPop[[#This Row],[Draft Growth]])*raw_pop_growth</f>
        <v>6.51</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c r="A111" s="137">
        <f>TblRezone[[#This Row],[Hour]]</f>
        <v>108</v>
      </c>
      <c r="B111" s="138">
        <f ca="1">TblImps[[#This Row],[Time]]</f>
        <v>45819.458333333074</v>
      </c>
      <c r="C111" s="94">
        <f ca="1">OFFSET(TblPop[[#This Row],[Peasants]],-1,0)+OFFSET(TblPop[[#This Row],[Net Peasant]],-1,0)+TblMili[[#This Row],[Release Draft]]</f>
        <v>217</v>
      </c>
      <c r="D111" s="94">
        <f ca="1">TblMili[[#This Row],[Military]]</f>
        <v>552</v>
      </c>
      <c r="E111" s="94">
        <f ca="1">TblMili[[#This Row],[Draftees]]</f>
        <v>552</v>
      </c>
      <c r="F111" s="94">
        <f ca="1">TblPop[[#This Row],[Peasants]]+TblPop[[#This Row],[Military]]</f>
        <v>769</v>
      </c>
      <c r="G111" s="139">
        <f ca="1">TblPop[[#This Row],[Military]]/TblPop[[#This Row],[Total]]</f>
        <v>0.71781534460338103</v>
      </c>
      <c r="H111" s="140">
        <f ca="1">MIN(TblPop[[#This Row],[Peasants]],TblPop[[#This Row],[Jobs]])</f>
        <v>217</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552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6</v>
      </c>
      <c r="Y111" s="94">
        <f ca="1">(TblPop[[#This Row],[Peasants]]-TblPop[[#This Row],[Draft Growth]])*raw_pop_growth</f>
        <v>6.45</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c r="A112" s="137">
        <f>TblRezone[[#This Row],[Hour]]</f>
        <v>109</v>
      </c>
      <c r="B112" s="138">
        <f ca="1">TblImps[[#This Row],[Time]]</f>
        <v>45819.499999999738</v>
      </c>
      <c r="C112" s="94">
        <f ca="1">OFFSET(TblPop[[#This Row],[Peasants]],-1,0)+OFFSET(TblPop[[#This Row],[Net Peasant]],-1,0)+TblMili[[#This Row],[Release Draft]]</f>
        <v>215</v>
      </c>
      <c r="D112" s="94">
        <f ca="1">TblMili[[#This Row],[Military]]</f>
        <v>554</v>
      </c>
      <c r="E112" s="94">
        <f ca="1">TblMili[[#This Row],[Draftees]]</f>
        <v>554</v>
      </c>
      <c r="F112" s="94">
        <f ca="1">TblPop[[#This Row],[Peasants]]+TblPop[[#This Row],[Military]]</f>
        <v>769</v>
      </c>
      <c r="G112" s="139">
        <f ca="1">TblPop[[#This Row],[Military]]/TblPop[[#This Row],[Total]]</f>
        <v>0.72041612483745121</v>
      </c>
      <c r="H112" s="140">
        <f ca="1">MIN(TblPop[[#This Row],[Peasants]],TblPop[[#This Row],[Jobs]])</f>
        <v>215</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554</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6</v>
      </c>
      <c r="Y112" s="94">
        <f ca="1">(TblPop[[#This Row],[Peasants]]-TblPop[[#This Row],[Draft Growth]])*raw_pop_growth</f>
        <v>6.39</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c r="A113" s="137">
        <f>TblRezone[[#This Row],[Hour]]</f>
        <v>110</v>
      </c>
      <c r="B113" s="138">
        <f ca="1">TblImps[[#This Row],[Time]]</f>
        <v>45819.541666666402</v>
      </c>
      <c r="C113" s="94">
        <f ca="1">OFFSET(TblPop[[#This Row],[Peasants]],-1,0)+OFFSET(TblPop[[#This Row],[Net Peasant]],-1,0)+TblMili[[#This Row],[Release Draft]]</f>
        <v>213</v>
      </c>
      <c r="D113" s="94">
        <f ca="1">TblMili[[#This Row],[Military]]</f>
        <v>556</v>
      </c>
      <c r="E113" s="94">
        <f ca="1">TblMili[[#This Row],[Draftees]]</f>
        <v>556</v>
      </c>
      <c r="F113" s="94">
        <f ca="1">TblPop[[#This Row],[Peasants]]+TblPop[[#This Row],[Military]]</f>
        <v>769</v>
      </c>
      <c r="G113" s="139">
        <f ca="1">TblPop[[#This Row],[Military]]/TblPop[[#This Row],[Total]]</f>
        <v>0.7230169050715215</v>
      </c>
      <c r="H113" s="140">
        <f ca="1">MIN(TblPop[[#This Row],[Peasants]],TblPop[[#This Row],[Jobs]])</f>
        <v>213</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556</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6</v>
      </c>
      <c r="Y113" s="94">
        <f ca="1">(TblPop[[#This Row],[Peasants]]-TblPop[[#This Row],[Draft Growth]])*raw_pop_growth</f>
        <v>6.33</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c r="A114" s="137">
        <f>TblRezone[[#This Row],[Hour]]</f>
        <v>111</v>
      </c>
      <c r="B114" s="138">
        <f ca="1">TblImps[[#This Row],[Time]]</f>
        <v>45819.583333333067</v>
      </c>
      <c r="C114" s="94">
        <f ca="1">OFFSET(TblPop[[#This Row],[Peasants]],-1,0)+OFFSET(TblPop[[#This Row],[Net Peasant]],-1,0)+TblMili[[#This Row],[Release Draft]]</f>
        <v>211</v>
      </c>
      <c r="D114" s="94">
        <f ca="1">TblMili[[#This Row],[Military]]</f>
        <v>558</v>
      </c>
      <c r="E114" s="94">
        <f ca="1">TblMili[[#This Row],[Draftees]]</f>
        <v>558</v>
      </c>
      <c r="F114" s="94">
        <f ca="1">TblPop[[#This Row],[Peasants]]+TblPop[[#This Row],[Military]]</f>
        <v>769</v>
      </c>
      <c r="G114" s="139">
        <f ca="1">TblPop[[#This Row],[Military]]/TblPop[[#This Row],[Total]]</f>
        <v>0.72561768530559168</v>
      </c>
      <c r="H114" s="140">
        <f ca="1">MIN(TblPop[[#This Row],[Peasants]],TblPop[[#This Row],[Jobs]])</f>
        <v>211</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558</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6</v>
      </c>
      <c r="Y114" s="94">
        <f ca="1">(TblPop[[#This Row],[Peasants]]-TblPop[[#This Row],[Draft Growth]])*raw_pop_growth</f>
        <v>6.27</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c r="A115" s="137">
        <f>TblRezone[[#This Row],[Hour]]</f>
        <v>112</v>
      </c>
      <c r="B115" s="138">
        <f ca="1">TblImps[[#This Row],[Time]]</f>
        <v>45819.624999999731</v>
      </c>
      <c r="C115" s="94">
        <f ca="1">OFFSET(TblPop[[#This Row],[Peasants]],-1,0)+OFFSET(TblPop[[#This Row],[Net Peasant]],-1,0)+TblMili[[#This Row],[Release Draft]]</f>
        <v>209</v>
      </c>
      <c r="D115" s="94">
        <f ca="1">TblMili[[#This Row],[Military]]</f>
        <v>560</v>
      </c>
      <c r="E115" s="94">
        <f ca="1">TblMili[[#This Row],[Draftees]]</f>
        <v>560</v>
      </c>
      <c r="F115" s="94">
        <f ca="1">TblPop[[#This Row],[Peasants]]+TblPop[[#This Row],[Military]]</f>
        <v>769</v>
      </c>
      <c r="G115" s="139">
        <f ca="1">TblPop[[#This Row],[Military]]/TblPop[[#This Row],[Total]]</f>
        <v>0.72821846553966185</v>
      </c>
      <c r="H115" s="140">
        <f ca="1">MIN(TblPop[[#This Row],[Peasants]],TblPop[[#This Row],[Jobs]])</f>
        <v>209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560</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6</v>
      </c>
      <c r="Y115" s="94">
        <f ca="1">(TblPop[[#This Row],[Peasants]]-TblPop[[#This Row],[Draft Growth]])*raw_pop_growth</f>
        <v>6.21</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c r="A116" s="137">
        <f>TblRezone[[#This Row],[Hour]]</f>
        <v>113</v>
      </c>
      <c r="B116" s="138">
        <f ca="1">TblImps[[#This Row],[Time]]</f>
        <v>45819.666666666395</v>
      </c>
      <c r="C116" s="94">
        <f ca="1">OFFSET(TblPop[[#This Row],[Peasants]],-1,0)+OFFSET(TblPop[[#This Row],[Net Peasant]],-1,0)+TblMili[[#This Row],[Release Draft]]</f>
        <v>207</v>
      </c>
      <c r="D116" s="94">
        <f ca="1">TblMili[[#This Row],[Military]]</f>
        <v>562</v>
      </c>
      <c r="E116" s="94">
        <f ca="1">TblMili[[#This Row],[Draftees]]</f>
        <v>562</v>
      </c>
      <c r="F116" s="94">
        <f ca="1">TblPop[[#This Row],[Peasants]]+TblPop[[#This Row],[Military]]</f>
        <v>769</v>
      </c>
      <c r="G116" s="139">
        <f ca="1">TblPop[[#This Row],[Military]]/TblPop[[#This Row],[Total]]</f>
        <v>0.73081924577373214</v>
      </c>
      <c r="H116" s="140">
        <f ca="1">MIN(TblPop[[#This Row],[Peasants]],TblPop[[#This Row],[Jobs]])</f>
        <v>207</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562</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-2</v>
      </c>
      <c r="X116" s="94">
        <f ca="1">ROUND(TblPop[[#This Row],[Raw Birth]]*(1+TblPop[[#This Row],[Growth]]),0)</f>
        <v>6</v>
      </c>
      <c r="Y116" s="94">
        <f ca="1">(TblPop[[#This Row],[Peasants]]-TblPop[[#This Row],[Draft Growth]])*raw_pop_growth</f>
        <v>6.1499999999999995</v>
      </c>
      <c r="Z116" s="94">
        <f ca="1">ROUND(IF(TblPop[[#This Row],[Military%]]&lt;TblMili[[#This Row],[Draftrate]],ROUND(TblPop[[#This Row],[Peasants]]*Constants!$B$55,0), 0) * IF(AND(TblMagic[[#This Row],[Active DnD]]&lt;=12,TblMagic[[#This Row],[Active DnD]]&gt;6),1.6,1),0)</f>
        <v>2</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c r="A117" s="137">
        <f>TblRezone[[#This Row],[Hour]]</f>
        <v>114</v>
      </c>
      <c r="B117" s="138">
        <f ca="1">TblImps[[#This Row],[Time]]</f>
        <v>45819.708333333059</v>
      </c>
      <c r="C117" s="94">
        <f ca="1">OFFSET(TblPop[[#This Row],[Peasants]],-1,0)+OFFSET(TblPop[[#This Row],[Net Peasant]],-1,0)+TblMili[[#This Row],[Release Draft]]</f>
        <v>205</v>
      </c>
      <c r="D117" s="94">
        <f ca="1">TblMili[[#This Row],[Military]]</f>
        <v>564</v>
      </c>
      <c r="E117" s="94">
        <f ca="1">TblMili[[#This Row],[Draftees]]</f>
        <v>564</v>
      </c>
      <c r="F117" s="94">
        <f ca="1">TblPop[[#This Row],[Peasants]]+TblPop[[#This Row],[Military]]</f>
        <v>769</v>
      </c>
      <c r="G117" s="139">
        <f ca="1">TblPop[[#This Row],[Military]]/TblPop[[#This Row],[Total]]</f>
        <v>0.73342002600780232</v>
      </c>
      <c r="H117" s="140">
        <f ca="1">MIN(TblPop[[#This Row],[Peasants]],TblPop[[#This Row],[Jobs]])</f>
        <v>205</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564</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-2</v>
      </c>
      <c r="X117" s="94">
        <f ca="1">ROUND(TblPop[[#This Row],[Raw Birth]]*(1+TblPop[[#This Row],[Growth]]),0)</f>
        <v>6</v>
      </c>
      <c r="Y117" s="94">
        <f ca="1">(TblPop[[#This Row],[Peasants]]-TblPop[[#This Row],[Draft Growth]])*raw_pop_growth</f>
        <v>6.09</v>
      </c>
      <c r="Z117" s="94">
        <f ca="1">ROUND(IF(TblPop[[#This Row],[Military%]]&lt;TblMili[[#This Row],[Draftrate]],ROUND(TblPop[[#This Row],[Peasants]]*Constants!$B$55,0), 0) * IF(AND(TblMagic[[#This Row],[Active DnD]]&lt;=12,TblMagic[[#This Row],[Active DnD]]&gt;6),1.6,1),0)</f>
        <v>2</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c r="A118" s="137">
        <f>TblRezone[[#This Row],[Hour]]</f>
        <v>115</v>
      </c>
      <c r="B118" s="138">
        <f ca="1">TblImps[[#This Row],[Time]]</f>
        <v>45819.749999999724</v>
      </c>
      <c r="C118" s="94">
        <f ca="1">OFFSET(TblPop[[#This Row],[Peasants]],-1,0)+OFFSET(TblPop[[#This Row],[Net Peasant]],-1,0)+TblMili[[#This Row],[Release Draft]]</f>
        <v>203</v>
      </c>
      <c r="D118" s="94">
        <f ca="1">TblMili[[#This Row],[Military]]</f>
        <v>566</v>
      </c>
      <c r="E118" s="94">
        <f ca="1">TblMili[[#This Row],[Draftees]]</f>
        <v>566</v>
      </c>
      <c r="F118" s="94">
        <f ca="1">TblPop[[#This Row],[Peasants]]+TblPop[[#This Row],[Military]]</f>
        <v>769</v>
      </c>
      <c r="G118" s="139">
        <f ca="1">TblPop[[#This Row],[Military]]/TblPop[[#This Row],[Total]]</f>
        <v>0.7360208062418726</v>
      </c>
      <c r="H118" s="140">
        <f ca="1">MIN(TblPop[[#This Row],[Peasants]],TblPop[[#This Row],[Jobs]])</f>
        <v>203</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566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-2</v>
      </c>
      <c r="X118" s="94">
        <f ca="1">ROUND(TblPop[[#This Row],[Raw Birth]]*(1+TblPop[[#This Row],[Growth]]),0)</f>
        <v>6</v>
      </c>
      <c r="Y118" s="94">
        <f ca="1">(TblPop[[#This Row],[Peasants]]-TblPop[[#This Row],[Draft Growth]])*raw_pop_growth</f>
        <v>6.0299999999999994</v>
      </c>
      <c r="Z118" s="94">
        <f ca="1">ROUND(IF(TblPop[[#This Row],[Military%]]&lt;TblMili[[#This Row],[Draftrate]],ROUND(TblPop[[#This Row],[Peasants]]*Constants!$B$55,0), 0) * IF(AND(TblMagic[[#This Row],[Active DnD]]&lt;=12,TblMagic[[#This Row],[Active DnD]]&gt;6),1.6,1),0)</f>
        <v>2</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c r="A119" s="137">
        <f>TblRezone[[#This Row],[Hour]]</f>
        <v>116</v>
      </c>
      <c r="B119" s="138">
        <f ca="1">TblImps[[#This Row],[Time]]</f>
        <v>45819.791666666388</v>
      </c>
      <c r="C119" s="94">
        <f ca="1">OFFSET(TblPop[[#This Row],[Peasants]],-1,0)+OFFSET(TblPop[[#This Row],[Net Peasant]],-1,0)+TblMili[[#This Row],[Release Draft]]</f>
        <v>201</v>
      </c>
      <c r="D119" s="94">
        <f ca="1">TblMili[[#This Row],[Military]]</f>
        <v>568</v>
      </c>
      <c r="E119" s="94">
        <f ca="1">TblMili[[#This Row],[Draftees]]</f>
        <v>568</v>
      </c>
      <c r="F119" s="94">
        <f ca="1">TblPop[[#This Row],[Peasants]]+TblPop[[#This Row],[Military]]</f>
        <v>769</v>
      </c>
      <c r="G119" s="139">
        <f ca="1">TblPop[[#This Row],[Military]]/TblPop[[#This Row],[Total]]</f>
        <v>0.73862158647594278</v>
      </c>
      <c r="H119" s="140">
        <f ca="1">MIN(TblPop[[#This Row],[Peasants]],TblPop[[#This Row],[Jobs]])</f>
        <v>201</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568</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-2</v>
      </c>
      <c r="X119" s="94">
        <f ca="1">ROUND(TblPop[[#This Row],[Raw Birth]]*(1+TblPop[[#This Row],[Growth]]),0)</f>
        <v>6</v>
      </c>
      <c r="Y119" s="94">
        <f ca="1">(TblPop[[#This Row],[Peasants]]-TblPop[[#This Row],[Draft Growth]])*raw_pop_growth</f>
        <v>5.97</v>
      </c>
      <c r="Z119" s="94">
        <f ca="1">ROUND(IF(TblPop[[#This Row],[Military%]]&lt;TblMili[[#This Row],[Draftrate]],ROUND(TblPop[[#This Row],[Peasants]]*Constants!$B$55,0), 0) * IF(AND(TblMagic[[#This Row],[Active DnD]]&lt;=12,TblMagic[[#This Row],[Active DnD]]&gt;6),1.6,1),0)</f>
        <v>2</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c r="A120" s="137">
        <f>TblRezone[[#This Row],[Hour]]</f>
        <v>117</v>
      </c>
      <c r="B120" s="138">
        <f ca="1">TblImps[[#This Row],[Time]]</f>
        <v>45819.833333333052</v>
      </c>
      <c r="C120" s="94">
        <f ca="1">OFFSET(TblPop[[#This Row],[Peasants]],-1,0)+OFFSET(TblPop[[#This Row],[Net Peasant]],-1,0)+TblMili[[#This Row],[Release Draft]]</f>
        <v>199</v>
      </c>
      <c r="D120" s="94">
        <f ca="1">TblMili[[#This Row],[Military]]</f>
        <v>570</v>
      </c>
      <c r="E120" s="94">
        <f ca="1">TblMili[[#This Row],[Draftees]]</f>
        <v>570</v>
      </c>
      <c r="F120" s="94">
        <f ca="1">TblPop[[#This Row],[Peasants]]+TblPop[[#This Row],[Military]]</f>
        <v>769</v>
      </c>
      <c r="G120" s="139">
        <f ca="1">TblPop[[#This Row],[Military]]/TblPop[[#This Row],[Total]]</f>
        <v>0.74122236671001296</v>
      </c>
      <c r="H120" s="140">
        <f ca="1">MIN(TblPop[[#This Row],[Peasants]],TblPop[[#This Row],[Jobs]])</f>
        <v>199</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570</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-2</v>
      </c>
      <c r="X120" s="94">
        <f ca="1">ROUND(TblPop[[#This Row],[Raw Birth]]*(1+TblPop[[#This Row],[Growth]]),0)</f>
        <v>6</v>
      </c>
      <c r="Y120" s="94">
        <f ca="1">(TblPop[[#This Row],[Peasants]]-TblPop[[#This Row],[Draft Growth]])*raw_pop_growth</f>
        <v>5.91</v>
      </c>
      <c r="Z120" s="94">
        <f ca="1">ROUND(IF(TblPop[[#This Row],[Military%]]&lt;TblMili[[#This Row],[Draftrate]],ROUND(TblPop[[#This Row],[Peasants]]*Constants!$B$55,0), 0) * IF(AND(TblMagic[[#This Row],[Active DnD]]&lt;=12,TblMagic[[#This Row],[Active DnD]]&gt;6),1.6,1),0)</f>
        <v>2</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c r="A121" s="137">
        <f>TblRezone[[#This Row],[Hour]]</f>
        <v>118</v>
      </c>
      <c r="B121" s="138">
        <f ca="1">TblImps[[#This Row],[Time]]</f>
        <v>45819.874999999716</v>
      </c>
      <c r="C121" s="94">
        <f ca="1">OFFSET(TblPop[[#This Row],[Peasants]],-1,0)+OFFSET(TblPop[[#This Row],[Net Peasant]],-1,0)+TblMili[[#This Row],[Release Draft]]</f>
        <v>197</v>
      </c>
      <c r="D121" s="94">
        <f ca="1">TblMili[[#This Row],[Military]]</f>
        <v>572</v>
      </c>
      <c r="E121" s="94">
        <f ca="1">TblMili[[#This Row],[Draftees]]</f>
        <v>572</v>
      </c>
      <c r="F121" s="94">
        <f ca="1">TblPop[[#This Row],[Peasants]]+TblPop[[#This Row],[Military]]</f>
        <v>769</v>
      </c>
      <c r="G121" s="139">
        <f ca="1">TblPop[[#This Row],[Military]]/TblPop[[#This Row],[Total]]</f>
        <v>0.74382314694408325</v>
      </c>
      <c r="H121" s="140">
        <f ca="1">MIN(TblPop[[#This Row],[Peasants]],TblPop[[#This Row],[Jobs]])</f>
        <v>197</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572</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-2</v>
      </c>
      <c r="X121" s="94">
        <f ca="1">ROUND(TblPop[[#This Row],[Raw Birth]]*(1+TblPop[[#This Row],[Growth]]),0)</f>
        <v>6</v>
      </c>
      <c r="Y121" s="94">
        <f ca="1">(TblPop[[#This Row],[Peasants]]-TblPop[[#This Row],[Draft Growth]])*raw_pop_growth</f>
        <v>5.85</v>
      </c>
      <c r="Z121" s="94">
        <f ca="1">ROUND(IF(TblPop[[#This Row],[Military%]]&lt;TblMili[[#This Row],[Draftrate]],ROUND(TblPop[[#This Row],[Peasants]]*Constants!$B$55,0), 0) * IF(AND(TblMagic[[#This Row],[Active DnD]]&lt;=12,TblMagic[[#This Row],[Active DnD]]&gt;6),1.6,1),0)</f>
        <v>2</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c r="A122" s="137">
        <f>TblRezone[[#This Row],[Hour]]</f>
        <v>119</v>
      </c>
      <c r="B122" s="138">
        <f ca="1">TblImps[[#This Row],[Time]]</f>
        <v>45819.91666666638</v>
      </c>
      <c r="C122" s="94">
        <f ca="1">OFFSET(TblPop[[#This Row],[Peasants]],-1,0)+OFFSET(TblPop[[#This Row],[Net Peasant]],-1,0)+TblMili[[#This Row],[Release Draft]]</f>
        <v>195</v>
      </c>
      <c r="D122" s="94">
        <f ca="1">TblMili[[#This Row],[Military]]</f>
        <v>574</v>
      </c>
      <c r="E122" s="94">
        <f ca="1">TblMili[[#This Row],[Draftees]]</f>
        <v>574</v>
      </c>
      <c r="F122" s="94">
        <f ca="1">TblPop[[#This Row],[Peasants]]+TblPop[[#This Row],[Military]]</f>
        <v>769</v>
      </c>
      <c r="G122" s="139">
        <f ca="1">TblPop[[#This Row],[Military]]/TblPop[[#This Row],[Total]]</f>
        <v>0.74642392717815342</v>
      </c>
      <c r="H122" s="140">
        <f ca="1">MIN(TblPop[[#This Row],[Peasants]],TblPop[[#This Row],[Jobs]])</f>
        <v>195</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574</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-2</v>
      </c>
      <c r="X122" s="94">
        <f ca="1">ROUND(TblPop[[#This Row],[Raw Birth]]*(1+TblPop[[#This Row],[Growth]]),0)</f>
        <v>6</v>
      </c>
      <c r="Y122" s="94">
        <f ca="1">(TblPop[[#This Row],[Peasants]]-TblPop[[#This Row],[Draft Growth]])*raw_pop_growth</f>
        <v>5.79</v>
      </c>
      <c r="Z122" s="94">
        <f ca="1">ROUND(IF(TblPop[[#This Row],[Military%]]&lt;TblMili[[#This Row],[Draftrate]],ROUND(TblPop[[#This Row],[Peasants]]*Constants!$B$55,0), 0) * IF(AND(TblMagic[[#This Row],[Active DnD]]&lt;=12,TblMagic[[#This Row],[Active DnD]]&gt;6),1.6,1),0)</f>
        <v>2</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c r="A123" s="137">
        <f>TblRezone[[#This Row],[Hour]]</f>
        <v>120</v>
      </c>
      <c r="B123" s="138">
        <f ca="1">TblImps[[#This Row],[Time]]</f>
        <v>45819.958333333045</v>
      </c>
      <c r="C123" s="94">
        <f ca="1">OFFSET(TblPop[[#This Row],[Peasants]],-1,0)+OFFSET(TblPop[[#This Row],[Net Peasant]],-1,0)+TblMili[[#This Row],[Release Draft]]</f>
        <v>193</v>
      </c>
      <c r="D123" s="94">
        <f ca="1">TblMili[[#This Row],[Military]]</f>
        <v>576</v>
      </c>
      <c r="E123" s="94">
        <f ca="1">TblMili[[#This Row],[Draftees]]</f>
        <v>576</v>
      </c>
      <c r="F123" s="94">
        <f ca="1">TblPop[[#This Row],[Peasants]]+TblPop[[#This Row],[Military]]</f>
        <v>769</v>
      </c>
      <c r="G123" s="139">
        <f ca="1">TblPop[[#This Row],[Military]]/TblPop[[#This Row],[Total]]</f>
        <v>0.74902470741222371</v>
      </c>
      <c r="H123" s="140">
        <f ca="1">MIN(TblPop[[#This Row],[Peasants]],TblPop[[#This Row],[Jobs]])</f>
        <v>193</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576</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-2</v>
      </c>
      <c r="X123" s="94">
        <f ca="1">ROUND(TblPop[[#This Row],[Raw Birth]]*(1+TblPop[[#This Row],[Growth]]),0)</f>
        <v>6</v>
      </c>
      <c r="Y123" s="94">
        <f ca="1">(TblPop[[#This Row],[Peasants]]-TblPop[[#This Row],[Draft Growth]])*raw_pop_growth</f>
        <v>5.7299999999999995</v>
      </c>
      <c r="Z123" s="94">
        <f ca="1">ROUND(IF(TblPop[[#This Row],[Military%]]&lt;TblMili[[#This Row],[Draftrate]],ROUND(TblPop[[#This Row],[Peasants]]*Constants!$B$55,0), 0) * IF(AND(TblMagic[[#This Row],[Active DnD]]&lt;=12,TblMagic[[#This Row],[Active DnD]]&gt;6),1.6,1),0)</f>
        <v>2</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c r="A124" s="137">
        <f>TblRezone[[#This Row],[Hour]]</f>
        <v>121</v>
      </c>
      <c r="B124" s="138">
        <f ca="1">TblImps[[#This Row],[Time]]</f>
        <v>45819.999999999709</v>
      </c>
      <c r="C124" s="94">
        <f ca="1">OFFSET(TblPop[[#This Row],[Peasants]],-1,0)+OFFSET(TblPop[[#This Row],[Net Peasant]],-1,0)+TblMili[[#This Row],[Release Draft]]</f>
        <v>191</v>
      </c>
      <c r="D124" s="94">
        <f ca="1">TblMili[[#This Row],[Military]]</f>
        <v>578</v>
      </c>
      <c r="E124" s="94">
        <f ca="1">TblMili[[#This Row],[Draftees]]</f>
        <v>578</v>
      </c>
      <c r="F124" s="94">
        <f ca="1">TblPop[[#This Row],[Peasants]]+TblPop[[#This Row],[Military]]</f>
        <v>769</v>
      </c>
      <c r="G124" s="139">
        <f ca="1">TblPop[[#This Row],[Military]]/TblPop[[#This Row],[Total]]</f>
        <v>0.75162548764629389</v>
      </c>
      <c r="H124" s="140">
        <f ca="1">MIN(TblPop[[#This Row],[Peasants]],TblPop[[#This Row],[Jobs]])</f>
        <v>191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578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-2</v>
      </c>
      <c r="X124" s="94">
        <f ca="1">ROUND(TblPop[[#This Row],[Raw Birth]]*(1+TblPop[[#This Row],[Growth]]),0)</f>
        <v>6</v>
      </c>
      <c r="Y124" s="94">
        <f ca="1">(TblPop[[#This Row],[Peasants]]-TblPop[[#This Row],[Draft Growth]])*raw_pop_growth</f>
        <v>5.67</v>
      </c>
      <c r="Z124" s="94">
        <f ca="1">ROUND(IF(TblPop[[#This Row],[Military%]]&lt;TblMili[[#This Row],[Draftrate]],ROUND(TblPop[[#This Row],[Peasants]]*Constants!$B$55,0), 0) * IF(AND(TblMagic[[#This Row],[Active DnD]]&lt;=12,TblMagic[[#This Row],[Active DnD]]&gt;6),1.6,1),0)</f>
        <v>2</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c r="A125" s="137">
        <f>TblRezone[[#This Row],[Hour]]</f>
        <v>122</v>
      </c>
      <c r="B125" s="138">
        <f ca="1">TblImps[[#This Row],[Time]]</f>
        <v>45820.041666666373</v>
      </c>
      <c r="C125" s="94">
        <f ca="1">OFFSET(TblPop[[#This Row],[Peasants]],-1,0)+OFFSET(TblPop[[#This Row],[Net Peasant]],-1,0)+TblMili[[#This Row],[Release Draft]]</f>
        <v>189</v>
      </c>
      <c r="D125" s="94">
        <f ca="1">TblMili[[#This Row],[Military]]</f>
        <v>580</v>
      </c>
      <c r="E125" s="94">
        <f ca="1">TblMili[[#This Row],[Draftees]]</f>
        <v>580</v>
      </c>
      <c r="F125" s="94">
        <f ca="1">TblPop[[#This Row],[Peasants]]+TblPop[[#This Row],[Military]]</f>
        <v>769</v>
      </c>
      <c r="G125" s="139">
        <f ca="1">TblPop[[#This Row],[Military]]/TblPop[[#This Row],[Total]]</f>
        <v>0.75422626788036407</v>
      </c>
      <c r="H125" s="140">
        <f ca="1">MIN(TblPop[[#This Row],[Peasants]],TblPop[[#This Row],[Jobs]])</f>
        <v>189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580</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-2</v>
      </c>
      <c r="X125" s="94">
        <f ca="1">ROUND(TblPop[[#This Row],[Raw Birth]]*(1+TblPop[[#This Row],[Growth]]),0)</f>
        <v>6</v>
      </c>
      <c r="Y125" s="94">
        <f ca="1">(TblPop[[#This Row],[Peasants]]-TblPop[[#This Row],[Draft Growth]])*raw_pop_growth</f>
        <v>5.6099999999999994</v>
      </c>
      <c r="Z125" s="94">
        <f ca="1">ROUND(IF(TblPop[[#This Row],[Military%]]&lt;TblMili[[#This Row],[Draftrate]],ROUND(TblPop[[#This Row],[Peasants]]*Constants!$B$55,0), 0) * IF(AND(TblMagic[[#This Row],[Active DnD]]&lt;=12,TblMagic[[#This Row],[Active DnD]]&gt;6),1.6,1),0)</f>
        <v>2</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c r="A126" s="137">
        <f>TblRezone[[#This Row],[Hour]]</f>
        <v>123</v>
      </c>
      <c r="B126" s="138">
        <f ca="1">TblImps[[#This Row],[Time]]</f>
        <v>45820.083333333037</v>
      </c>
      <c r="C126" s="94">
        <f ca="1">OFFSET(TblPop[[#This Row],[Peasants]],-1,0)+OFFSET(TblPop[[#This Row],[Net Peasant]],-1,0)+TblMili[[#This Row],[Release Draft]]</f>
        <v>187</v>
      </c>
      <c r="D126" s="94">
        <f ca="1">TblMili[[#This Row],[Military]]</f>
        <v>582</v>
      </c>
      <c r="E126" s="94">
        <f ca="1">TblMili[[#This Row],[Draftees]]</f>
        <v>582</v>
      </c>
      <c r="F126" s="94">
        <f ca="1">TblPop[[#This Row],[Peasants]]+TblPop[[#This Row],[Military]]</f>
        <v>769</v>
      </c>
      <c r="G126" s="139">
        <f ca="1">TblPop[[#This Row],[Military]]/TblPop[[#This Row],[Total]]</f>
        <v>0.75682704811443435</v>
      </c>
      <c r="H126" s="140">
        <f ca="1">MIN(TblPop[[#This Row],[Peasants]],TblPop[[#This Row],[Jobs]])</f>
        <v>187</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582</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-2</v>
      </c>
      <c r="X126" s="94">
        <f ca="1">ROUND(TblPop[[#This Row],[Raw Birth]]*(1+TblPop[[#This Row],[Growth]]),0)</f>
        <v>6</v>
      </c>
      <c r="Y126" s="94">
        <f ca="1">(TblPop[[#This Row],[Peasants]]-TblPop[[#This Row],[Draft Growth]])*raw_pop_growth</f>
        <v>5.55</v>
      </c>
      <c r="Z126" s="94">
        <f ca="1">ROUND(IF(TblPop[[#This Row],[Military%]]&lt;TblMili[[#This Row],[Draftrate]],ROUND(TblPop[[#This Row],[Peasants]]*Constants!$B$55,0), 0) * IF(AND(TblMagic[[#This Row],[Active DnD]]&lt;=12,TblMagic[[#This Row],[Active DnD]]&gt;6),1.6,1),0)</f>
        <v>2</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c r="A127" s="137">
        <f>TblRezone[[#This Row],[Hour]]</f>
        <v>124</v>
      </c>
      <c r="B127" s="138">
        <f ca="1">TblImps[[#This Row],[Time]]</f>
        <v>45820.124999999702</v>
      </c>
      <c r="C127" s="94">
        <f ca="1">OFFSET(TblPop[[#This Row],[Peasants]],-1,0)+OFFSET(TblPop[[#This Row],[Net Peasant]],-1,0)+TblMili[[#This Row],[Release Draft]]</f>
        <v>185</v>
      </c>
      <c r="D127" s="94">
        <f ca="1">TblMili[[#This Row],[Military]]</f>
        <v>584</v>
      </c>
      <c r="E127" s="94">
        <f ca="1">TblMili[[#This Row],[Draftees]]</f>
        <v>584</v>
      </c>
      <c r="F127" s="94">
        <f ca="1">TblPop[[#This Row],[Peasants]]+TblPop[[#This Row],[Military]]</f>
        <v>769</v>
      </c>
      <c r="G127" s="139">
        <f ca="1">TblPop[[#This Row],[Military]]/TblPop[[#This Row],[Total]]</f>
        <v>0.75942782834850453</v>
      </c>
      <c r="H127" s="140">
        <f ca="1">MIN(TblPop[[#This Row],[Peasants]],TblPop[[#This Row],[Jobs]])</f>
        <v>185</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584</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-2</v>
      </c>
      <c r="X127" s="94">
        <f ca="1">ROUND(TblPop[[#This Row],[Raw Birth]]*(1+TblPop[[#This Row],[Growth]]),0)</f>
        <v>5</v>
      </c>
      <c r="Y127" s="94">
        <f ca="1">(TblPop[[#This Row],[Peasants]]-TblPop[[#This Row],[Draft Growth]])*raw_pop_growth</f>
        <v>5.49</v>
      </c>
      <c r="Z127" s="94">
        <f ca="1">ROUND(IF(TblPop[[#This Row],[Military%]]&lt;TblMili[[#This Row],[Draftrate]],ROUND(TblPop[[#This Row],[Peasants]]*Constants!$B$55,0), 0) * IF(AND(TblMagic[[#This Row],[Active DnD]]&lt;=12,TblMagic[[#This Row],[Active DnD]]&gt;6),1.6,1),0)</f>
        <v>2</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c r="A128" s="137">
        <f>TblRezone[[#This Row],[Hour]]</f>
        <v>125</v>
      </c>
      <c r="B128" s="138">
        <f ca="1">TblImps[[#This Row],[Time]]</f>
        <v>45820.166666666366</v>
      </c>
      <c r="C128" s="94">
        <f ca="1">OFFSET(TblPop[[#This Row],[Peasants]],-1,0)+OFFSET(TblPop[[#This Row],[Net Peasant]],-1,0)+TblMili[[#This Row],[Release Draft]]</f>
        <v>183</v>
      </c>
      <c r="D128" s="94">
        <f ca="1">TblMili[[#This Row],[Military]]</f>
        <v>586</v>
      </c>
      <c r="E128" s="94">
        <f ca="1">TblMili[[#This Row],[Draftees]]</f>
        <v>586</v>
      </c>
      <c r="F128" s="94">
        <f ca="1">TblPop[[#This Row],[Peasants]]+TblPop[[#This Row],[Military]]</f>
        <v>769</v>
      </c>
      <c r="G128" s="139">
        <f ca="1">TblPop[[#This Row],[Military]]/TblPop[[#This Row],[Total]]</f>
        <v>0.76202860858257482</v>
      </c>
      <c r="H128" s="140">
        <f ca="1">MIN(TblPop[[#This Row],[Peasants]],TblPop[[#This Row],[Jobs]])</f>
        <v>183</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586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-2</v>
      </c>
      <c r="X128" s="94">
        <f ca="1">ROUND(TblPop[[#This Row],[Raw Birth]]*(1+TblPop[[#This Row],[Growth]]),0)</f>
        <v>5</v>
      </c>
      <c r="Y128" s="94">
        <f ca="1">(TblPop[[#This Row],[Peasants]]-TblPop[[#This Row],[Draft Growth]])*raw_pop_growth</f>
        <v>5.43</v>
      </c>
      <c r="Z128" s="94">
        <f ca="1">ROUND(IF(TblPop[[#This Row],[Military%]]&lt;TblMili[[#This Row],[Draftrate]],ROUND(TblPop[[#This Row],[Peasants]]*Constants!$B$55,0), 0) * IF(AND(TblMagic[[#This Row],[Active DnD]]&lt;=12,TblMagic[[#This Row],[Active DnD]]&gt;6),1.6,1),0)</f>
        <v>2</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c r="A129" s="137">
        <f>TblRezone[[#This Row],[Hour]]</f>
        <v>126</v>
      </c>
      <c r="B129" s="138">
        <f ca="1">TblImps[[#This Row],[Time]]</f>
        <v>45820.20833333303</v>
      </c>
      <c r="C129" s="94">
        <f ca="1">OFFSET(TblPop[[#This Row],[Peasants]],-1,0)+OFFSET(TblPop[[#This Row],[Net Peasant]],-1,0)+TblMili[[#This Row],[Release Draft]]</f>
        <v>181</v>
      </c>
      <c r="D129" s="94">
        <f ca="1">TblMili[[#This Row],[Military]]</f>
        <v>588</v>
      </c>
      <c r="E129" s="94">
        <f ca="1">TblMili[[#This Row],[Draftees]]</f>
        <v>588</v>
      </c>
      <c r="F129" s="94">
        <f ca="1">TblPop[[#This Row],[Peasants]]+TblPop[[#This Row],[Military]]</f>
        <v>769</v>
      </c>
      <c r="G129" s="139">
        <f ca="1">TblPop[[#This Row],[Military]]/TblPop[[#This Row],[Total]]</f>
        <v>0.76462938881664499</v>
      </c>
      <c r="H129" s="140">
        <f ca="1">MIN(TblPop[[#This Row],[Peasants]],TblPop[[#This Row],[Jobs]])</f>
        <v>181</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588</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-2</v>
      </c>
      <c r="X129" s="94">
        <f ca="1">ROUND(TblPop[[#This Row],[Raw Birth]]*(1+TblPop[[#This Row],[Growth]]),0)</f>
        <v>5</v>
      </c>
      <c r="Y129" s="94">
        <f ca="1">(TblPop[[#This Row],[Peasants]]-TblPop[[#This Row],[Draft Growth]])*raw_pop_growth</f>
        <v>5.37</v>
      </c>
      <c r="Z129" s="94">
        <f ca="1">ROUND(IF(TblPop[[#This Row],[Military%]]&lt;TblMili[[#This Row],[Draftrate]],ROUND(TblPop[[#This Row],[Peasants]]*Constants!$B$55,0), 0) * IF(AND(TblMagic[[#This Row],[Active DnD]]&lt;=12,TblMagic[[#This Row],[Active DnD]]&gt;6),1.6,1),0)</f>
        <v>2</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c r="A130" s="137">
        <f>TblRezone[[#This Row],[Hour]]</f>
        <v>127</v>
      </c>
      <c r="B130" s="138">
        <f ca="1">TblImps[[#This Row],[Time]]</f>
        <v>45820.249999999694</v>
      </c>
      <c r="C130" s="94">
        <f ca="1">OFFSET(TblPop[[#This Row],[Peasants]],-1,0)+OFFSET(TblPop[[#This Row],[Net Peasant]],-1,0)+TblMili[[#This Row],[Release Draft]]</f>
        <v>179</v>
      </c>
      <c r="D130" s="94">
        <f ca="1">TblMili[[#This Row],[Military]]</f>
        <v>590</v>
      </c>
      <c r="E130" s="94">
        <f ca="1">TblMili[[#This Row],[Draftees]]</f>
        <v>590</v>
      </c>
      <c r="F130" s="94">
        <f ca="1">TblPop[[#This Row],[Peasants]]+TblPop[[#This Row],[Military]]</f>
        <v>769</v>
      </c>
      <c r="G130" s="139">
        <f ca="1">TblPop[[#This Row],[Military]]/TblPop[[#This Row],[Total]]</f>
        <v>0.76723016905071517</v>
      </c>
      <c r="H130" s="140">
        <f ca="1">MIN(TblPop[[#This Row],[Peasants]],TblPop[[#This Row],[Jobs]])</f>
        <v>179</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590</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-2</v>
      </c>
      <c r="X130" s="94">
        <f ca="1">ROUND(TblPop[[#This Row],[Raw Birth]]*(1+TblPop[[#This Row],[Growth]]),0)</f>
        <v>5</v>
      </c>
      <c r="Y130" s="94">
        <f ca="1">(TblPop[[#This Row],[Peasants]]-TblPop[[#This Row],[Draft Growth]])*raw_pop_growth</f>
        <v>5.31</v>
      </c>
      <c r="Z130" s="94">
        <f ca="1">ROUND(IF(TblPop[[#This Row],[Military%]]&lt;TblMili[[#This Row],[Draftrate]],ROUND(TblPop[[#This Row],[Peasants]]*Constants!$B$55,0), 0) * IF(AND(TblMagic[[#This Row],[Active DnD]]&lt;=12,TblMagic[[#This Row],[Active DnD]]&gt;6),1.6,1),0)</f>
        <v>2</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c r="A131" s="137">
        <f>TblRezone[[#This Row],[Hour]]</f>
        <v>128</v>
      </c>
      <c r="B131" s="138">
        <f ca="1">TblImps[[#This Row],[Time]]</f>
        <v>45820.291666666359</v>
      </c>
      <c r="C131" s="94">
        <f ca="1">OFFSET(TblPop[[#This Row],[Peasants]],-1,0)+OFFSET(TblPop[[#This Row],[Net Peasant]],-1,0)+TblMili[[#This Row],[Release Draft]]</f>
        <v>177</v>
      </c>
      <c r="D131" s="94">
        <f ca="1">TblMili[[#This Row],[Military]]</f>
        <v>592</v>
      </c>
      <c r="E131" s="94">
        <f ca="1">TblMili[[#This Row],[Draftees]]</f>
        <v>592</v>
      </c>
      <c r="F131" s="94">
        <f ca="1">TblPop[[#This Row],[Peasants]]+TblPop[[#This Row],[Military]]</f>
        <v>769</v>
      </c>
      <c r="G131" s="139">
        <f ca="1">TblPop[[#This Row],[Military]]/TblPop[[#This Row],[Total]]</f>
        <v>0.76983094928478546</v>
      </c>
      <c r="H131" s="140">
        <f ca="1">MIN(TblPop[[#This Row],[Peasants]],TblPop[[#This Row],[Jobs]])</f>
        <v>177</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592</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-2</v>
      </c>
      <c r="X131" s="94">
        <f ca="1">ROUND(TblPop[[#This Row],[Raw Birth]]*(1+TblPop[[#This Row],[Growth]]),0)</f>
        <v>5</v>
      </c>
      <c r="Y131" s="94">
        <f ca="1">(TblPop[[#This Row],[Peasants]]-TblPop[[#This Row],[Draft Growth]])*raw_pop_growth</f>
        <v>5.25</v>
      </c>
      <c r="Z131" s="94">
        <f ca="1">ROUND(IF(TblPop[[#This Row],[Military%]]&lt;TblMili[[#This Row],[Draftrate]],ROUND(TblPop[[#This Row],[Peasants]]*Constants!$B$55,0), 0) * IF(AND(TblMagic[[#This Row],[Active DnD]]&lt;=12,TblMagic[[#This Row],[Active DnD]]&gt;6),1.6,1),0)</f>
        <v>2</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c r="A132" s="137">
        <f>TblRezone[[#This Row],[Hour]]</f>
        <v>129</v>
      </c>
      <c r="B132" s="138">
        <f ca="1">TblImps[[#This Row],[Time]]</f>
        <v>45820.333333333023</v>
      </c>
      <c r="C132" s="94">
        <f ca="1">OFFSET(TblPop[[#This Row],[Peasants]],-1,0)+OFFSET(TblPop[[#This Row],[Net Peasant]],-1,0)+TblMili[[#This Row],[Release Draft]]</f>
        <v>175</v>
      </c>
      <c r="D132" s="94">
        <f ca="1">TblMili[[#This Row],[Military]]</f>
        <v>594</v>
      </c>
      <c r="E132" s="94">
        <f ca="1">TblMili[[#This Row],[Draftees]]</f>
        <v>594</v>
      </c>
      <c r="F132" s="94">
        <f ca="1">TblPop[[#This Row],[Peasants]]+TblPop[[#This Row],[Military]]</f>
        <v>769</v>
      </c>
      <c r="G132" s="139">
        <f ca="1">TblPop[[#This Row],[Military]]/TblPop[[#This Row],[Total]]</f>
        <v>0.77243172951885564</v>
      </c>
      <c r="H132" s="140">
        <f ca="1">MIN(TblPop[[#This Row],[Peasants]],TblPop[[#This Row],[Jobs]])</f>
        <v>175</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594</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-2</v>
      </c>
      <c r="X132" s="94">
        <f ca="1">ROUND(TblPop[[#This Row],[Raw Birth]]*(1+TblPop[[#This Row],[Growth]]),0)</f>
        <v>5</v>
      </c>
      <c r="Y132" s="94">
        <f ca="1">(TblPop[[#This Row],[Peasants]]-TblPop[[#This Row],[Draft Growth]])*raw_pop_growth</f>
        <v>5.1899999999999995</v>
      </c>
      <c r="Z132" s="94">
        <f ca="1">ROUND(IF(TblPop[[#This Row],[Military%]]&lt;TblMili[[#This Row],[Draftrate]],ROUND(TblPop[[#This Row],[Peasants]]*Constants!$B$55,0), 0) * IF(AND(TblMagic[[#This Row],[Active DnD]]&lt;=12,TblMagic[[#This Row],[Active DnD]]&gt;6),1.6,1),0)</f>
        <v>2</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c r="A133" s="137">
        <f>TblRezone[[#This Row],[Hour]]</f>
        <v>130</v>
      </c>
      <c r="B133" s="138">
        <f ca="1">TblImps[[#This Row],[Time]]</f>
        <v>45820.374999999687</v>
      </c>
      <c r="C133" s="94">
        <f ca="1">OFFSET(TblPop[[#This Row],[Peasants]],-1,0)+OFFSET(TblPop[[#This Row],[Net Peasant]],-1,0)+TblMili[[#This Row],[Release Draft]]</f>
        <v>173</v>
      </c>
      <c r="D133" s="94">
        <f ca="1">TblMili[[#This Row],[Military]]</f>
        <v>596</v>
      </c>
      <c r="E133" s="94">
        <f ca="1">TblMili[[#This Row],[Draftees]]</f>
        <v>596</v>
      </c>
      <c r="F133" s="94">
        <f ca="1">TblPop[[#This Row],[Peasants]]+TblPop[[#This Row],[Military]]</f>
        <v>769</v>
      </c>
      <c r="G133" s="139">
        <f ca="1">TblPop[[#This Row],[Military]]/TblPop[[#This Row],[Total]]</f>
        <v>0.77503250975292592</v>
      </c>
      <c r="H133" s="140">
        <f ca="1">MIN(TblPop[[#This Row],[Peasants]],TblPop[[#This Row],[Jobs]])</f>
        <v>173</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596</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-2</v>
      </c>
      <c r="X133" s="94">
        <f ca="1">ROUND(TblPop[[#This Row],[Raw Birth]]*(1+TblPop[[#This Row],[Growth]]),0)</f>
        <v>5</v>
      </c>
      <c r="Y133" s="94">
        <f ca="1">(TblPop[[#This Row],[Peasants]]-TblPop[[#This Row],[Draft Growth]])*raw_pop_growth</f>
        <v>5.13</v>
      </c>
      <c r="Z133" s="94">
        <f ca="1">ROUND(IF(TblPop[[#This Row],[Military%]]&lt;TblMili[[#This Row],[Draftrate]],ROUND(TblPop[[#This Row],[Peasants]]*Constants!$B$55,0), 0) * IF(AND(TblMagic[[#This Row],[Active DnD]]&lt;=12,TblMagic[[#This Row],[Active DnD]]&gt;6),1.6,1),0)</f>
        <v>2</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c r="A134" s="137">
        <f>TblRezone[[#This Row],[Hour]]</f>
        <v>131</v>
      </c>
      <c r="B134" s="138">
        <f ca="1">TblImps[[#This Row],[Time]]</f>
        <v>45820.416666666351</v>
      </c>
      <c r="C134" s="94">
        <f ca="1">OFFSET(TblPop[[#This Row],[Peasants]],-1,0)+OFFSET(TblPop[[#This Row],[Net Peasant]],-1,0)+TblMili[[#This Row],[Release Draft]]</f>
        <v>171</v>
      </c>
      <c r="D134" s="94">
        <f ca="1">TblMili[[#This Row],[Military]]</f>
        <v>598</v>
      </c>
      <c r="E134" s="94">
        <f ca="1">TblMili[[#This Row],[Draftees]]</f>
        <v>598</v>
      </c>
      <c r="F134" s="94">
        <f ca="1">TblPop[[#This Row],[Peasants]]+TblPop[[#This Row],[Military]]</f>
        <v>769</v>
      </c>
      <c r="G134" s="139">
        <f ca="1">TblPop[[#This Row],[Military]]/TblPop[[#This Row],[Total]]</f>
        <v>0.7776332899869961</v>
      </c>
      <c r="H134" s="140">
        <f ca="1">MIN(TblPop[[#This Row],[Peasants]],TblPop[[#This Row],[Jobs]])</f>
        <v>171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598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-2</v>
      </c>
      <c r="X134" s="94">
        <f ca="1">ROUND(TblPop[[#This Row],[Raw Birth]]*(1+TblPop[[#This Row],[Growth]]),0)</f>
        <v>5</v>
      </c>
      <c r="Y134" s="94">
        <f ca="1">(TblPop[[#This Row],[Peasants]]-TblPop[[#This Row],[Draft Growth]])*raw_pop_growth</f>
        <v>5.0699999999999994</v>
      </c>
      <c r="Z134" s="94">
        <f ca="1">ROUND(IF(TblPop[[#This Row],[Military%]]&lt;TblMili[[#This Row],[Draftrate]],ROUND(TblPop[[#This Row],[Peasants]]*Constants!$B$55,0), 0) * IF(AND(TblMagic[[#This Row],[Active DnD]]&lt;=12,TblMagic[[#This Row],[Active DnD]]&gt;6),1.6,1),0)</f>
        <v>2</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c r="A135" s="137">
        <f>TblRezone[[#This Row],[Hour]]</f>
        <v>132</v>
      </c>
      <c r="B135" s="138">
        <f ca="1">TblImps[[#This Row],[Time]]</f>
        <v>45820.458333333016</v>
      </c>
      <c r="C135" s="94">
        <f ca="1">OFFSET(TblPop[[#This Row],[Peasants]],-1,0)+OFFSET(TblPop[[#This Row],[Net Peasant]],-1,0)+TblMili[[#This Row],[Release Draft]]</f>
        <v>169</v>
      </c>
      <c r="D135" s="94">
        <f ca="1">TblMili[[#This Row],[Military]]</f>
        <v>600</v>
      </c>
      <c r="E135" s="94">
        <f ca="1">TblMili[[#This Row],[Draftees]]</f>
        <v>600</v>
      </c>
      <c r="F135" s="94">
        <f ca="1">TblPop[[#This Row],[Peasants]]+TblPop[[#This Row],[Military]]</f>
        <v>769</v>
      </c>
      <c r="G135" s="139">
        <f ca="1">TblPop[[#This Row],[Military]]/TblPop[[#This Row],[Total]]</f>
        <v>0.78023407022106628</v>
      </c>
      <c r="H135" s="140">
        <f ca="1">MIN(TblPop[[#This Row],[Peasants]],TblPop[[#This Row],[Jobs]])</f>
        <v>169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600</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-2</v>
      </c>
      <c r="X135" s="94">
        <f ca="1">ROUND(TblPop[[#This Row],[Raw Birth]]*(1+TblPop[[#This Row],[Growth]]),0)</f>
        <v>5</v>
      </c>
      <c r="Y135" s="94">
        <f ca="1">(TblPop[[#This Row],[Peasants]]-TblPop[[#This Row],[Draft Growth]])*raw_pop_growth</f>
        <v>5.01</v>
      </c>
      <c r="Z135" s="94">
        <f ca="1">ROUND(IF(TblPop[[#This Row],[Military%]]&lt;TblMili[[#This Row],[Draftrate]],ROUND(TblPop[[#This Row],[Peasants]]*Constants!$B$55,0), 0) * IF(AND(TblMagic[[#This Row],[Active DnD]]&lt;=12,TblMagic[[#This Row],[Active DnD]]&gt;6),1.6,1),0)</f>
        <v>2</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c r="A136" s="137">
        <f>TblRezone[[#This Row],[Hour]]</f>
        <v>133</v>
      </c>
      <c r="B136" s="138">
        <f ca="1">TblImps[[#This Row],[Time]]</f>
        <v>45820.49999999968</v>
      </c>
      <c r="C136" s="94">
        <f ca="1">OFFSET(TblPop[[#This Row],[Peasants]],-1,0)+OFFSET(TblPop[[#This Row],[Net Peasant]],-1,0)+TblMili[[#This Row],[Release Draft]]</f>
        <v>167</v>
      </c>
      <c r="D136" s="94">
        <f ca="1">TblMili[[#This Row],[Military]]</f>
        <v>602</v>
      </c>
      <c r="E136" s="94">
        <f ca="1">TblMili[[#This Row],[Draftees]]</f>
        <v>602</v>
      </c>
      <c r="F136" s="94">
        <f ca="1">TblPop[[#This Row],[Peasants]]+TblPop[[#This Row],[Military]]</f>
        <v>769</v>
      </c>
      <c r="G136" s="139">
        <f ca="1">TblPop[[#This Row],[Military]]/TblPop[[#This Row],[Total]]</f>
        <v>0.78283485045513657</v>
      </c>
      <c r="H136" s="140">
        <f ca="1">MIN(TblPop[[#This Row],[Peasants]],TblPop[[#This Row],[Jobs]])</f>
        <v>167</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602</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4.95</v>
      </c>
      <c r="Z136" s="94">
        <f ca="1">ROUND(IF(TblPop[[#This Row],[Military%]]&lt;TblMili[[#This Row],[Draftrate]],ROUND(TblPop[[#This Row],[Peasants]]*Constants!$B$55,0), 0) * IF(AND(TblMagic[[#This Row],[Active DnD]]&lt;=12,TblMagic[[#This Row],[Active DnD]]&gt;6),1.6,1),0)</f>
        <v>2</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c r="C1269" s="530" t="s">
        <v>314</v>
      </c>
      <c r="D1269" s="486"/>
      <c r="W1269" s="94"/>
      <c r="X1269" s="94"/>
      <c r="Y1269" s="94"/>
      <c r="Z1269" s="94"/>
    </row>
    <row r="1270" spans="3:26">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c r="A2" s="28"/>
    </row>
    <row r="3" spans="1:65" s="151" customFormat="1" ht="25.5">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c r="A5" s="137">
        <v>2</v>
      </c>
      <c r="B5" s="152">
        <f ca="1">TblImps[[#This Row],[Time]]</f>
        <v>45815.041666666664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Demonic Pact]]&gt;0,demonic_pact_food_cons,0))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c r="A6" s="137">
        <v>3</v>
      </c>
      <c r="B6" s="152">
        <f ca="1">TblImps[[#This Row],[Time]]</f>
        <v>45815.083333333328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Demonic Pact]]&gt;0,demonic_pact_food_cons,0))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c r="A7" s="137">
        <v>4</v>
      </c>
      <c r="B7" s="152">
        <f ca="1">TblImps[[#This Row],[Time]]</f>
        <v>45815.124999999993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Demonic Pact]]&gt;0,demonic_pact_food_cons,0))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c r="A8" s="137">
        <v>5</v>
      </c>
      <c r="B8" s="152">
        <f ca="1">TblImps[[#This Row],[Time]]</f>
        <v>45815.166666666657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Demonic Pact]]&gt;0,demonic_pact_food_cons,0))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c r="A9" s="137">
        <v>6</v>
      </c>
      <c r="B9" s="152">
        <f ca="1">TblImps[[#This Row],[Time]]</f>
        <v>45815.208333333321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Demonic Pact]]&gt;0,demonic_pact_food_cons,0))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c r="A10" s="137">
        <v>7</v>
      </c>
      <c r="B10" s="152">
        <f ca="1">TblImps[[#This Row],[Time]]</f>
        <v>45815.249999999985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Demonic Pact]]&gt;0,demonic_pact_food_cons,0))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c r="A11" s="137">
        <v>8</v>
      </c>
      <c r="B11" s="152">
        <f ca="1">TblImps[[#This Row],[Time]]</f>
        <v>45815.29166666665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Demonic Pact]]&gt;0,demonic_pact_food_cons,0))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c r="A12" s="137">
        <v>9</v>
      </c>
      <c r="B12" s="152">
        <f ca="1">TblImps[[#This Row],[Time]]</f>
        <v>45815.333333333314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Demonic Pact]]&gt;0,demonic_pact_food_cons,0))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c r="A13" s="137">
        <v>10</v>
      </c>
      <c r="B13" s="152">
        <f ca="1">TblImps[[#This Row],[Time]]</f>
        <v>45815.374999999978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Demonic Pact]]&gt;0,demonic_pact_food_cons,0))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c r="A14" s="137">
        <v>11</v>
      </c>
      <c r="B14" s="152">
        <f ca="1">TblImps[[#This Row],[Time]]</f>
        <v>45815.416666666642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c r="A15" s="137">
        <v>12</v>
      </c>
      <c r="B15" s="152">
        <f ca="1">TblImps[[#This Row],[Time]]</f>
        <v>45815.458333333307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c r="A16" s="137">
        <v>13</v>
      </c>
      <c r="B16" s="152">
        <f ca="1">TblImps[[#This Row],[Time]]</f>
        <v>45815.499999999971</v>
      </c>
      <c r="C16" s="153"/>
      <c r="D16" s="154"/>
      <c r="E16" s="94">
        <f ca="1">TblConstr[[#This Row],[Land]]</f>
        <v>50</v>
      </c>
      <c r="F16" s="94">
        <f ca="1">TblPop[[#This Row],[Peasants]]</f>
        <v>556</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1501</v>
      </c>
      <c r="T16" s="94">
        <f ca="1">ROUND(TblProd[[#This Row],[Raw Food/hr]]*(1+TblProd[[#This Row],[Bonus Food/hr]])-TblProd[[#This Row],[Food decay]]-TblProd[[#This Row],[Food eaten]],0)</f>
        <v>1982</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1501.2</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c r="A17" s="137">
        <v>14</v>
      </c>
      <c r="B17" s="152">
        <f ca="1">TblImps[[#This Row],[Time]]</f>
        <v>45815.541666666635</v>
      </c>
      <c r="C17" s="61"/>
      <c r="D17" s="154"/>
      <c r="E17" s="94">
        <f ca="1">TblConstr[[#This Row],[Land]]</f>
        <v>50</v>
      </c>
      <c r="F17" s="94">
        <f ca="1">TblPop[[#This Row],[Peasants]]</f>
        <v>550</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68376</v>
      </c>
      <c r="I17" s="94">
        <f ca="1">OFFSET(TblProd[[#This Row],[Food]],-1,0)+OFFSET(TblProd[[#This Row],[Food/hr]],-1,0)+ROUNDUP((TblConstr[[#This Row],[Farms]]*80+TblConstr[[#This Row],[Docks]]*35)*(1+OFFSET(TblProd[[#This Row],[Bonus Food/hr]],-1,0)),0)</f>
        <v>42602</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1485</v>
      </c>
      <c r="T17" s="94">
        <f ca="1">ROUND(TblProd[[#This Row],[Raw Food/hr]]*(1+TblProd[[#This Row],[Bonus Food/hr]])-TblProd[[#This Row],[Food decay]]-TblProd[[#This Row],[Food eaten]],0)</f>
        <v>1962</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1485</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426.02</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68376</v>
      </c>
      <c r="BJ17" s="94">
        <f ca="1">TblProd[[#This Row],[Food]]</f>
        <v>42602</v>
      </c>
      <c r="BK17" s="94">
        <f ca="1">TblProd[[#This Row],[Lumber]]</f>
        <v>25410</v>
      </c>
      <c r="BL17" s="94">
        <f ca="1">TblProd[[#This Row],[Mana]]</f>
        <v>0</v>
      </c>
      <c r="BM17" s="94">
        <f ca="1">TblProd[[#This Row],[Ore]]</f>
        <v>0</v>
      </c>
    </row>
    <row r="18" spans="1:65">
      <c r="A18" s="137">
        <v>15</v>
      </c>
      <c r="B18" s="152">
        <f ca="1">TblImps[[#This Row],[Time]]</f>
        <v>45815.583333333299</v>
      </c>
      <c r="C18" s="61"/>
      <c r="D18" s="154"/>
      <c r="E18" s="94">
        <f ca="1">TblConstr[[#This Row],[Land]]</f>
        <v>50</v>
      </c>
      <c r="F18" s="94">
        <f ca="1">TblPop[[#This Row],[Peasants]]</f>
        <v>544</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69861</v>
      </c>
      <c r="I18" s="94">
        <f ca="1">OFFSET(TblProd[[#This Row],[Food]],-1,0)+OFFSET(TblProd[[#This Row],[Food/hr]],-1,0)+ROUNDUP((TblConstr[[#This Row],[Farms]]*80+TblConstr[[#This Row],[Docks]]*35)*(1+OFFSET(TblProd[[#This Row],[Bonus Food/hr]],-1,0)),0)</f>
        <v>44564</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1468</v>
      </c>
      <c r="T18" s="94">
        <f ca="1">ROUND(TblProd[[#This Row],[Raw Food/hr]]*(1+TblProd[[#This Row],[Bonus Food/hr]])-TblProd[[#This Row],[Food decay]]-TblProd[[#This Row],[Food eaten]],0)</f>
        <v>1942</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1468.8000000000002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445.64</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69861</v>
      </c>
      <c r="BJ18" s="94">
        <f ca="1">TblProd[[#This Row],[Food]]</f>
        <v>44564</v>
      </c>
      <c r="BK18" s="94">
        <f ca="1">TblProd[[#This Row],[Lumber]]</f>
        <v>26156</v>
      </c>
      <c r="BL18" s="94">
        <f ca="1">TblProd[[#This Row],[Mana]]</f>
        <v>0</v>
      </c>
      <c r="BM18" s="94">
        <f ca="1">TblProd[[#This Row],[Ore]]</f>
        <v>0</v>
      </c>
    </row>
    <row r="19" spans="1:65">
      <c r="A19" s="137">
        <v>16</v>
      </c>
      <c r="B19" s="152">
        <f ca="1">TblImps[[#This Row],[Time]]</f>
        <v>45815.624999999964</v>
      </c>
      <c r="C19" s="61"/>
      <c r="D19" s="154"/>
      <c r="E19" s="94">
        <f ca="1">TblConstr[[#This Row],[Land]]</f>
        <v>50</v>
      </c>
      <c r="F19" s="94">
        <f ca="1">TblPop[[#This Row],[Peasants]]</f>
        <v>539</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71329</v>
      </c>
      <c r="I19" s="94">
        <f ca="1">OFFSET(TblProd[[#This Row],[Food]],-1,0)+OFFSET(TblProd[[#This Row],[Food/hr]],-1,0)+ROUNDUP((TblConstr[[#This Row],[Farms]]*80+TblConstr[[#This Row],[Docks]]*35)*(1+OFFSET(TblProd[[#This Row],[Bonus Food/hr]],-1,0)),0)</f>
        <v>46506</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1455</v>
      </c>
      <c r="T19" s="94">
        <f ca="1">ROUND(TblProd[[#This Row],[Raw Food/hr]]*(1+TblProd[[#This Row],[Bonus Food/hr]])-TblProd[[#This Row],[Food decay]]-TblProd[[#This Row],[Food eaten]],0)</f>
        <v>1923</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1455.3000000000002</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465.06</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71329</v>
      </c>
      <c r="BJ19" s="94">
        <f ca="1">TblProd[[#This Row],[Food]]</f>
        <v>46506</v>
      </c>
      <c r="BK19" s="94">
        <f ca="1">TblProd[[#This Row],[Lumber]]</f>
        <v>26894</v>
      </c>
      <c r="BL19" s="94">
        <f ca="1">TblProd[[#This Row],[Mana]]</f>
        <v>0</v>
      </c>
      <c r="BM19" s="94">
        <f ca="1">TblProd[[#This Row],[Ore]]</f>
        <v>0</v>
      </c>
    </row>
    <row r="20" spans="1:65">
      <c r="A20" s="137">
        <v>17</v>
      </c>
      <c r="B20" s="152">
        <f ca="1">TblImps[[#This Row],[Time]]</f>
        <v>45815.666666666628</v>
      </c>
      <c r="C20" s="61"/>
      <c r="D20" s="154"/>
      <c r="E20" s="94">
        <f ca="1">TblConstr[[#This Row],[Land]]</f>
        <v>50</v>
      </c>
      <c r="F20" s="94">
        <f ca="1">TblPop[[#This Row],[Peasants]]</f>
        <v>534</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72784</v>
      </c>
      <c r="I20" s="94">
        <f ca="1">OFFSET(TblProd[[#This Row],[Food]],-1,0)+OFFSET(TblProd[[#This Row],[Food/hr]],-1,0)+ROUNDUP((TblConstr[[#This Row],[Farms]]*80+TblConstr[[#This Row],[Docks]]*35)*(1+OFFSET(TblProd[[#This Row],[Bonus Food/hr]],-1,0)),0)</f>
        <v>48429</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1441</v>
      </c>
      <c r="T20" s="94">
        <f ca="1">ROUND(TblProd[[#This Row],[Raw Food/hr]]*(1+TblProd[[#This Row],[Bonus Food/hr]])-TblProd[[#This Row],[Food decay]]-TblProd[[#This Row],[Food eaten]],0)</f>
        <v>1903</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1441.8000000000002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484.29</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72784</v>
      </c>
      <c r="BJ20" s="94">
        <f ca="1">TblProd[[#This Row],[Food]]</f>
        <v>48429</v>
      </c>
      <c r="BK20" s="94">
        <f ca="1">TblProd[[#This Row],[Lumber]]</f>
        <v>27625</v>
      </c>
      <c r="BL20" s="94">
        <f ca="1">TblProd[[#This Row],[Mana]]</f>
        <v>0</v>
      </c>
      <c r="BM20" s="94">
        <f ca="1">TblProd[[#This Row],[Ore]]</f>
        <v>0</v>
      </c>
    </row>
    <row r="21" spans="1:65">
      <c r="A21" s="137">
        <v>18</v>
      </c>
      <c r="B21" s="152">
        <f ca="1">TblImps[[#This Row],[Time]]</f>
        <v>45815.708333333292</v>
      </c>
      <c r="C21" s="61"/>
      <c r="D21" s="154"/>
      <c r="E21" s="94">
        <f ca="1">TblConstr[[#This Row],[Land]]</f>
        <v>50</v>
      </c>
      <c r="F21" s="94">
        <f ca="1">TblPop[[#This Row],[Peasants]]</f>
        <v>529</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74225</v>
      </c>
      <c r="I21" s="94">
        <f ca="1">OFFSET(TblProd[[#This Row],[Food]],-1,0)+OFFSET(TblProd[[#This Row],[Food/hr]],-1,0)+ROUNDUP((TblConstr[[#This Row],[Farms]]*80+TblConstr[[#This Row],[Docks]]*35)*(1+OFFSET(TblProd[[#This Row],[Bonus Food/hr]],-1,0)),0)</f>
        <v>50332</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1428</v>
      </c>
      <c r="T21" s="94">
        <f ca="1">ROUND(TblProd[[#This Row],[Raw Food/hr]]*(1+TblProd[[#This Row],[Bonus Food/hr]])-TblProd[[#This Row],[Food decay]]-TblProd[[#This Row],[Food eaten]],0)</f>
        <v>1884</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1428.3000000000002</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503.32</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74225</v>
      </c>
      <c r="BJ21" s="94">
        <f ca="1">TblProd[[#This Row],[Food]]</f>
        <v>50332</v>
      </c>
      <c r="BK21" s="94">
        <f ca="1">TblProd[[#This Row],[Lumber]]</f>
        <v>28349</v>
      </c>
      <c r="BL21" s="94">
        <f ca="1">TblProd[[#This Row],[Mana]]</f>
        <v>0</v>
      </c>
      <c r="BM21" s="94">
        <f ca="1">TblProd[[#This Row],[Ore]]</f>
        <v>0</v>
      </c>
    </row>
    <row r="22" spans="1:65">
      <c r="A22" s="137">
        <v>19</v>
      </c>
      <c r="B22" s="152">
        <f ca="1">TblImps[[#This Row],[Time]]</f>
        <v>45815.749999999956</v>
      </c>
      <c r="C22" s="61"/>
      <c r="D22" s="154"/>
      <c r="E22" s="94">
        <f ca="1">TblConstr[[#This Row],[Land]]</f>
        <v>50</v>
      </c>
      <c r="F22" s="94">
        <f ca="1">TblPop[[#This Row],[Peasants]]</f>
        <v>524</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75653</v>
      </c>
      <c r="I22" s="94">
        <f ca="1">OFFSET(TblProd[[#This Row],[Food]],-1,0)+OFFSET(TblProd[[#This Row],[Food/hr]],-1,0)+ROUNDUP((TblConstr[[#This Row],[Farms]]*80+TblConstr[[#This Row],[Docks]]*35)*(1+OFFSET(TblProd[[#This Row],[Bonus Food/hr]],-1,0)),0)</f>
        <v>52216</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1414</v>
      </c>
      <c r="T22" s="94">
        <f ca="1">ROUND(TblProd[[#This Row],[Raw Food/hr]]*(1+TblProd[[#This Row],[Bonus Food/hr]])-TblProd[[#This Row],[Food decay]]-TblProd[[#This Row],[Food eaten]],0)</f>
        <v>1866</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1414.8000000000002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522.16</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75653</v>
      </c>
      <c r="BJ22" s="94">
        <f ca="1">TblProd[[#This Row],[Food]]</f>
        <v>52216</v>
      </c>
      <c r="BK22" s="94">
        <f ca="1">TblProd[[#This Row],[Lumber]]</f>
        <v>29066</v>
      </c>
      <c r="BL22" s="94">
        <f ca="1">TblProd[[#This Row],[Mana]]</f>
        <v>0</v>
      </c>
      <c r="BM22" s="94">
        <f ca="1">TblProd[[#This Row],[Ore]]</f>
        <v>0</v>
      </c>
    </row>
    <row r="23" spans="1:65">
      <c r="A23" s="137">
        <v>20</v>
      </c>
      <c r="B23" s="152">
        <f ca="1">TblImps[[#This Row],[Time]]</f>
        <v>45815.791666666621</v>
      </c>
      <c r="C23" s="61"/>
      <c r="D23" s="154"/>
      <c r="E23" s="94">
        <f ca="1">TblConstr[[#This Row],[Land]]</f>
        <v>50</v>
      </c>
      <c r="F23" s="94">
        <f ca="1">TblPop[[#This Row],[Peasants]]</f>
        <v>519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77067</v>
      </c>
      <c r="I23" s="94">
        <f ca="1">OFFSET(TblProd[[#This Row],[Food]],-1,0)+OFFSET(TblProd[[#This Row],[Food/hr]],-1,0)+ROUNDUP((TblConstr[[#This Row],[Farms]]*80+TblConstr[[#This Row],[Docks]]*35)*(1+OFFSET(TblProd[[#This Row],[Bonus Food/hr]],-1,0)),0)</f>
        <v>54082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1401</v>
      </c>
      <c r="T23" s="94">
        <f ca="1">ROUND(TblProd[[#This Row],[Raw Food/hr]]*(1+TblProd[[#This Row],[Bonus Food/hr]])-TblProd[[#This Row],[Food decay]]-TblProd[[#This Row],[Food eaten]],0)</f>
        <v>1847</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1401.3000000000002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540.82000000000005</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77067</v>
      </c>
      <c r="BJ23" s="94">
        <f ca="1">TblProd[[#This Row],[Food]]</f>
        <v>54082</v>
      </c>
      <c r="BK23" s="94">
        <f ca="1">TblProd[[#This Row],[Lumber]]</f>
        <v>29775</v>
      </c>
      <c r="BL23" s="94">
        <f ca="1">TblProd[[#This Row],[Mana]]</f>
        <v>0</v>
      </c>
      <c r="BM23" s="94">
        <f ca="1">TblProd[[#This Row],[Ore]]</f>
        <v>0</v>
      </c>
    </row>
    <row r="24" spans="1:65">
      <c r="A24" s="137">
        <v>21</v>
      </c>
      <c r="B24" s="152">
        <f ca="1">TblImps[[#This Row],[Time]]</f>
        <v>45815.833333333285</v>
      </c>
      <c r="C24" s="61"/>
      <c r="D24" s="154"/>
      <c r="E24" s="94">
        <f ca="1">TblConstr[[#This Row],[Land]]</f>
        <v>50</v>
      </c>
      <c r="F24" s="94">
        <f ca="1">TblPop[[#This Row],[Peasants]]</f>
        <v>514</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78468</v>
      </c>
      <c r="I24" s="94">
        <f ca="1">OFFSET(TblProd[[#This Row],[Food]],-1,0)+OFFSET(TblProd[[#This Row],[Food/hr]],-1,0)+ROUNDUP((TblConstr[[#This Row],[Farms]]*80+TblConstr[[#This Row],[Docks]]*35)*(1+OFFSET(TblProd[[#This Row],[Bonus Food/hr]],-1,0)),0)</f>
        <v>55929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1387</v>
      </c>
      <c r="T24" s="94">
        <f ca="1">ROUND(TblProd[[#This Row],[Raw Food/hr]]*(1+TblProd[[#This Row],[Bonus Food/hr]])-TblProd[[#This Row],[Food decay]]-TblProd[[#This Row],[Food eaten]],0)</f>
        <v>1828</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1387.8000000000002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559.29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78468</v>
      </c>
      <c r="BJ24" s="94">
        <f ca="1">TblProd[[#This Row],[Food]]</f>
        <v>55929</v>
      </c>
      <c r="BK24" s="94">
        <f ca="1">TblProd[[#This Row],[Lumber]]</f>
        <v>30477</v>
      </c>
      <c r="BL24" s="94">
        <f ca="1">TblProd[[#This Row],[Mana]]</f>
        <v>0</v>
      </c>
      <c r="BM24" s="94">
        <f ca="1">TblProd[[#This Row],[Ore]]</f>
        <v>0</v>
      </c>
    </row>
    <row r="25" spans="1:65">
      <c r="A25" s="137">
        <v>22</v>
      </c>
      <c r="B25" s="152">
        <f ca="1">TblImps[[#This Row],[Time]]</f>
        <v>45815.874999999949</v>
      </c>
      <c r="C25" s="61"/>
      <c r="D25" s="154"/>
      <c r="E25" s="94">
        <f ca="1">TblConstr[[#This Row],[Land]]</f>
        <v>50</v>
      </c>
      <c r="F25" s="94">
        <f ca="1">TblPop[[#This Row],[Peasants]]</f>
        <v>509</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79855</v>
      </c>
      <c r="I25" s="94">
        <f ca="1">OFFSET(TblProd[[#This Row],[Food]],-1,0)+OFFSET(TblProd[[#This Row],[Food/hr]],-1,0)+ROUNDUP((TblConstr[[#This Row],[Farms]]*80+TblConstr[[#This Row],[Docks]]*35)*(1+OFFSET(TblProd[[#This Row],[Bonus Food/hr]],-1,0)),0)</f>
        <v>57757</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1374</v>
      </c>
      <c r="T25" s="94">
        <f ca="1">ROUND(TblProd[[#This Row],[Raw Food/hr]]*(1+TblProd[[#This Row],[Bonus Food/hr]])-TblProd[[#This Row],[Food decay]]-TblProd[[#This Row],[Food eaten]],0)</f>
        <v>1810</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1374.3000000000002</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577.57000000000005</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79855</v>
      </c>
      <c r="BJ25" s="94">
        <f ca="1">TblProd[[#This Row],[Food]]</f>
        <v>57757</v>
      </c>
      <c r="BK25" s="94">
        <f ca="1">TblProd[[#This Row],[Lumber]]</f>
        <v>31172</v>
      </c>
      <c r="BL25" s="94">
        <f ca="1">TblProd[[#This Row],[Mana]]</f>
        <v>0</v>
      </c>
      <c r="BM25" s="94">
        <f ca="1">TblProd[[#This Row],[Ore]]</f>
        <v>0</v>
      </c>
    </row>
    <row r="26" spans="1:65">
      <c r="A26" s="137">
        <v>23</v>
      </c>
      <c r="B26" s="152">
        <f ca="1">TblImps[[#This Row],[Time]]</f>
        <v>45815.916666666613</v>
      </c>
      <c r="C26" s="61"/>
      <c r="D26" s="154"/>
      <c r="E26" s="94">
        <f ca="1">TblConstr[[#This Row],[Land]]</f>
        <v>50</v>
      </c>
      <c r="F26" s="94">
        <f ca="1">TblPop[[#This Row],[Peasants]]</f>
        <v>504</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81229</v>
      </c>
      <c r="I26" s="94">
        <f ca="1">OFFSET(TblProd[[#This Row],[Food]],-1,0)+OFFSET(TblProd[[#This Row],[Food/hr]],-1,0)+ROUNDUP((TblConstr[[#This Row],[Farms]]*80+TblConstr[[#This Row],[Docks]]*35)*(1+OFFSET(TblProd[[#This Row],[Bonus Food/hr]],-1,0)),0)</f>
        <v>59567</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1360</v>
      </c>
      <c r="T26" s="94">
        <f ca="1">ROUND(TblProd[[#This Row],[Raw Food/hr]]*(1+TblProd[[#This Row],[Bonus Food/hr]])-TblProd[[#This Row],[Food decay]]-TblProd[[#This Row],[Food eaten]],0)</f>
        <v>1792</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1360.8000000000002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595.66999999999996</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81229</v>
      </c>
      <c r="BJ26" s="94">
        <f ca="1">TblProd[[#This Row],[Food]]</f>
        <v>59567</v>
      </c>
      <c r="BK26" s="94">
        <f ca="1">TblProd[[#This Row],[Lumber]]</f>
        <v>31860</v>
      </c>
      <c r="BL26" s="94">
        <f ca="1">TblProd[[#This Row],[Mana]]</f>
        <v>0</v>
      </c>
      <c r="BM26" s="94">
        <f ca="1">TblProd[[#This Row],[Ore]]</f>
        <v>0</v>
      </c>
    </row>
    <row r="27" spans="1:65">
      <c r="A27" s="137">
        <v>24</v>
      </c>
      <c r="B27" s="152">
        <f ca="1">TblImps[[#This Row],[Time]]</f>
        <v>45815.958333333278</v>
      </c>
      <c r="C27" s="61"/>
      <c r="D27" s="154"/>
      <c r="E27" s="94">
        <f ca="1">TblConstr[[#This Row],[Land]]</f>
        <v>50</v>
      </c>
      <c r="F27" s="94">
        <f ca="1">TblPop[[#This Row],[Peasants]]</f>
        <v>499</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82589</v>
      </c>
      <c r="I27" s="94">
        <f ca="1">OFFSET(TblProd[[#This Row],[Food]],-1,0)+OFFSET(TblProd[[#This Row],[Food/hr]],-1,0)+ROUNDUP((TblConstr[[#This Row],[Farms]]*80+TblConstr[[#This Row],[Docks]]*35)*(1+OFFSET(TblProd[[#This Row],[Bonus Food/hr]],-1,0)),0)</f>
        <v>61359</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1347</v>
      </c>
      <c r="T27" s="94">
        <f ca="1">ROUND(TblProd[[#This Row],[Raw Food/hr]]*(1+TblProd[[#This Row],[Bonus Food/hr]])-TblProd[[#This Row],[Food decay]]-TblProd[[#This Row],[Food eaten]],0)</f>
        <v>1774</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1347.3000000000002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613.59</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82589</v>
      </c>
      <c r="BJ27" s="94">
        <f ca="1">TblProd[[#This Row],[Food]]</f>
        <v>61359</v>
      </c>
      <c r="BK27" s="94">
        <f ca="1">TblProd[[#This Row],[Lumber]]</f>
        <v>32541</v>
      </c>
      <c r="BL27" s="94">
        <f ca="1">TblProd[[#This Row],[Mana]]</f>
        <v>0</v>
      </c>
      <c r="BM27" s="94">
        <f ca="1">TblProd[[#This Row],[Ore]]</f>
        <v>0</v>
      </c>
    </row>
    <row r="28" spans="1:65">
      <c r="A28" s="137">
        <v>25</v>
      </c>
      <c r="B28" s="152">
        <f ca="1">TblImps[[#This Row],[Time]]</f>
        <v>45815.999999999942</v>
      </c>
      <c r="C28" s="153"/>
      <c r="D28" s="154"/>
      <c r="E28" s="94">
        <f ca="1">TblConstr[[#This Row],[Land]]</f>
        <v>50</v>
      </c>
      <c r="F28" s="94">
        <f ca="1">TblPop[[#This Row],[Peasants]]</f>
        <v>494</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83936</v>
      </c>
      <c r="I28" s="94">
        <f ca="1">OFFSET(TblProd[[#This Row],[Food]],-1,0)+OFFSET(TblProd[[#This Row],[Food/hr]],-1,0)+ROUNDUP((TblConstr[[#This Row],[Farms]]*80+TblConstr[[#This Row],[Docks]]*35)*(1+OFFSET(TblProd[[#This Row],[Bonus Food/hr]],-1,0)),0)</f>
        <v>63133</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1333</v>
      </c>
      <c r="T28" s="94">
        <f ca="1">ROUND(TblProd[[#This Row],[Raw Food/hr]]*(1+TblProd[[#This Row],[Bonus Food/hr]])-TblProd[[#This Row],[Food decay]]-TblProd[[#This Row],[Food eaten]],0)</f>
        <v>1756</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1333.8000000000002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631.33000000000004</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83936</v>
      </c>
      <c r="BJ28" s="94">
        <f ca="1">TblProd[[#This Row],[Food]]</f>
        <v>63133</v>
      </c>
      <c r="BK28" s="94">
        <f ca="1">TblProd[[#This Row],[Lumber]]</f>
        <v>33216</v>
      </c>
      <c r="BL28" s="94">
        <f ca="1">TblProd[[#This Row],[Mana]]</f>
        <v>0</v>
      </c>
      <c r="BM28" s="94">
        <f ca="1">TblProd[[#This Row],[Ore]]</f>
        <v>0</v>
      </c>
    </row>
    <row r="29" spans="1:65">
      <c r="A29" s="137">
        <v>26</v>
      </c>
      <c r="B29" s="152">
        <f ca="1">TblImps[[#This Row],[Time]]</f>
        <v>45816.041666666606</v>
      </c>
      <c r="C29" s="153"/>
      <c r="D29" s="154"/>
      <c r="E29" s="94">
        <f ca="1">TblConstr[[#This Row],[Land]]</f>
        <v>50</v>
      </c>
      <c r="F29" s="94">
        <f ca="1">TblPop[[#This Row],[Peasants]]</f>
        <v>489</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85269</v>
      </c>
      <c r="I29" s="94">
        <f ca="1">OFFSET(TblProd[[#This Row],[Food]],-1,0)+OFFSET(TblProd[[#This Row],[Food/hr]],-1,0)+ROUNDUP((TblConstr[[#This Row],[Farms]]*80+TblConstr[[#This Row],[Docks]]*35)*(1+OFFSET(TblProd[[#This Row],[Bonus Food/hr]],-1,0)),0)</f>
        <v>64889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1320</v>
      </c>
      <c r="T29" s="94">
        <f ca="1">ROUND(TblProd[[#This Row],[Raw Food/hr]]*(1+TblProd[[#This Row],[Bonus Food/hr]])-TblProd[[#This Row],[Food decay]]-TblProd[[#This Row],[Food eaten]],0)</f>
        <v>1739</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1320.3000000000002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648.89</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85269</v>
      </c>
      <c r="BJ29" s="94">
        <f ca="1">TblProd[[#This Row],[Food]]</f>
        <v>64889</v>
      </c>
      <c r="BK29" s="94">
        <f ca="1">TblProd[[#This Row],[Lumber]]</f>
        <v>33884</v>
      </c>
      <c r="BL29" s="94">
        <f ca="1">TblProd[[#This Row],[Mana]]</f>
        <v>0</v>
      </c>
      <c r="BM29" s="94">
        <f ca="1">TblProd[[#This Row],[Ore]]</f>
        <v>0</v>
      </c>
    </row>
    <row r="30" spans="1:65">
      <c r="A30" s="137">
        <v>27</v>
      </c>
      <c r="B30" s="152">
        <f ca="1">TblImps[[#This Row],[Time]]</f>
        <v>45816.08333333327</v>
      </c>
      <c r="C30" s="153"/>
      <c r="D30" s="154"/>
      <c r="E30" s="94">
        <f ca="1">TblConstr[[#This Row],[Land]]</f>
        <v>50</v>
      </c>
      <c r="F30" s="94">
        <f ca="1">TblPop[[#This Row],[Peasants]]</f>
        <v>484</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86589</v>
      </c>
      <c r="I30" s="94">
        <f ca="1">OFFSET(TblProd[[#This Row],[Food]],-1,0)+OFFSET(TblProd[[#This Row],[Food/hr]],-1,0)+ROUNDUP((TblConstr[[#This Row],[Farms]]*80+TblConstr[[#This Row],[Docks]]*35)*(1+OFFSET(TblProd[[#This Row],[Bonus Food/hr]],-1,0)),0)</f>
        <v>66628</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1306</v>
      </c>
      <c r="T30" s="94">
        <f ca="1">ROUND(TblProd[[#This Row],[Raw Food/hr]]*(1+TblProd[[#This Row],[Bonus Food/hr]])-TblProd[[#This Row],[Food decay]]-TblProd[[#This Row],[Food eaten]],0)</f>
        <v>1721</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1306.8000000000002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666.28</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86589</v>
      </c>
      <c r="BJ30" s="94">
        <f ca="1">TblProd[[#This Row],[Food]]</f>
        <v>66628</v>
      </c>
      <c r="BK30" s="94">
        <f ca="1">TblProd[[#This Row],[Lumber]]</f>
        <v>34545</v>
      </c>
      <c r="BL30" s="94">
        <f ca="1">TblProd[[#This Row],[Mana]]</f>
        <v>0</v>
      </c>
      <c r="BM30" s="94">
        <f ca="1">TblProd[[#This Row],[Ore]]</f>
        <v>0</v>
      </c>
    </row>
    <row r="31" spans="1:65">
      <c r="A31" s="137">
        <v>28</v>
      </c>
      <c r="B31" s="152">
        <f ca="1">TblImps[[#This Row],[Time]]</f>
        <v>45816.124999999935</v>
      </c>
      <c r="C31" s="153"/>
      <c r="D31" s="154"/>
      <c r="E31" s="94">
        <f ca="1">TblConstr[[#This Row],[Land]]</f>
        <v>50</v>
      </c>
      <c r="F31" s="94">
        <f ca="1">TblPop[[#This Row],[Peasants]]</f>
        <v>479</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87895</v>
      </c>
      <c r="I31" s="94">
        <f ca="1">OFFSET(TblProd[[#This Row],[Food]],-1,0)+OFFSET(TblProd[[#This Row],[Food/hr]],-1,0)+ROUNDUP((TblConstr[[#This Row],[Farms]]*80+TblConstr[[#This Row],[Docks]]*35)*(1+OFFSET(TblProd[[#This Row],[Bonus Food/hr]],-1,0)),0)</f>
        <v>68349</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1293</v>
      </c>
      <c r="T31" s="94">
        <f ca="1">ROUND(TblProd[[#This Row],[Raw Food/hr]]*(1+TblProd[[#This Row],[Bonus Food/hr]])-TblProd[[#This Row],[Food decay]]-TblProd[[#This Row],[Food eaten]],0)</f>
        <v>1704</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1293.3000000000002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683.49</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87895</v>
      </c>
      <c r="BJ31" s="94">
        <f ca="1">TblProd[[#This Row],[Food]]</f>
        <v>68349</v>
      </c>
      <c r="BK31" s="94">
        <f ca="1">TblProd[[#This Row],[Lumber]]</f>
        <v>35200</v>
      </c>
      <c r="BL31" s="94">
        <f ca="1">TblProd[[#This Row],[Mana]]</f>
        <v>0</v>
      </c>
      <c r="BM31" s="94">
        <f ca="1">TblProd[[#This Row],[Ore]]</f>
        <v>0</v>
      </c>
    </row>
    <row r="32" spans="1:65">
      <c r="A32" s="137">
        <v>29</v>
      </c>
      <c r="B32" s="152">
        <f ca="1">TblImps[[#This Row],[Time]]</f>
        <v>45816.166666666599</v>
      </c>
      <c r="C32" s="153"/>
      <c r="D32" s="154"/>
      <c r="E32" s="94">
        <f ca="1">TblConstr[[#This Row],[Land]]</f>
        <v>50</v>
      </c>
      <c r="F32" s="94">
        <f ca="1">TblPop[[#This Row],[Peasants]]</f>
        <v>474</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89188</v>
      </c>
      <c r="I32" s="94">
        <f ca="1">OFFSET(TblProd[[#This Row],[Food]],-1,0)+OFFSET(TblProd[[#This Row],[Food/hr]],-1,0)+ROUNDUP((TblConstr[[#This Row],[Farms]]*80+TblConstr[[#This Row],[Docks]]*35)*(1+OFFSET(TblProd[[#This Row],[Bonus Food/hr]],-1,0)),0)</f>
        <v>70053</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1279</v>
      </c>
      <c r="T32" s="94">
        <f ca="1">ROUND(TblProd[[#This Row],[Raw Food/hr]]*(1+TblProd[[#This Row],[Bonus Food/hr]])-TblProd[[#This Row],[Food decay]]-TblProd[[#This Row],[Food eaten]],0)</f>
        <v>1687</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1279.8000000000002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700.53</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89188</v>
      </c>
      <c r="BJ32" s="94">
        <f ca="1">TblProd[[#This Row],[Food]]</f>
        <v>70053</v>
      </c>
      <c r="BK32" s="94">
        <f ca="1">TblProd[[#This Row],[Lumber]]</f>
        <v>35848</v>
      </c>
      <c r="BL32" s="94">
        <f ca="1">TblProd[[#This Row],[Mana]]</f>
        <v>0</v>
      </c>
      <c r="BM32" s="94">
        <f ca="1">TblProd[[#This Row],[Ore]]</f>
        <v>0</v>
      </c>
    </row>
    <row r="33" spans="1:65">
      <c r="A33" s="137">
        <v>30</v>
      </c>
      <c r="B33" s="152">
        <f ca="1">TblImps[[#This Row],[Time]]</f>
        <v>45816.208333333263</v>
      </c>
      <c r="C33" s="153"/>
      <c r="D33" s="154"/>
      <c r="E33" s="94">
        <f ca="1">TblConstr[[#This Row],[Land]]</f>
        <v>50</v>
      </c>
      <c r="F33" s="94">
        <f ca="1">TblPop[[#This Row],[Peasants]]</f>
        <v>469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90467</v>
      </c>
      <c r="I33" s="94">
        <f ca="1">OFFSET(TblProd[[#This Row],[Food]],-1,0)+OFFSET(TblProd[[#This Row],[Food/hr]],-1,0)+ROUNDUP((TblConstr[[#This Row],[Farms]]*80+TblConstr[[#This Row],[Docks]]*35)*(1+OFFSET(TblProd[[#This Row],[Bonus Food/hr]],-1,0)),0)</f>
        <v>71740</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1266</v>
      </c>
      <c r="T33" s="94">
        <f ca="1">ROUND(TblProd[[#This Row],[Raw Food/hr]]*(1+TblProd[[#This Row],[Bonus Food/hr]])-TblProd[[#This Row],[Food decay]]-TblProd[[#This Row],[Food eaten]],0)</f>
        <v>1670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1266.3000000000002</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717.4</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90467</v>
      </c>
      <c r="BJ33" s="94">
        <f ca="1">TblProd[[#This Row],[Food]]</f>
        <v>71740</v>
      </c>
      <c r="BK33" s="94">
        <f ca="1">TblProd[[#This Row],[Lumber]]</f>
        <v>36490</v>
      </c>
      <c r="BL33" s="94">
        <f ca="1">TblProd[[#This Row],[Mana]]</f>
        <v>0</v>
      </c>
      <c r="BM33" s="94">
        <f ca="1">TblProd[[#This Row],[Ore]]</f>
        <v>0</v>
      </c>
    </row>
    <row r="34" spans="1:65">
      <c r="A34" s="137">
        <v>31</v>
      </c>
      <c r="B34" s="152">
        <f ca="1">TblImps[[#This Row],[Time]]</f>
        <v>45816.249999999927</v>
      </c>
      <c r="C34" s="153"/>
      <c r="D34" s="154"/>
      <c r="E34" s="94">
        <f ca="1">TblConstr[[#This Row],[Land]]</f>
        <v>50</v>
      </c>
      <c r="F34" s="94">
        <f ca="1">TblPop[[#This Row],[Peasants]]</f>
        <v>464</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91733</v>
      </c>
      <c r="I34" s="94">
        <f ca="1">OFFSET(TblProd[[#This Row],[Food]],-1,0)+OFFSET(TblProd[[#This Row],[Food/hr]],-1,0)+ROUNDUP((TblConstr[[#This Row],[Farms]]*80+TblConstr[[#This Row],[Docks]]*35)*(1+OFFSET(TblProd[[#This Row],[Bonus Food/hr]],-1,0)),0)</f>
        <v>73410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1252</v>
      </c>
      <c r="T34" s="94">
        <f ca="1">ROUND(TblProd[[#This Row],[Raw Food/hr]]*(1+TblProd[[#This Row],[Bonus Food/hr]])-TblProd[[#This Row],[Food decay]]-TblProd[[#This Row],[Food eaten]],0)</f>
        <v>1654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1252.8000000000002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734.1</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91733</v>
      </c>
      <c r="BJ34" s="94">
        <f ca="1">TblProd[[#This Row],[Food]]</f>
        <v>73410</v>
      </c>
      <c r="BK34" s="94">
        <f ca="1">TblProd[[#This Row],[Lumber]]</f>
        <v>37125</v>
      </c>
      <c r="BL34" s="94">
        <f ca="1">TblProd[[#This Row],[Mana]]</f>
        <v>0</v>
      </c>
      <c r="BM34" s="94">
        <f ca="1">TblProd[[#This Row],[Ore]]</f>
        <v>0</v>
      </c>
    </row>
    <row r="35" spans="1:65">
      <c r="A35" s="137">
        <v>32</v>
      </c>
      <c r="B35" s="152">
        <f ca="1">TblImps[[#This Row],[Time]]</f>
        <v>45816.291666666591</v>
      </c>
      <c r="C35" s="153"/>
      <c r="D35" s="154"/>
      <c r="E35" s="94">
        <f ca="1">TblConstr[[#This Row],[Land]]</f>
        <v>50</v>
      </c>
      <c r="F35" s="94">
        <f ca="1">TblPop[[#This Row],[Peasants]]</f>
        <v>459</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92985</v>
      </c>
      <c r="I35" s="94">
        <f ca="1">OFFSET(TblProd[[#This Row],[Food]],-1,0)+OFFSET(TblProd[[#This Row],[Food/hr]],-1,0)+ROUNDUP((TblConstr[[#This Row],[Farms]]*80+TblConstr[[#This Row],[Docks]]*35)*(1+OFFSET(TblProd[[#This Row],[Bonus Food/hr]],-1,0)),0)</f>
        <v>75064</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1239</v>
      </c>
      <c r="T35" s="94">
        <f ca="1">ROUND(TblProd[[#This Row],[Raw Food/hr]]*(1+TblProd[[#This Row],[Bonus Food/hr]])-TblProd[[#This Row],[Food decay]]-TblProd[[#This Row],[Food eaten]],0)</f>
        <v>1637</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1239.3000000000002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750.64</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92985</v>
      </c>
      <c r="BJ35" s="94">
        <f ca="1">TblProd[[#This Row],[Food]]</f>
        <v>75064</v>
      </c>
      <c r="BK35" s="94">
        <f ca="1">TblProd[[#This Row],[Lumber]]</f>
        <v>37754</v>
      </c>
      <c r="BL35" s="94">
        <f ca="1">TblProd[[#This Row],[Mana]]</f>
        <v>0</v>
      </c>
      <c r="BM35" s="94">
        <f ca="1">TblProd[[#This Row],[Ore]]</f>
        <v>0</v>
      </c>
    </row>
    <row r="36" spans="1:65">
      <c r="A36" s="137">
        <v>33</v>
      </c>
      <c r="B36" s="152">
        <f ca="1">TblImps[[#This Row],[Time]]</f>
        <v>45816.333333333256</v>
      </c>
      <c r="C36" s="153"/>
      <c r="D36" s="154"/>
      <c r="E36" s="94">
        <f ca="1">TblConstr[[#This Row],[Land]]</f>
        <v>50</v>
      </c>
      <c r="F36" s="94">
        <f ca="1">TblPop[[#This Row],[Peasants]]</f>
        <v>454</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94224</v>
      </c>
      <c r="I36" s="94">
        <f ca="1">OFFSET(TblProd[[#This Row],[Food]],-1,0)+OFFSET(TblProd[[#This Row],[Food/hr]],-1,0)+ROUNDUP((TblConstr[[#This Row],[Farms]]*80+TblConstr[[#This Row],[Docks]]*35)*(1+OFFSET(TblProd[[#This Row],[Bonus Food/hr]],-1,0)),0)</f>
        <v>76701</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1225</v>
      </c>
      <c r="T36" s="94">
        <f ca="1">ROUND(TblProd[[#This Row],[Raw Food/hr]]*(1+TblProd[[#This Row],[Bonus Food/hr]])-TblProd[[#This Row],[Food decay]]-TblProd[[#This Row],[Food eaten]],0)</f>
        <v>1621</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1225.8000000000002</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767.01</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94224</v>
      </c>
      <c r="BJ36" s="94">
        <f ca="1">TblProd[[#This Row],[Food]]</f>
        <v>76701</v>
      </c>
      <c r="BK36" s="94">
        <f ca="1">TblProd[[#This Row],[Lumber]]</f>
        <v>38376</v>
      </c>
      <c r="BL36" s="94">
        <f ca="1">TblProd[[#This Row],[Mana]]</f>
        <v>0</v>
      </c>
      <c r="BM36" s="94">
        <f ca="1">TblProd[[#This Row],[Ore]]</f>
        <v>0</v>
      </c>
    </row>
    <row r="37" spans="1:65">
      <c r="A37" s="137">
        <v>34</v>
      </c>
      <c r="B37" s="152">
        <f ca="1">TblImps[[#This Row],[Time]]</f>
        <v>45816.37499999992</v>
      </c>
      <c r="C37" s="153"/>
      <c r="D37" s="154"/>
      <c r="E37" s="94">
        <f ca="1">TblConstr[[#This Row],[Land]]</f>
        <v>50</v>
      </c>
      <c r="F37" s="94">
        <f ca="1">TblPop[[#This Row],[Peasants]]</f>
        <v>449</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95449</v>
      </c>
      <c r="I37" s="94">
        <f ca="1">OFFSET(TblProd[[#This Row],[Food]],-1,0)+OFFSET(TblProd[[#This Row],[Food/hr]],-1,0)+ROUNDUP((TblConstr[[#This Row],[Farms]]*80+TblConstr[[#This Row],[Docks]]*35)*(1+OFFSET(TblProd[[#This Row],[Bonus Food/hr]],-1,0)),0)</f>
        <v>78322</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1212</v>
      </c>
      <c r="T37" s="94">
        <f ca="1">ROUND(TblProd[[#This Row],[Raw Food/hr]]*(1+TblProd[[#This Row],[Bonus Food/hr]])-TblProd[[#This Row],[Food decay]]-TblProd[[#This Row],[Food eaten]],0)</f>
        <v>1605</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1212.3000000000002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783.22</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95449</v>
      </c>
      <c r="BJ37" s="94">
        <f ca="1">TblProd[[#This Row],[Food]]</f>
        <v>78322</v>
      </c>
      <c r="BK37" s="94">
        <f ca="1">TblProd[[#This Row],[Lumber]]</f>
        <v>38992</v>
      </c>
      <c r="BL37" s="94">
        <f ca="1">TblProd[[#This Row],[Mana]]</f>
        <v>0</v>
      </c>
      <c r="BM37" s="94">
        <f ca="1">TblProd[[#This Row],[Ore]]</f>
        <v>0</v>
      </c>
    </row>
    <row r="38" spans="1:65">
      <c r="A38" s="137">
        <v>35</v>
      </c>
      <c r="B38" s="152">
        <f ca="1">TblImps[[#This Row],[Time]]</f>
        <v>45816.416666666584</v>
      </c>
      <c r="C38" s="153"/>
      <c r="D38" s="154"/>
      <c r="E38" s="94">
        <f ca="1">TblConstr[[#This Row],[Land]]</f>
        <v>50</v>
      </c>
      <c r="F38" s="94">
        <f ca="1">TblPop[[#This Row],[Peasants]]</f>
        <v>445</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96661</v>
      </c>
      <c r="I38" s="94">
        <f ca="1">OFFSET(TblProd[[#This Row],[Food]],-1,0)+OFFSET(TblProd[[#This Row],[Food/hr]],-1,0)+ROUNDUP((TblConstr[[#This Row],[Farms]]*80+TblConstr[[#This Row],[Docks]]*35)*(1+OFFSET(TblProd[[#This Row],[Bonus Food/hr]],-1,0)),0)</f>
        <v>79927</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1201</v>
      </c>
      <c r="T38" s="94">
        <f ca="1">ROUND(TblProd[[#This Row],[Raw Food/hr]]*(1+TblProd[[#This Row],[Bonus Food/hr]])-TblProd[[#This Row],[Food decay]]-TblProd[[#This Row],[Food eaten]],0)</f>
        <v>1588</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1201.5</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799.27</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96661</v>
      </c>
      <c r="BJ38" s="94">
        <f ca="1">TblProd[[#This Row],[Food]]</f>
        <v>79927</v>
      </c>
      <c r="BK38" s="94">
        <f ca="1">TblProd[[#This Row],[Lumber]]</f>
        <v>39602</v>
      </c>
      <c r="BL38" s="94">
        <f ca="1">TblProd[[#This Row],[Mana]]</f>
        <v>0</v>
      </c>
      <c r="BM38" s="94">
        <f ca="1">TblProd[[#This Row],[Ore]]</f>
        <v>0</v>
      </c>
    </row>
    <row r="39" spans="1:65">
      <c r="A39" s="137">
        <v>36</v>
      </c>
      <c r="B39" s="152">
        <f ca="1">TblImps[[#This Row],[Time]]</f>
        <v>45816.458333333248</v>
      </c>
      <c r="C39" s="153"/>
      <c r="D39" s="154"/>
      <c r="E39" s="94">
        <f ca="1">TblConstr[[#This Row],[Land]]</f>
        <v>50</v>
      </c>
      <c r="F39" s="94">
        <f ca="1">TblPop[[#This Row],[Peasants]]</f>
        <v>441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97862</v>
      </c>
      <c r="I39" s="94">
        <f ca="1">OFFSET(TblProd[[#This Row],[Food]],-1,0)+OFFSET(TblProd[[#This Row],[Food/hr]],-1,0)+ROUNDUP((TblConstr[[#This Row],[Farms]]*80+TblConstr[[#This Row],[Docks]]*35)*(1+OFFSET(TblProd[[#This Row],[Bonus Food/hr]],-1,0)),0)</f>
        <v>81515</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1190</v>
      </c>
      <c r="T39" s="94">
        <f ca="1">ROUND(TblProd[[#This Row],[Raw Food/hr]]*(1+TblProd[[#This Row],[Bonus Food/hr]])-TblProd[[#This Row],[Food decay]]-TblProd[[#This Row],[Food eaten]],0)</f>
        <v>1573</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1190.7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815.15</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97862</v>
      </c>
      <c r="BJ39" s="94">
        <f ca="1">TblProd[[#This Row],[Food]]</f>
        <v>81515</v>
      </c>
      <c r="BK39" s="94">
        <f ca="1">TblProd[[#This Row],[Lumber]]</f>
        <v>40206</v>
      </c>
      <c r="BL39" s="94">
        <f ca="1">TblProd[[#This Row],[Mana]]</f>
        <v>0</v>
      </c>
      <c r="BM39" s="94">
        <f ca="1">TblProd[[#This Row],[Ore]]</f>
        <v>0</v>
      </c>
    </row>
    <row r="40" spans="1:65" s="5" customFormat="1">
      <c r="A40" s="144" t="s">
        <v>229</v>
      </c>
      <c r="B40" s="160">
        <f ca="1">TblImps[[#This Row],[Time]]</f>
        <v>45816.499999999913</v>
      </c>
      <c r="C40" s="161"/>
      <c r="D40" s="162"/>
      <c r="E40" s="35">
        <f ca="1">TblConstr[[#This Row],[Land]]</f>
        <v>50</v>
      </c>
      <c r="F40" s="35">
        <f ca="1">TblPop[[#This Row],[Peasants]]</f>
        <v>437</v>
      </c>
      <c r="G40" s="35">
        <f ca="1">TblMili[[#This Row],[Networth (2)]]</f>
        <v>1250</v>
      </c>
      <c r="H40" s="35">
        <f ca="1">OFFSET(TblProd[[#This Row],[Platinum]],-1,0)+OFFSET(TblProd[[#This Row],[Plat/hr]],-1,0) - TblProd[[#This Row],[Expenses Platinum]] + IF(TblProd[[#This Row],[Plat Bonus]],TblPop[[#This Row],[Peasants]]*4) + SUM(TblConstr[[#This Row],[Dest Hom]:[Dest Doc]])*TblConstr[[#This Row],[CPA Platinum -DB]]*tech_3_3_2*TblTech[[#This Row],[3-3]]</f>
        <v>99052</v>
      </c>
      <c r="I40" s="35">
        <f ca="1">OFFSET(TblProd[[#This Row],[Food]],-1,0)+OFFSET(TblProd[[#This Row],[Food/hr]],-1,0)+ROUNDUP((TblConstr[[#This Row],[Farms]]*80+TblConstr[[#This Row],[Docks]]*35)*(1+OFFSET(TblProd[[#This Row],[Bonus Food/hr]],-1,0)),0)</f>
        <v>83088</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1179</v>
      </c>
      <c r="T40" s="35">
        <f ca="1">ROUND(TblProd[[#This Row],[Raw Food/hr]]*(1+TblProd[[#This Row],[Bonus Food/hr]])-TblProd[[#This Row],[Food decay]]-TblProd[[#This Row],[Food eaten]],0)</f>
        <v>1557</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1179.9000000000001</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830.88</v>
      </c>
      <c r="AP40" s="35">
        <f ca="1">(1+race_food_consumption)*TblPop[[#This Row],[Total]]*food_per_person*(1+tech_1_10*TblTech[[#This Row],[1-10]]+tech_7_5*TblTech[[#This Row],[7-5]] + IF(TblMagic[[#This Row],[Active Demonic Pact]]&gt;0,demonic_pact_food_cons,0))</f>
        <v>192.25</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45816.499999999913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99052</v>
      </c>
      <c r="BJ40" s="35">
        <f ca="1">TblProd[[#This Row],[Food]]</f>
        <v>83088</v>
      </c>
      <c r="BK40" s="35">
        <f ca="1">TblProd[[#This Row],[Lumber]]</f>
        <v>40804</v>
      </c>
      <c r="BL40" s="35">
        <f ca="1">TblProd[[#This Row],[Mana]]</f>
        <v>0</v>
      </c>
      <c r="BM40" s="35">
        <f ca="1">TblProd[[#This Row],[Ore]]</f>
        <v>0</v>
      </c>
    </row>
    <row r="41" spans="1:65">
      <c r="A41" s="137">
        <v>2</v>
      </c>
      <c r="B41" s="152">
        <f ca="1">TblImps[[#This Row],[Time]]</f>
        <v>45816.541666666577</v>
      </c>
      <c r="C41" s="153"/>
      <c r="D41" s="154"/>
      <c r="E41" s="94">
        <f ca="1">TblConstr[[#This Row],[Land]]</f>
        <v>50</v>
      </c>
      <c r="F41" s="94">
        <f ca="1">TblPop[[#This Row],[Peasants]]</f>
        <v>433</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100231</v>
      </c>
      <c r="I41" s="94">
        <f ca="1">OFFSET(TblProd[[#This Row],[Food]],-1,0)+OFFSET(TblProd[[#This Row],[Food/hr]],-1,0)+ROUNDUP((TblConstr[[#This Row],[Farms]]*80+TblConstr[[#This Row],[Docks]]*35)*(1+OFFSET(TblProd[[#This Row],[Bonus Food/hr]],-1,0)),0)</f>
        <v>84645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1169</v>
      </c>
      <c r="T41" s="94">
        <f ca="1">ROUND(TblProd[[#This Row],[Raw Food/hr]]*(1+TblProd[[#This Row],[Bonus Food/hr]])-TblProd[[#This Row],[Food decay]]-TblProd[[#This Row],[Food eaten]],0)</f>
        <v>1541</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1169.1000000000001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846.45</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100231</v>
      </c>
      <c r="BJ41" s="94">
        <f ca="1">TblProd[[#This Row],[Food]]</f>
        <v>84645</v>
      </c>
      <c r="BK41" s="94">
        <f ca="1">TblProd[[#This Row],[Lumber]]</f>
        <v>41396</v>
      </c>
      <c r="BL41" s="94">
        <f ca="1">TblProd[[#This Row],[Mana]]</f>
        <v>0</v>
      </c>
      <c r="BM41" s="94">
        <f ca="1">TblProd[[#This Row],[Ore]]</f>
        <v>0</v>
      </c>
    </row>
    <row r="42" spans="1:65">
      <c r="A42" s="137">
        <f>A41+1</f>
        <v>3</v>
      </c>
      <c r="B42" s="152">
        <f ca="1">TblImps[[#This Row],[Time]]</f>
        <v>45816.583333333241</v>
      </c>
      <c r="C42" s="153"/>
      <c r="D42" s="154"/>
      <c r="E42" s="94">
        <f ca="1">TblConstr[[#This Row],[Land]]</f>
        <v>50</v>
      </c>
      <c r="F42" s="94">
        <f ca="1">TblPop[[#This Row],[Peasants]]</f>
        <v>429</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101400</v>
      </c>
      <c r="I42" s="94">
        <f ca="1">OFFSET(TblProd[[#This Row],[Food]],-1,0)+OFFSET(TblProd[[#This Row],[Food/hr]],-1,0)+ROUNDUP((TblConstr[[#This Row],[Farms]]*80+TblConstr[[#This Row],[Docks]]*35)*(1+OFFSET(TblProd[[#This Row],[Bonus Food/hr]],-1,0)),0)</f>
        <v>86186</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1158</v>
      </c>
      <c r="T42" s="94">
        <f ca="1">ROUND(TblProd[[#This Row],[Raw Food/hr]]*(1+TblProd[[#This Row],[Bonus Food/hr]])-TblProd[[#This Row],[Food decay]]-TblProd[[#This Row],[Food eaten]],0)</f>
        <v>1526</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1158.3000000000002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861.86</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101400</v>
      </c>
      <c r="BJ42" s="94">
        <f ca="1">TblProd[[#This Row],[Food]]</f>
        <v>86186</v>
      </c>
      <c r="BK42" s="94">
        <f ca="1">TblProd[[#This Row],[Lumber]]</f>
        <v>41982</v>
      </c>
      <c r="BL42" s="94">
        <f ca="1">TblProd[[#This Row],[Mana]]</f>
        <v>0</v>
      </c>
      <c r="BM42" s="94">
        <f ca="1">TblProd[[#This Row],[Ore]]</f>
        <v>0</v>
      </c>
    </row>
    <row r="43" spans="1:65">
      <c r="A43" s="137">
        <f t="shared" ref="A43:A106" si="0">A42+1</f>
        <v>4</v>
      </c>
      <c r="B43" s="152">
        <f ca="1">TblImps[[#This Row],[Time]]</f>
        <v>45816.624999999905</v>
      </c>
      <c r="C43" s="153"/>
      <c r="D43" s="154"/>
      <c r="E43" s="94">
        <f ca="1">TblConstr[[#This Row],[Land]]</f>
        <v>50</v>
      </c>
      <c r="F43" s="94">
        <f ca="1">TblPop[[#This Row],[Peasants]]</f>
        <v>425</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102558</v>
      </c>
      <c r="I43" s="94">
        <f ca="1">OFFSET(TblProd[[#This Row],[Food]],-1,0)+OFFSET(TblProd[[#This Row],[Food/hr]],-1,0)+ROUNDUP((TblConstr[[#This Row],[Farms]]*80+TblConstr[[#This Row],[Docks]]*35)*(1+OFFSET(TblProd[[#This Row],[Bonus Food/hr]],-1,0)),0)</f>
        <v>87712</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1147</v>
      </c>
      <c r="T43" s="94">
        <f ca="1">ROUND(TblProd[[#This Row],[Raw Food/hr]]*(1+TblProd[[#This Row],[Bonus Food/hr]])-TblProd[[#This Row],[Food decay]]-TblProd[[#This Row],[Food eaten]],0)</f>
        <v>1511</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1147.5</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877.12</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102558</v>
      </c>
      <c r="BJ43" s="94">
        <f ca="1">TblProd[[#This Row],[Food]]</f>
        <v>87712</v>
      </c>
      <c r="BK43" s="94">
        <f ca="1">TblProd[[#This Row],[Lumber]]</f>
        <v>42562</v>
      </c>
      <c r="BL43" s="94">
        <f ca="1">TblProd[[#This Row],[Mana]]</f>
        <v>0</v>
      </c>
      <c r="BM43" s="94">
        <f ca="1">TblProd[[#This Row],[Ore]]</f>
        <v>0</v>
      </c>
    </row>
    <row r="44" spans="1:65">
      <c r="A44" s="137">
        <f t="shared" si="0"/>
        <v>5</v>
      </c>
      <c r="B44" s="152">
        <f ca="1">TblImps[[#This Row],[Time]]</f>
        <v>45816.66666666657</v>
      </c>
      <c r="C44" s="153"/>
      <c r="D44" s="154"/>
      <c r="E44" s="94">
        <f ca="1">TblConstr[[#This Row],[Land]]</f>
        <v>50</v>
      </c>
      <c r="F44" s="94">
        <f ca="1">TblPop[[#This Row],[Peasants]]</f>
        <v>421</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103705</v>
      </c>
      <c r="I44" s="94">
        <f ca="1">OFFSET(TblProd[[#This Row],[Food]],-1,0)+OFFSET(TblProd[[#This Row],[Food/hr]],-1,0)+ROUNDUP((TblConstr[[#This Row],[Farms]]*80+TblConstr[[#This Row],[Docks]]*35)*(1+OFFSET(TblProd[[#This Row],[Bonus Food/hr]],-1,0)),0)</f>
        <v>89223</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1136</v>
      </c>
      <c r="T44" s="94">
        <f ca="1">ROUND(TblProd[[#This Row],[Raw Food/hr]]*(1+TblProd[[#This Row],[Bonus Food/hr]])-TblProd[[#This Row],[Food decay]]-TblProd[[#This Row],[Food eaten]],0)</f>
        <v>1496</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1136.7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892.23</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103705</v>
      </c>
      <c r="BJ44" s="94">
        <f ca="1">TblProd[[#This Row],[Food]]</f>
        <v>89223</v>
      </c>
      <c r="BK44" s="94">
        <f ca="1">TblProd[[#This Row],[Lumber]]</f>
        <v>43136</v>
      </c>
      <c r="BL44" s="94">
        <f ca="1">TblProd[[#This Row],[Mana]]</f>
        <v>0</v>
      </c>
      <c r="BM44" s="94">
        <f ca="1">TblProd[[#This Row],[Ore]]</f>
        <v>0</v>
      </c>
    </row>
    <row r="45" spans="1:65">
      <c r="A45" s="137">
        <f t="shared" si="0"/>
        <v>6</v>
      </c>
      <c r="B45" s="152">
        <f ca="1">TblImps[[#This Row],[Time]]</f>
        <v>45816.708333333234</v>
      </c>
      <c r="C45" s="153"/>
      <c r="D45" s="154"/>
      <c r="E45" s="94">
        <f ca="1">TblConstr[[#This Row],[Land]]</f>
        <v>50</v>
      </c>
      <c r="F45" s="94">
        <f ca="1">TblPop[[#This Row],[Peasants]]</f>
        <v>417</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104841</v>
      </c>
      <c r="I45" s="94">
        <f ca="1">OFFSET(TblProd[[#This Row],[Food]],-1,0)+OFFSET(TblProd[[#This Row],[Food/hr]],-1,0)+ROUNDUP((TblConstr[[#This Row],[Farms]]*80+TblConstr[[#This Row],[Docks]]*35)*(1+OFFSET(TblProd[[#This Row],[Bonus Food/hr]],-1,0)),0)</f>
        <v>90719</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1125</v>
      </c>
      <c r="T45" s="94">
        <f ca="1">ROUND(TblProd[[#This Row],[Raw Food/hr]]*(1+TblProd[[#This Row],[Bonus Food/hr]])-TblProd[[#This Row],[Food decay]]-TblProd[[#This Row],[Food eaten]],0)</f>
        <v>1481</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1125.9000000000001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907.19</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104841</v>
      </c>
      <c r="BJ45" s="94">
        <f ca="1">TblProd[[#This Row],[Food]]</f>
        <v>90719</v>
      </c>
      <c r="BK45" s="94">
        <f ca="1">TblProd[[#This Row],[Lumber]]</f>
        <v>43705</v>
      </c>
      <c r="BL45" s="94">
        <f ca="1">TblProd[[#This Row],[Mana]]</f>
        <v>0</v>
      </c>
      <c r="BM45" s="94">
        <f ca="1">TblProd[[#This Row],[Ore]]</f>
        <v>0</v>
      </c>
    </row>
    <row r="46" spans="1:65">
      <c r="A46" s="137">
        <f t="shared" si="0"/>
        <v>7</v>
      </c>
      <c r="B46" s="152">
        <f ca="1">TblImps[[#This Row],[Time]]</f>
        <v>45816.749999999898</v>
      </c>
      <c r="C46" s="153"/>
      <c r="D46" s="154"/>
      <c r="E46" s="94">
        <f ca="1">TblConstr[[#This Row],[Land]]</f>
        <v>50</v>
      </c>
      <c r="F46" s="94">
        <f ca="1">TblPop[[#This Row],[Peasants]]</f>
        <v>413</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105966</v>
      </c>
      <c r="I46" s="94">
        <f ca="1">OFFSET(TblProd[[#This Row],[Food]],-1,0)+OFFSET(TblProd[[#This Row],[Food/hr]],-1,0)+ROUNDUP((TblConstr[[#This Row],[Farms]]*80+TblConstr[[#This Row],[Docks]]*35)*(1+OFFSET(TblProd[[#This Row],[Bonus Food/hr]],-1,0)),0)</f>
        <v>92200</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1115</v>
      </c>
      <c r="T46" s="94">
        <f ca="1">ROUND(TblProd[[#This Row],[Raw Food/hr]]*(1+TblProd[[#This Row],[Bonus Food/hr]])-TblProd[[#This Row],[Food decay]]-TblProd[[#This Row],[Food eaten]],0)</f>
        <v>1466</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1115.1000000000001</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922</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105966</v>
      </c>
      <c r="BJ46" s="94">
        <f ca="1">TblProd[[#This Row],[Food]]</f>
        <v>92200</v>
      </c>
      <c r="BK46" s="94">
        <f ca="1">TblProd[[#This Row],[Lumber]]</f>
        <v>44268</v>
      </c>
      <c r="BL46" s="94">
        <f ca="1">TblProd[[#This Row],[Mana]]</f>
        <v>0</v>
      </c>
      <c r="BM46" s="94">
        <f ca="1">TblProd[[#This Row],[Ore]]</f>
        <v>0</v>
      </c>
    </row>
    <row r="47" spans="1:65">
      <c r="A47" s="137">
        <f t="shared" si="0"/>
        <v>8</v>
      </c>
      <c r="B47" s="152">
        <f ca="1">TblImps[[#This Row],[Time]]</f>
        <v>45816.791666666562</v>
      </c>
      <c r="C47" s="153"/>
      <c r="D47" s="154"/>
      <c r="E47" s="94">
        <f ca="1">TblConstr[[#This Row],[Land]]</f>
        <v>50</v>
      </c>
      <c r="F47" s="94">
        <f ca="1">TblPop[[#This Row],[Peasants]]</f>
        <v>409</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107081</v>
      </c>
      <c r="I47" s="94">
        <f ca="1">OFFSET(TblProd[[#This Row],[Food]],-1,0)+OFFSET(TblProd[[#This Row],[Food/hr]],-1,0)+ROUNDUP((TblConstr[[#This Row],[Farms]]*80+TblConstr[[#This Row],[Docks]]*35)*(1+OFFSET(TblProd[[#This Row],[Bonus Food/hr]],-1,0)),0)</f>
        <v>93666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1104</v>
      </c>
      <c r="T47" s="94">
        <f ca="1">ROUND(TblProd[[#This Row],[Raw Food/hr]]*(1+TblProd[[#This Row],[Bonus Food/hr]])-TblProd[[#This Row],[Food decay]]-TblProd[[#This Row],[Food eaten]],0)</f>
        <v>1451</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1104.3000000000002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936.66</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107081</v>
      </c>
      <c r="BJ47" s="94">
        <f ca="1">TblProd[[#This Row],[Food]]</f>
        <v>93666</v>
      </c>
      <c r="BK47" s="94">
        <f ca="1">TblProd[[#This Row],[Lumber]]</f>
        <v>44825</v>
      </c>
      <c r="BL47" s="94">
        <f ca="1">TblProd[[#This Row],[Mana]]</f>
        <v>0</v>
      </c>
      <c r="BM47" s="94">
        <f ca="1">TblProd[[#This Row],[Ore]]</f>
        <v>0</v>
      </c>
    </row>
    <row r="48" spans="1:65">
      <c r="A48" s="137">
        <f t="shared" si="0"/>
        <v>9</v>
      </c>
      <c r="B48" s="152">
        <f ca="1">TblImps[[#This Row],[Time]]</f>
        <v>45816.833333333227</v>
      </c>
      <c r="C48" s="153"/>
      <c r="D48" s="154"/>
      <c r="E48" s="94">
        <f ca="1">TblConstr[[#This Row],[Land]]</f>
        <v>50</v>
      </c>
      <c r="F48" s="94">
        <f ca="1">TblPop[[#This Row],[Peasants]]</f>
        <v>405</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108185</v>
      </c>
      <c r="I48" s="94">
        <f ca="1">OFFSET(TblProd[[#This Row],[Food]],-1,0)+OFFSET(TblProd[[#This Row],[Food/hr]],-1,0)+ROUNDUP((TblConstr[[#This Row],[Farms]]*80+TblConstr[[#This Row],[Docks]]*35)*(1+OFFSET(TblProd[[#This Row],[Bonus Food/hr]],-1,0)),0)</f>
        <v>95117</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1093</v>
      </c>
      <c r="T48" s="94">
        <f ca="1">ROUND(TblProd[[#This Row],[Raw Food/hr]]*(1+TblProd[[#This Row],[Bonus Food/hr]])-TblProd[[#This Row],[Food decay]]-TblProd[[#This Row],[Food eaten]],0)</f>
        <v>1437</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1093.5</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951.17000000000007</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108185</v>
      </c>
      <c r="BJ48" s="94">
        <f ca="1">TblProd[[#This Row],[Food]]</f>
        <v>95117</v>
      </c>
      <c r="BK48" s="94">
        <f ca="1">TblProd[[#This Row],[Lumber]]</f>
        <v>45377</v>
      </c>
      <c r="BL48" s="94">
        <f ca="1">TblProd[[#This Row],[Mana]]</f>
        <v>0</v>
      </c>
      <c r="BM48" s="94">
        <f ca="1">TblProd[[#This Row],[Ore]]</f>
        <v>0</v>
      </c>
    </row>
    <row r="49" spans="1:65">
      <c r="A49" s="137">
        <f t="shared" si="0"/>
        <v>10</v>
      </c>
      <c r="B49" s="152">
        <f ca="1">TblImps[[#This Row],[Time]]</f>
        <v>45816.874999999891</v>
      </c>
      <c r="C49" s="153"/>
      <c r="D49" s="154"/>
      <c r="E49" s="94">
        <f ca="1">TblConstr[[#This Row],[Land]]</f>
        <v>50</v>
      </c>
      <c r="F49" s="94">
        <f ca="1">TblPop[[#This Row],[Peasants]]</f>
        <v>401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109278</v>
      </c>
      <c r="I49" s="94">
        <f ca="1">OFFSET(TblProd[[#This Row],[Food]],-1,0)+OFFSET(TblProd[[#This Row],[Food/hr]],-1,0)+ROUNDUP((TblConstr[[#This Row],[Farms]]*80+TblConstr[[#This Row],[Docks]]*35)*(1+OFFSET(TblProd[[#This Row],[Bonus Food/hr]],-1,0)),0)</f>
        <v>96554</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1082</v>
      </c>
      <c r="T49" s="94">
        <f ca="1">ROUND(TblProd[[#This Row],[Raw Food/hr]]*(1+TblProd[[#This Row],[Bonus Food/hr]])-TblProd[[#This Row],[Food decay]]-TblProd[[#This Row],[Food eaten]],0)</f>
        <v>1422</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1082.7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965.54</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109278</v>
      </c>
      <c r="BJ49" s="94">
        <f ca="1">TblProd[[#This Row],[Food]]</f>
        <v>96554</v>
      </c>
      <c r="BK49" s="94">
        <f ca="1">TblProd[[#This Row],[Lumber]]</f>
        <v>45923</v>
      </c>
      <c r="BL49" s="94">
        <f ca="1">TblProd[[#This Row],[Mana]]</f>
        <v>0</v>
      </c>
      <c r="BM49" s="94">
        <f ca="1">TblProd[[#This Row],[Ore]]</f>
        <v>0</v>
      </c>
    </row>
    <row r="50" spans="1:65">
      <c r="A50" s="137">
        <f t="shared" si="0"/>
        <v>11</v>
      </c>
      <c r="B50" s="152">
        <f ca="1">TblImps[[#This Row],[Time]]</f>
        <v>45816.916666666555</v>
      </c>
      <c r="C50" s="153"/>
      <c r="D50" s="154"/>
      <c r="E50" s="94">
        <f ca="1">TblConstr[[#This Row],[Land]]</f>
        <v>50</v>
      </c>
      <c r="F50" s="94">
        <f ca="1">TblPop[[#This Row],[Peasants]]</f>
        <v>397</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110360</v>
      </c>
      <c r="I50" s="94">
        <f ca="1">OFFSET(TblProd[[#This Row],[Food]],-1,0)+OFFSET(TblProd[[#This Row],[Food/hr]],-1,0)+ROUNDUP((TblConstr[[#This Row],[Farms]]*80+TblConstr[[#This Row],[Docks]]*35)*(1+OFFSET(TblProd[[#This Row],[Bonus Food/hr]],-1,0)),0)</f>
        <v>97976</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1071</v>
      </c>
      <c r="T50" s="94">
        <f ca="1">ROUND(TblProd[[#This Row],[Raw Food/hr]]*(1+TblProd[[#This Row],[Bonus Food/hr]])-TblProd[[#This Row],[Food decay]]-TblProd[[#This Row],[Food eaten]],0)</f>
        <v>1408</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1071.9000000000001</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979.76</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110360</v>
      </c>
      <c r="BJ50" s="94">
        <f ca="1">TblProd[[#This Row],[Food]]</f>
        <v>97976</v>
      </c>
      <c r="BK50" s="94">
        <f ca="1">TblProd[[#This Row],[Lumber]]</f>
        <v>46464</v>
      </c>
      <c r="BL50" s="94">
        <f ca="1">TblProd[[#This Row],[Mana]]</f>
        <v>0</v>
      </c>
      <c r="BM50" s="94">
        <f ca="1">TblProd[[#This Row],[Ore]]</f>
        <v>0</v>
      </c>
    </row>
    <row r="51" spans="1:65">
      <c r="A51" s="137">
        <f t="shared" si="0"/>
        <v>12</v>
      </c>
      <c r="B51" s="152">
        <f ca="1">TblImps[[#This Row],[Time]]</f>
        <v>45816.958333333219</v>
      </c>
      <c r="C51" s="153"/>
      <c r="D51" s="154"/>
      <c r="E51" s="94">
        <f ca="1">TblConstr[[#This Row],[Land]]</f>
        <v>50</v>
      </c>
      <c r="F51" s="94">
        <f ca="1">TblPop[[#This Row],[Peasants]]</f>
        <v>393</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111431</v>
      </c>
      <c r="I51" s="94">
        <f ca="1">OFFSET(TblProd[[#This Row],[Food]],-1,0)+OFFSET(TblProd[[#This Row],[Food/hr]],-1,0)+ROUNDUP((TblConstr[[#This Row],[Farms]]*80+TblConstr[[#This Row],[Docks]]*35)*(1+OFFSET(TblProd[[#This Row],[Bonus Food/hr]],-1,0)),0)</f>
        <v>99384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1061</v>
      </c>
      <c r="T51" s="94">
        <f ca="1">ROUND(TblProd[[#This Row],[Raw Food/hr]]*(1+TblProd[[#This Row],[Bonus Food/hr]])-TblProd[[#This Row],[Food decay]]-TblProd[[#This Row],[Food eaten]],0)</f>
        <v>1394</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1061.1000000000001</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993.84</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111431</v>
      </c>
      <c r="BJ51" s="94">
        <f ca="1">TblProd[[#This Row],[Food]]</f>
        <v>99384</v>
      </c>
      <c r="BK51" s="94">
        <f ca="1">TblProd[[#This Row],[Lumber]]</f>
        <v>46999</v>
      </c>
      <c r="BL51" s="94">
        <f ca="1">TblProd[[#This Row],[Mana]]</f>
        <v>0</v>
      </c>
      <c r="BM51" s="94">
        <f ca="1">TblProd[[#This Row],[Ore]]</f>
        <v>0</v>
      </c>
    </row>
    <row r="52" spans="1:65">
      <c r="A52" s="137">
        <f t="shared" si="0"/>
        <v>13</v>
      </c>
      <c r="B52" s="152">
        <f ca="1">TblImps[[#This Row],[Time]]</f>
        <v>45816.999999999884</v>
      </c>
      <c r="C52" s="153"/>
      <c r="D52" s="154"/>
      <c r="E52" s="94">
        <f ca="1">TblConstr[[#This Row],[Land]]</f>
        <v>50</v>
      </c>
      <c r="F52" s="94">
        <f ca="1">TblPop[[#This Row],[Peasants]]</f>
        <v>389</v>
      </c>
      <c r="G52" s="94">
        <f ca="1">TblMili[[#This Row],[Networth (2)]]</f>
        <v>1250</v>
      </c>
      <c r="H52" s="94">
        <f ca="1">OFFSET(TblProd[[#This Row],[Platinum]],-1,0)+OFFSET(TblProd[[#This Row],[Plat/hr]],-1,0) - TblProd[[#This Row],[Expenses Platinum]] + IF(TblProd[[#This Row],[Plat Bonus]],TblPop[[#This Row],[Peasants]]*4) + SUM(TblConstr[[#This Row],[Dest Hom]:[Dest Doc]])*TblConstr[[#This Row],[CPA Platinum -DB]]*tech_3_3_2*TblTech[[#This Row],[3-3]]</f>
        <v>112492</v>
      </c>
      <c r="I52" s="94">
        <f ca="1">OFFSET(TblProd[[#This Row],[Food]],-1,0)+OFFSET(TblProd[[#This Row],[Food/hr]],-1,0)+ROUNDUP((TblConstr[[#This Row],[Farms]]*80+TblConstr[[#This Row],[Docks]]*35)*(1+OFFSET(TblProd[[#This Row],[Bonus Food/hr]],-1,0)),0)</f>
        <v>100778</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1050</v>
      </c>
      <c r="T52" s="94">
        <f ca="1">ROUND(TblProd[[#This Row],[Raw Food/hr]]*(1+TblProd[[#This Row],[Bonus Food/hr]])-TblProd[[#This Row],[Food decay]]-TblProd[[#This Row],[Food eaten]],0)</f>
        <v>1380</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1050.3000000000002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1007.78</v>
      </c>
      <c r="AP52" s="94">
        <f ca="1">(1+race_food_consumption)*TblPop[[#This Row],[Total]]*food_per_person*(1+tech_1_10*TblTech[[#This Row],[1-10]]+tech_7_5*TblTech[[#This Row],[7-5]] + IF(TblMagic[[#This Row],[Active Demonic Pact]]&gt;0,demonic_pact_food_cons,0))</f>
        <v>192.25</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45816.999999999884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112492</v>
      </c>
      <c r="BJ52" s="94">
        <f ca="1">TblProd[[#This Row],[Food]]</f>
        <v>100778</v>
      </c>
      <c r="BK52" s="94">
        <f ca="1">TblProd[[#This Row],[Lumber]]</f>
        <v>47529</v>
      </c>
      <c r="BL52" s="94">
        <f ca="1">TblProd[[#This Row],[Mana]]</f>
        <v>0</v>
      </c>
      <c r="BM52" s="94">
        <f ca="1">TblProd[[#This Row],[Ore]]</f>
        <v>0</v>
      </c>
    </row>
    <row r="53" spans="1:65">
      <c r="A53" s="137">
        <f t="shared" si="0"/>
        <v>14</v>
      </c>
      <c r="B53" s="152">
        <f ca="1">TblImps[[#This Row],[Time]]</f>
        <v>45817.041666666548</v>
      </c>
      <c r="C53" s="153"/>
      <c r="D53" s="154"/>
      <c r="E53" s="94">
        <f ca="1">TblConstr[[#This Row],[Land]]</f>
        <v>50</v>
      </c>
      <c r="F53" s="94">
        <f ca="1">TblPop[[#This Row],[Peasants]]</f>
        <v>385</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113542</v>
      </c>
      <c r="I53" s="94">
        <f ca="1">OFFSET(TblProd[[#This Row],[Food]],-1,0)+OFFSET(TblProd[[#This Row],[Food/hr]],-1,0)+ROUNDUP((TblConstr[[#This Row],[Farms]]*80+TblConstr[[#This Row],[Docks]]*35)*(1+OFFSET(TblProd[[#This Row],[Bonus Food/hr]],-1,0)),0)</f>
        <v>102158</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1039</v>
      </c>
      <c r="T53" s="94">
        <f ca="1">ROUND(TblProd[[#This Row],[Raw Food/hr]]*(1+TblProd[[#This Row],[Bonus Food/hr]])-TblProd[[#This Row],[Food decay]]-TblProd[[#This Row],[Food eaten]],0)</f>
        <v>1366</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1039.5</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1021.58</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113542</v>
      </c>
      <c r="BJ53" s="94">
        <f ca="1">TblProd[[#This Row],[Food]]</f>
        <v>102158</v>
      </c>
      <c r="BK53" s="94">
        <f ca="1">TblProd[[#This Row],[Lumber]]</f>
        <v>48054</v>
      </c>
      <c r="BL53" s="94">
        <f ca="1">TblProd[[#This Row],[Mana]]</f>
        <v>0</v>
      </c>
      <c r="BM53" s="94">
        <f ca="1">TblProd[[#This Row],[Ore]]</f>
        <v>0</v>
      </c>
    </row>
    <row r="54" spans="1:65">
      <c r="A54" s="137">
        <f t="shared" si="0"/>
        <v>15</v>
      </c>
      <c r="B54" s="152">
        <f ca="1">TblImps[[#This Row],[Time]]</f>
        <v>45817.083333333212</v>
      </c>
      <c r="C54" s="153"/>
      <c r="D54" s="154"/>
      <c r="E54" s="94">
        <f ca="1">TblConstr[[#This Row],[Land]]</f>
        <v>50</v>
      </c>
      <c r="F54" s="94">
        <f ca="1">TblPop[[#This Row],[Peasants]]</f>
        <v>381</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114581</v>
      </c>
      <c r="I54" s="94">
        <f ca="1">OFFSET(TblProd[[#This Row],[Food]],-1,0)+OFFSET(TblProd[[#This Row],[Food/hr]],-1,0)+ROUNDUP((TblConstr[[#This Row],[Farms]]*80+TblConstr[[#This Row],[Docks]]*35)*(1+OFFSET(TblProd[[#This Row],[Bonus Food/hr]],-1,0)),0)</f>
        <v>103524</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1028</v>
      </c>
      <c r="T54" s="94">
        <f ca="1">ROUND(TblProd[[#This Row],[Raw Food/hr]]*(1+TblProd[[#This Row],[Bonus Food/hr]])-TblProd[[#This Row],[Food decay]]-TblProd[[#This Row],[Food eaten]],0)</f>
        <v>1353</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1028.7</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1035.24</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114581</v>
      </c>
      <c r="BJ54" s="94">
        <f ca="1">TblProd[[#This Row],[Food]]</f>
        <v>103524</v>
      </c>
      <c r="BK54" s="94">
        <f ca="1">TblProd[[#This Row],[Lumber]]</f>
        <v>48573</v>
      </c>
      <c r="BL54" s="94">
        <f ca="1">TblProd[[#This Row],[Mana]]</f>
        <v>0</v>
      </c>
      <c r="BM54" s="94">
        <f ca="1">TblProd[[#This Row],[Ore]]</f>
        <v>0</v>
      </c>
    </row>
    <row r="55" spans="1:65">
      <c r="A55" s="137">
        <f t="shared" si="0"/>
        <v>16</v>
      </c>
      <c r="B55" s="152">
        <f ca="1">TblImps[[#This Row],[Time]]</f>
        <v>45817.124999999876</v>
      </c>
      <c r="C55" s="153"/>
      <c r="D55" s="154"/>
      <c r="E55" s="94">
        <f ca="1">TblConstr[[#This Row],[Land]]</f>
        <v>50</v>
      </c>
      <c r="F55" s="94">
        <f ca="1">TblPop[[#This Row],[Peasants]]</f>
        <v>377</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115609</v>
      </c>
      <c r="I55" s="94">
        <f ca="1">OFFSET(TblProd[[#This Row],[Food]],-1,0)+OFFSET(TblProd[[#This Row],[Food/hr]],-1,0)+ROUNDUP((TblConstr[[#This Row],[Farms]]*80+TblConstr[[#This Row],[Docks]]*35)*(1+OFFSET(TblProd[[#This Row],[Bonus Food/hr]],-1,0)),0)</f>
        <v>104877</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1017</v>
      </c>
      <c r="T55" s="94">
        <f ca="1">ROUND(TblProd[[#This Row],[Raw Food/hr]]*(1+TblProd[[#This Row],[Bonus Food/hr]])-TblProd[[#This Row],[Food decay]]-TblProd[[#This Row],[Food eaten]],0)</f>
        <v>1339</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1017.9000000000001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1048.77</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115609</v>
      </c>
      <c r="BJ55" s="94">
        <f ca="1">TblProd[[#This Row],[Food]]</f>
        <v>104877</v>
      </c>
      <c r="BK55" s="94">
        <f ca="1">TblProd[[#This Row],[Lumber]]</f>
        <v>49087</v>
      </c>
      <c r="BL55" s="94">
        <f ca="1">TblProd[[#This Row],[Mana]]</f>
        <v>0</v>
      </c>
      <c r="BM55" s="94">
        <f ca="1">TblProd[[#This Row],[Ore]]</f>
        <v>0</v>
      </c>
    </row>
    <row r="56" spans="1:65">
      <c r="A56" s="137">
        <f t="shared" si="0"/>
        <v>17</v>
      </c>
      <c r="B56" s="152">
        <f ca="1">TblImps[[#This Row],[Time]]</f>
        <v>45817.166666666541</v>
      </c>
      <c r="C56" s="153"/>
      <c r="D56" s="154"/>
      <c r="E56" s="94">
        <f ca="1">TblConstr[[#This Row],[Land]]</f>
        <v>50</v>
      </c>
      <c r="F56" s="94">
        <f ca="1">TblPop[[#This Row],[Peasants]]</f>
        <v>373</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116626</v>
      </c>
      <c r="I56" s="94">
        <f ca="1">OFFSET(TblProd[[#This Row],[Food]],-1,0)+OFFSET(TblProd[[#This Row],[Food/hr]],-1,0)+ROUNDUP((TblConstr[[#This Row],[Farms]]*80+TblConstr[[#This Row],[Docks]]*35)*(1+OFFSET(TblProd[[#This Row],[Bonus Food/hr]],-1,0)),0)</f>
        <v>106216</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1007</v>
      </c>
      <c r="T56" s="94">
        <f ca="1">ROUND(TblProd[[#This Row],[Raw Food/hr]]*(1+TblProd[[#This Row],[Bonus Food/hr]])-TblProd[[#This Row],[Food decay]]-TblProd[[#This Row],[Food eaten]],0)</f>
        <v>1326</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1007.1</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1062.1600000000001</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116626</v>
      </c>
      <c r="BJ56" s="94">
        <f ca="1">TblProd[[#This Row],[Food]]</f>
        <v>106216</v>
      </c>
      <c r="BK56" s="94">
        <f ca="1">TblProd[[#This Row],[Lumber]]</f>
        <v>49596</v>
      </c>
      <c r="BL56" s="94">
        <f ca="1">TblProd[[#This Row],[Mana]]</f>
        <v>0</v>
      </c>
      <c r="BM56" s="94">
        <f ca="1">TblProd[[#This Row],[Ore]]</f>
        <v>0</v>
      </c>
    </row>
    <row r="57" spans="1:65">
      <c r="A57" s="137">
        <f t="shared" si="0"/>
        <v>18</v>
      </c>
      <c r="B57" s="152">
        <f ca="1">TblImps[[#This Row],[Time]]</f>
        <v>45817.208333333205</v>
      </c>
      <c r="C57" s="153"/>
      <c r="D57" s="154"/>
      <c r="E57" s="94">
        <f ca="1">TblConstr[[#This Row],[Land]]</f>
        <v>50</v>
      </c>
      <c r="F57" s="94">
        <f ca="1">TblPop[[#This Row],[Peasants]]</f>
        <v>369</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117633</v>
      </c>
      <c r="I57" s="94">
        <f ca="1">OFFSET(TblProd[[#This Row],[Food]],-1,0)+OFFSET(TblProd[[#This Row],[Food/hr]],-1,0)+ROUNDUP((TblConstr[[#This Row],[Farms]]*80+TblConstr[[#This Row],[Docks]]*35)*(1+OFFSET(TblProd[[#This Row],[Bonus Food/hr]],-1,0)),0)</f>
        <v>107542</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996</v>
      </c>
      <c r="T57" s="94">
        <f ca="1">ROUND(TblProd[[#This Row],[Raw Food/hr]]*(1+TblProd[[#This Row],[Bonus Food/hr]])-TblProd[[#This Row],[Food decay]]-TblProd[[#This Row],[Food eaten]],0)</f>
        <v>1312</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996.30000000000007</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1075.42</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117633</v>
      </c>
      <c r="BJ57" s="94">
        <f ca="1">TblProd[[#This Row],[Food]]</f>
        <v>107542</v>
      </c>
      <c r="BK57" s="94">
        <f ca="1">TblProd[[#This Row],[Lumber]]</f>
        <v>50100</v>
      </c>
      <c r="BL57" s="94">
        <f ca="1">TblProd[[#This Row],[Mana]]</f>
        <v>0</v>
      </c>
      <c r="BM57" s="94">
        <f ca="1">TblProd[[#This Row],[Ore]]</f>
        <v>0</v>
      </c>
    </row>
    <row r="58" spans="1:65">
      <c r="A58" s="137">
        <f t="shared" si="0"/>
        <v>19</v>
      </c>
      <c r="B58" s="152">
        <f ca="1">TblImps[[#This Row],[Time]]</f>
        <v>45817.249999999869</v>
      </c>
      <c r="C58" s="153"/>
      <c r="D58" s="154"/>
      <c r="E58" s="94">
        <f ca="1">TblConstr[[#This Row],[Land]]</f>
        <v>50</v>
      </c>
      <c r="F58" s="94">
        <f ca="1">TblPop[[#This Row],[Peasants]]</f>
        <v>365</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118629</v>
      </c>
      <c r="I58" s="94">
        <f ca="1">OFFSET(TblProd[[#This Row],[Food]],-1,0)+OFFSET(TblProd[[#This Row],[Food/hr]],-1,0)+ROUNDUP((TblConstr[[#This Row],[Farms]]*80+TblConstr[[#This Row],[Docks]]*35)*(1+OFFSET(TblProd[[#This Row],[Bonus Food/hr]],-1,0)),0)</f>
        <v>108854</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985</v>
      </c>
      <c r="T58" s="94">
        <f ca="1">ROUND(TblProd[[#This Row],[Raw Food/hr]]*(1+TblProd[[#This Row],[Bonus Food/hr]])-TblProd[[#This Row],[Food decay]]-TblProd[[#This Row],[Food eaten]],0)</f>
        <v>1299</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985.50000000000011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1088.54</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118629</v>
      </c>
      <c r="BJ58" s="94">
        <f ca="1">TblProd[[#This Row],[Food]]</f>
        <v>108854</v>
      </c>
      <c r="BK58" s="94">
        <f ca="1">TblProd[[#This Row],[Lumber]]</f>
        <v>50599</v>
      </c>
      <c r="BL58" s="94">
        <f ca="1">TblProd[[#This Row],[Mana]]</f>
        <v>0</v>
      </c>
      <c r="BM58" s="94">
        <f ca="1">TblProd[[#This Row],[Ore]]</f>
        <v>0</v>
      </c>
    </row>
    <row r="59" spans="1:65">
      <c r="A59" s="137">
        <f t="shared" si="0"/>
        <v>20</v>
      </c>
      <c r="B59" s="152">
        <f ca="1">TblImps[[#This Row],[Time]]</f>
        <v>45817.291666666533</v>
      </c>
      <c r="C59" s="153"/>
      <c r="D59" s="154"/>
      <c r="E59" s="94">
        <f ca="1">TblConstr[[#This Row],[Land]]</f>
        <v>50</v>
      </c>
      <c r="F59" s="94">
        <f ca="1">TblPop[[#This Row],[Peasants]]</f>
        <v>361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119614</v>
      </c>
      <c r="I59" s="94">
        <f ca="1">OFFSET(TblProd[[#This Row],[Food]],-1,0)+OFFSET(TblProd[[#This Row],[Food/hr]],-1,0)+ROUNDUP((TblConstr[[#This Row],[Farms]]*80+TblConstr[[#This Row],[Docks]]*35)*(1+OFFSET(TblProd[[#This Row],[Bonus Food/hr]],-1,0)),0)</f>
        <v>110153</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974</v>
      </c>
      <c r="T59" s="94">
        <f ca="1">ROUND(TblProd[[#This Row],[Raw Food/hr]]*(1+TblProd[[#This Row],[Bonus Food/hr]])-TblProd[[#This Row],[Food decay]]-TblProd[[#This Row],[Food eaten]],0)</f>
        <v>1286</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974.7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1101.53</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119614</v>
      </c>
      <c r="BJ59" s="94">
        <f ca="1">TblProd[[#This Row],[Food]]</f>
        <v>110153</v>
      </c>
      <c r="BK59" s="94">
        <f ca="1">TblProd[[#This Row],[Lumber]]</f>
        <v>51093</v>
      </c>
      <c r="BL59" s="94">
        <f ca="1">TblProd[[#This Row],[Mana]]</f>
        <v>0</v>
      </c>
      <c r="BM59" s="94">
        <f ca="1">TblProd[[#This Row],[Ore]]</f>
        <v>0</v>
      </c>
    </row>
    <row r="60" spans="1:65">
      <c r="A60" s="137">
        <f t="shared" si="0"/>
        <v>21</v>
      </c>
      <c r="B60" s="152">
        <f ca="1">TblImps[[#This Row],[Time]]</f>
        <v>45817.333333333198</v>
      </c>
      <c r="C60" s="153"/>
      <c r="D60" s="154"/>
      <c r="E60" s="94">
        <f ca="1">TblConstr[[#This Row],[Land]]</f>
        <v>50</v>
      </c>
      <c r="F60" s="94">
        <f ca="1">TblPop[[#This Row],[Peasants]]</f>
        <v>357</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120588</v>
      </c>
      <c r="I60" s="94">
        <f ca="1">OFFSET(TblProd[[#This Row],[Food]],-1,0)+OFFSET(TblProd[[#This Row],[Food/hr]],-1,0)+ROUNDUP((TblConstr[[#This Row],[Farms]]*80+TblConstr[[#This Row],[Docks]]*35)*(1+OFFSET(TblProd[[#This Row],[Bonus Food/hr]],-1,0)),0)</f>
        <v>111439</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963</v>
      </c>
      <c r="T60" s="94">
        <f ca="1">ROUND(TblProd[[#This Row],[Raw Food/hr]]*(1+TblProd[[#This Row],[Bonus Food/hr]])-TblProd[[#This Row],[Food decay]]-TblProd[[#This Row],[Food eaten]],0)</f>
        <v>1273</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963.90000000000009</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1114.3900000000001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120588</v>
      </c>
      <c r="BJ60" s="94">
        <f ca="1">TblProd[[#This Row],[Food]]</f>
        <v>111439</v>
      </c>
      <c r="BK60" s="94">
        <f ca="1">TblProd[[#This Row],[Lumber]]</f>
        <v>51582</v>
      </c>
      <c r="BL60" s="94">
        <f ca="1">TblProd[[#This Row],[Mana]]</f>
        <v>0</v>
      </c>
      <c r="BM60" s="94">
        <f ca="1">TblProd[[#This Row],[Ore]]</f>
        <v>0</v>
      </c>
    </row>
    <row r="61" spans="1:65">
      <c r="A61" s="137">
        <f t="shared" si="0"/>
        <v>22</v>
      </c>
      <c r="B61" s="152">
        <f ca="1">TblImps[[#This Row],[Time]]</f>
        <v>45817.374999999862</v>
      </c>
      <c r="C61" s="153"/>
      <c r="D61" s="154"/>
      <c r="E61" s="94">
        <f ca="1">TblConstr[[#This Row],[Land]]</f>
        <v>50</v>
      </c>
      <c r="F61" s="94">
        <f ca="1">TblPop[[#This Row],[Peasants]]</f>
        <v>353</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121551</v>
      </c>
      <c r="I61" s="94">
        <f ca="1">OFFSET(TblProd[[#This Row],[Food]],-1,0)+OFFSET(TblProd[[#This Row],[Food/hr]],-1,0)+ROUNDUP((TblConstr[[#This Row],[Farms]]*80+TblConstr[[#This Row],[Docks]]*35)*(1+OFFSET(TblProd[[#This Row],[Bonus Food/hr]],-1,0)),0)</f>
        <v>112712</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953</v>
      </c>
      <c r="T61" s="94">
        <f ca="1">ROUND(TblProd[[#This Row],[Raw Food/hr]]*(1+TblProd[[#This Row],[Bonus Food/hr]])-TblProd[[#This Row],[Food decay]]-TblProd[[#This Row],[Food eaten]],0)</f>
        <v>1261</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953.1</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1127.1200000000001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121551</v>
      </c>
      <c r="BJ61" s="94">
        <f ca="1">TblProd[[#This Row],[Food]]</f>
        <v>112712</v>
      </c>
      <c r="BK61" s="94">
        <f ca="1">TblProd[[#This Row],[Lumber]]</f>
        <v>52066</v>
      </c>
      <c r="BL61" s="94">
        <f ca="1">TblProd[[#This Row],[Mana]]</f>
        <v>0</v>
      </c>
      <c r="BM61" s="94">
        <f ca="1">TblProd[[#This Row],[Ore]]</f>
        <v>0</v>
      </c>
    </row>
    <row r="62" spans="1:65">
      <c r="A62" s="137">
        <f t="shared" si="0"/>
        <v>23</v>
      </c>
      <c r="B62" s="152">
        <f ca="1">TblImps[[#This Row],[Time]]</f>
        <v>45817.416666666526</v>
      </c>
      <c r="C62" s="153"/>
      <c r="D62" s="154"/>
      <c r="E62" s="94">
        <f ca="1">TblConstr[[#This Row],[Land]]</f>
        <v>50</v>
      </c>
      <c r="F62" s="94">
        <f ca="1">TblPop[[#This Row],[Peasants]]</f>
        <v>349</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122504</v>
      </c>
      <c r="I62" s="94">
        <f ca="1">OFFSET(TblProd[[#This Row],[Food]],-1,0)+OFFSET(TblProd[[#This Row],[Food/hr]],-1,0)+ROUNDUP((TblConstr[[#This Row],[Farms]]*80+TblConstr[[#This Row],[Docks]]*35)*(1+OFFSET(TblProd[[#This Row],[Bonus Food/hr]],-1,0)),0)</f>
        <v>113973</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942</v>
      </c>
      <c r="T62" s="94">
        <f ca="1">ROUND(TblProd[[#This Row],[Raw Food/hr]]*(1+TblProd[[#This Row],[Bonus Food/hr]])-TblProd[[#This Row],[Food decay]]-TblProd[[#This Row],[Food eaten]],0)</f>
        <v>1248</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942.30000000000007</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1139.73</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122504</v>
      </c>
      <c r="BJ62" s="94">
        <f ca="1">TblProd[[#This Row],[Food]]</f>
        <v>113973</v>
      </c>
      <c r="BK62" s="94">
        <f ca="1">TblProd[[#This Row],[Lumber]]</f>
        <v>52545</v>
      </c>
      <c r="BL62" s="94">
        <f ca="1">TblProd[[#This Row],[Mana]]</f>
        <v>0</v>
      </c>
      <c r="BM62" s="94">
        <f ca="1">TblProd[[#This Row],[Ore]]</f>
        <v>0</v>
      </c>
    </row>
    <row r="63" spans="1:65">
      <c r="A63" s="137">
        <f t="shared" si="0"/>
        <v>24</v>
      </c>
      <c r="B63" s="152">
        <f ca="1">TblImps[[#This Row],[Time]]</f>
        <v>45817.45833333319</v>
      </c>
      <c r="C63" s="153"/>
      <c r="D63" s="154"/>
      <c r="E63" s="94">
        <f ca="1">TblConstr[[#This Row],[Land]]</f>
        <v>50</v>
      </c>
      <c r="F63" s="94">
        <f ca="1">TblPop[[#This Row],[Peasants]]</f>
        <v>346</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123446</v>
      </c>
      <c r="I63" s="94">
        <f ca="1">OFFSET(TblProd[[#This Row],[Food]],-1,0)+OFFSET(TblProd[[#This Row],[Food/hr]],-1,0)+ROUNDUP((TblConstr[[#This Row],[Farms]]*80+TblConstr[[#This Row],[Docks]]*35)*(1+OFFSET(TblProd[[#This Row],[Bonus Food/hr]],-1,0)),0)</f>
        <v>115221</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934</v>
      </c>
      <c r="T63" s="94">
        <f ca="1">ROUND(TblProd[[#This Row],[Raw Food/hr]]*(1+TblProd[[#This Row],[Bonus Food/hr]])-TblProd[[#This Row],[Food decay]]-TblProd[[#This Row],[Food eaten]],0)</f>
        <v>1236</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934.2</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1152.21</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123446</v>
      </c>
      <c r="BJ63" s="94">
        <f ca="1">TblProd[[#This Row],[Food]]</f>
        <v>115221</v>
      </c>
      <c r="BK63" s="94">
        <f ca="1">TblProd[[#This Row],[Lumber]]</f>
        <v>53020</v>
      </c>
      <c r="BL63" s="94">
        <f ca="1">TblProd[[#This Row],[Mana]]</f>
        <v>0</v>
      </c>
      <c r="BM63" s="94">
        <f ca="1">TblProd[[#This Row],[Ore]]</f>
        <v>0</v>
      </c>
    </row>
    <row r="64" spans="1:65">
      <c r="A64" s="137">
        <f t="shared" si="0"/>
        <v>25</v>
      </c>
      <c r="B64" s="152">
        <f ca="1">TblImps[[#This Row],[Time]]</f>
        <v>45817.499999999854</v>
      </c>
      <c r="C64" s="153"/>
      <c r="D64" s="154"/>
      <c r="E64" s="94">
        <f ca="1">TblConstr[[#This Row],[Land]]</f>
        <v>50</v>
      </c>
      <c r="F64" s="94">
        <f ca="1">TblPop[[#This Row],[Peasants]]</f>
        <v>343</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124380</v>
      </c>
      <c r="I64" s="94">
        <f ca="1">OFFSET(TblProd[[#This Row],[Food]],-1,0)+OFFSET(TblProd[[#This Row],[Food/hr]],-1,0)+ROUNDUP((TblConstr[[#This Row],[Farms]]*80+TblConstr[[#This Row],[Docks]]*35)*(1+OFFSET(TblProd[[#This Row],[Bonus Food/hr]],-1,0)),0)</f>
        <v>116457</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926</v>
      </c>
      <c r="T64" s="94">
        <f ca="1">ROUND(TblProd[[#This Row],[Raw Food/hr]]*(1+TblProd[[#This Row],[Bonus Food/hr]])-TblProd[[#This Row],[Food decay]]-TblProd[[#This Row],[Food eaten]],0)</f>
        <v>1223</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926.1</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1164.57</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124380</v>
      </c>
      <c r="BJ64" s="94">
        <f ca="1">TblProd[[#This Row],[Food]]</f>
        <v>116457</v>
      </c>
      <c r="BK64" s="94">
        <f ca="1">TblProd[[#This Row],[Lumber]]</f>
        <v>53490</v>
      </c>
      <c r="BL64" s="94">
        <f ca="1">TblProd[[#This Row],[Mana]]</f>
        <v>0</v>
      </c>
      <c r="BM64" s="94">
        <f ca="1">TblProd[[#This Row],[Ore]]</f>
        <v>0</v>
      </c>
    </row>
    <row r="65" spans="1:65">
      <c r="A65" s="137">
        <f t="shared" si="0"/>
        <v>26</v>
      </c>
      <c r="B65" s="152">
        <f ca="1">TblImps[[#This Row],[Time]]</f>
        <v>45817.541666666519</v>
      </c>
      <c r="C65" s="153"/>
      <c r="D65" s="154"/>
      <c r="E65" s="94">
        <f ca="1">TblConstr[[#This Row],[Land]]</f>
        <v>50</v>
      </c>
      <c r="F65" s="94">
        <f ca="1">TblPop[[#This Row],[Peasants]]</f>
        <v>340</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125306</v>
      </c>
      <c r="I65" s="94">
        <f ca="1">OFFSET(TblProd[[#This Row],[Food]],-1,0)+OFFSET(TblProd[[#This Row],[Food/hr]],-1,0)+ROUNDUP((TblConstr[[#This Row],[Farms]]*80+TblConstr[[#This Row],[Docks]]*35)*(1+OFFSET(TblProd[[#This Row],[Bonus Food/hr]],-1,0)),0)</f>
        <v>117680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918</v>
      </c>
      <c r="T65" s="94">
        <f ca="1">ROUND(TblProd[[#This Row],[Raw Food/hr]]*(1+TblProd[[#This Row],[Bonus Food/hr]])-TblProd[[#This Row],[Food decay]]-TblProd[[#This Row],[Food eaten]],0)</f>
        <v>1211</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918.00000000000011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1176.8</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125306</v>
      </c>
      <c r="BJ65" s="94">
        <f ca="1">TblProd[[#This Row],[Food]]</f>
        <v>117680</v>
      </c>
      <c r="BK65" s="94">
        <f ca="1">TblProd[[#This Row],[Lumber]]</f>
        <v>53955</v>
      </c>
      <c r="BL65" s="94">
        <f ca="1">TblProd[[#This Row],[Mana]]</f>
        <v>0</v>
      </c>
      <c r="BM65" s="94">
        <f ca="1">TblProd[[#This Row],[Ore]]</f>
        <v>0</v>
      </c>
    </row>
    <row r="66" spans="1:65">
      <c r="A66" s="137">
        <f t="shared" si="0"/>
        <v>27</v>
      </c>
      <c r="B66" s="152">
        <f ca="1">TblImps[[#This Row],[Time]]</f>
        <v>45817.583333333183</v>
      </c>
      <c r="C66" s="153"/>
      <c r="D66" s="154"/>
      <c r="E66" s="94">
        <f ca="1">TblConstr[[#This Row],[Land]]</f>
        <v>50</v>
      </c>
      <c r="F66" s="94">
        <f ca="1">TblPop[[#This Row],[Peasants]]</f>
        <v>337</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126224</v>
      </c>
      <c r="I66" s="94">
        <f ca="1">OFFSET(TblProd[[#This Row],[Food]],-1,0)+OFFSET(TblProd[[#This Row],[Food/hr]],-1,0)+ROUNDUP((TblConstr[[#This Row],[Farms]]*80+TblConstr[[#This Row],[Docks]]*35)*(1+OFFSET(TblProd[[#This Row],[Bonus Food/hr]],-1,0)),0)</f>
        <v>118891</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909</v>
      </c>
      <c r="T66" s="94">
        <f ca="1">ROUND(TblProd[[#This Row],[Raw Food/hr]]*(1+TblProd[[#This Row],[Bonus Food/hr]])-TblProd[[#This Row],[Food decay]]-TblProd[[#This Row],[Food eaten]],0)</f>
        <v>1199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909.90000000000009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1188.9100000000001</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126224</v>
      </c>
      <c r="BJ66" s="94">
        <f ca="1">TblProd[[#This Row],[Food]]</f>
        <v>118891</v>
      </c>
      <c r="BK66" s="94">
        <f ca="1">TblProd[[#This Row],[Lumber]]</f>
        <v>54415</v>
      </c>
      <c r="BL66" s="94">
        <f ca="1">TblProd[[#This Row],[Mana]]</f>
        <v>0</v>
      </c>
      <c r="BM66" s="94">
        <f ca="1">TblProd[[#This Row],[Ore]]</f>
        <v>0</v>
      </c>
    </row>
    <row r="67" spans="1:65">
      <c r="A67" s="137">
        <f t="shared" si="0"/>
        <v>28</v>
      </c>
      <c r="B67" s="152">
        <f ca="1">TblImps[[#This Row],[Time]]</f>
        <v>45817.624999999847</v>
      </c>
      <c r="C67" s="153"/>
      <c r="D67" s="154"/>
      <c r="E67" s="94">
        <f ca="1">TblConstr[[#This Row],[Land]]</f>
        <v>50</v>
      </c>
      <c r="F67" s="94">
        <f ca="1">TblPop[[#This Row],[Peasants]]</f>
        <v>334</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127133</v>
      </c>
      <c r="I67" s="94">
        <f ca="1">OFFSET(TblProd[[#This Row],[Food]],-1,0)+OFFSET(TblProd[[#This Row],[Food/hr]],-1,0)+ROUNDUP((TblConstr[[#This Row],[Farms]]*80+TblConstr[[#This Row],[Docks]]*35)*(1+OFFSET(TblProd[[#This Row],[Bonus Food/hr]],-1,0)),0)</f>
        <v>120090</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901</v>
      </c>
      <c r="T67" s="94">
        <f ca="1">ROUND(TblProd[[#This Row],[Raw Food/hr]]*(1+TblProd[[#This Row],[Bonus Food/hr]])-TblProd[[#This Row],[Food decay]]-TblProd[[#This Row],[Food eaten]],0)</f>
        <v>1187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901.80000000000007</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1200.9000000000001</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127133</v>
      </c>
      <c r="BJ67" s="94">
        <f ca="1">TblProd[[#This Row],[Food]]</f>
        <v>120090</v>
      </c>
      <c r="BK67" s="94">
        <f ca="1">TblProd[[#This Row],[Lumber]]</f>
        <v>54871</v>
      </c>
      <c r="BL67" s="94">
        <f ca="1">TblProd[[#This Row],[Mana]]</f>
        <v>0</v>
      </c>
      <c r="BM67" s="94">
        <f ca="1">TblProd[[#This Row],[Ore]]</f>
        <v>0</v>
      </c>
    </row>
    <row r="68" spans="1:65">
      <c r="A68" s="137">
        <f t="shared" si="0"/>
        <v>29</v>
      </c>
      <c r="B68" s="152">
        <f ca="1">TblImps[[#This Row],[Time]]</f>
        <v>45817.666666666511</v>
      </c>
      <c r="C68" s="153"/>
      <c r="D68" s="154"/>
      <c r="E68" s="94">
        <f ca="1">TblConstr[[#This Row],[Land]]</f>
        <v>50</v>
      </c>
      <c r="F68" s="94">
        <f ca="1">TblPop[[#This Row],[Peasants]]</f>
        <v>331</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128034</v>
      </c>
      <c r="I68" s="94">
        <f ca="1">OFFSET(TblProd[[#This Row],[Food]],-1,0)+OFFSET(TblProd[[#This Row],[Food/hr]],-1,0)+ROUNDUP((TblConstr[[#This Row],[Farms]]*80+TblConstr[[#This Row],[Docks]]*35)*(1+OFFSET(TblProd[[#This Row],[Bonus Food/hr]],-1,0)),0)</f>
        <v>121277</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893</v>
      </c>
      <c r="T68" s="94">
        <f ca="1">ROUND(TblProd[[#This Row],[Raw Food/hr]]*(1+TblProd[[#This Row],[Bonus Food/hr]])-TblProd[[#This Row],[Food decay]]-TblProd[[#This Row],[Food eaten]],0)</f>
        <v>1175</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893.7</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1212.77</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128034</v>
      </c>
      <c r="BJ68" s="94">
        <f ca="1">TblProd[[#This Row],[Food]]</f>
        <v>121277</v>
      </c>
      <c r="BK68" s="94">
        <f ca="1">TblProd[[#This Row],[Lumber]]</f>
        <v>55322</v>
      </c>
      <c r="BL68" s="94">
        <f ca="1">TblProd[[#This Row],[Mana]]</f>
        <v>0</v>
      </c>
      <c r="BM68" s="94">
        <f ca="1">TblProd[[#This Row],[Ore]]</f>
        <v>0</v>
      </c>
    </row>
    <row r="69" spans="1:65">
      <c r="A69" s="137">
        <f t="shared" si="0"/>
        <v>30</v>
      </c>
      <c r="B69" s="152">
        <f ca="1">TblImps[[#This Row],[Time]]</f>
        <v>45817.708333333176</v>
      </c>
      <c r="C69" s="153"/>
      <c r="D69" s="154"/>
      <c r="E69" s="94">
        <f ca="1">TblConstr[[#This Row],[Land]]</f>
        <v>50</v>
      </c>
      <c r="F69" s="94">
        <f ca="1">TblPop[[#This Row],[Peasants]]</f>
        <v>328</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128927</v>
      </c>
      <c r="I69" s="94">
        <f ca="1">OFFSET(TblProd[[#This Row],[Food]],-1,0)+OFFSET(TblProd[[#This Row],[Food/hr]],-1,0)+ROUNDUP((TblConstr[[#This Row],[Farms]]*80+TblConstr[[#This Row],[Docks]]*35)*(1+OFFSET(TblProd[[#This Row],[Bonus Food/hr]],-1,0)),0)</f>
        <v>122452</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885</v>
      </c>
      <c r="T69" s="94">
        <f ca="1">ROUND(TblProd[[#This Row],[Raw Food/hr]]*(1+TblProd[[#This Row],[Bonus Food/hr]])-TblProd[[#This Row],[Food decay]]-TblProd[[#This Row],[Food eaten]],0)</f>
        <v>1163</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885.6</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1224.52</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128927</v>
      </c>
      <c r="BJ69" s="94">
        <f ca="1">TblProd[[#This Row],[Food]]</f>
        <v>122452</v>
      </c>
      <c r="BK69" s="94">
        <f ca="1">TblProd[[#This Row],[Lumber]]</f>
        <v>55769</v>
      </c>
      <c r="BL69" s="94">
        <f ca="1">TblProd[[#This Row],[Mana]]</f>
        <v>0</v>
      </c>
      <c r="BM69" s="94">
        <f ca="1">TblProd[[#This Row],[Ore]]</f>
        <v>0</v>
      </c>
    </row>
    <row r="70" spans="1:65">
      <c r="A70" s="137">
        <f t="shared" si="0"/>
        <v>31</v>
      </c>
      <c r="B70" s="152">
        <f ca="1">TblImps[[#This Row],[Time]]</f>
        <v>45817.74999999984</v>
      </c>
      <c r="C70" s="153"/>
      <c r="D70" s="154"/>
      <c r="E70" s="94">
        <f ca="1">TblConstr[[#This Row],[Land]]</f>
        <v>50</v>
      </c>
      <c r="F70" s="94">
        <f ca="1">TblPop[[#This Row],[Peasants]]</f>
        <v>325</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129812</v>
      </c>
      <c r="I70" s="94">
        <f ca="1">OFFSET(TblProd[[#This Row],[Food]],-1,0)+OFFSET(TblProd[[#This Row],[Food/hr]],-1,0)+ROUNDUP((TblConstr[[#This Row],[Farms]]*80+TblConstr[[#This Row],[Docks]]*35)*(1+OFFSET(TblProd[[#This Row],[Bonus Food/hr]],-1,0)),0)</f>
        <v>123615</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877</v>
      </c>
      <c r="T70" s="94">
        <f ca="1">ROUND(TblProd[[#This Row],[Raw Food/hr]]*(1+TblProd[[#This Row],[Bonus Food/hr]])-TblProd[[#This Row],[Food decay]]-TblProd[[#This Row],[Food eaten]],0)</f>
        <v>1152</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877.50000000000011</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1236.1500000000001</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129812</v>
      </c>
      <c r="BJ70" s="94">
        <f ca="1">TblProd[[#This Row],[Food]]</f>
        <v>123615</v>
      </c>
      <c r="BK70" s="94">
        <f ca="1">TblProd[[#This Row],[Lumber]]</f>
        <v>56211</v>
      </c>
      <c r="BL70" s="94">
        <f ca="1">TblProd[[#This Row],[Mana]]</f>
        <v>0</v>
      </c>
      <c r="BM70" s="94">
        <f ca="1">TblProd[[#This Row],[Ore]]</f>
        <v>0</v>
      </c>
    </row>
    <row r="71" spans="1:65">
      <c r="A71" s="137">
        <f t="shared" si="0"/>
        <v>32</v>
      </c>
      <c r="B71" s="152">
        <f ca="1">TblImps[[#This Row],[Time]]</f>
        <v>45817.791666666504</v>
      </c>
      <c r="C71" s="153"/>
      <c r="D71" s="154"/>
      <c r="E71" s="94">
        <f ca="1">TblConstr[[#This Row],[Land]]</f>
        <v>50</v>
      </c>
      <c r="F71" s="94">
        <f ca="1">TblPop[[#This Row],[Peasants]]</f>
        <v>322</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130689</v>
      </c>
      <c r="I71" s="94">
        <f ca="1">OFFSET(TblProd[[#This Row],[Food]],-1,0)+OFFSET(TblProd[[#This Row],[Food/hr]],-1,0)+ROUNDUP((TblConstr[[#This Row],[Farms]]*80+TblConstr[[#This Row],[Docks]]*35)*(1+OFFSET(TblProd[[#This Row],[Bonus Food/hr]],-1,0)),0)</f>
        <v>124767</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869</v>
      </c>
      <c r="T71" s="94">
        <f ca="1">ROUND(TblProd[[#This Row],[Raw Food/hr]]*(1+TblProd[[#This Row],[Bonus Food/hr]])-TblProd[[#This Row],[Food decay]]-TblProd[[#This Row],[Food eaten]],0)</f>
        <v>1140</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869.40000000000009</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1247.67</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130689</v>
      </c>
      <c r="BJ71" s="94">
        <f ca="1">TblProd[[#This Row],[Food]]</f>
        <v>124767</v>
      </c>
      <c r="BK71" s="94">
        <f ca="1">TblProd[[#This Row],[Lumber]]</f>
        <v>56649</v>
      </c>
      <c r="BL71" s="94">
        <f ca="1">TblProd[[#This Row],[Mana]]</f>
        <v>0</v>
      </c>
      <c r="BM71" s="94">
        <f ca="1">TblProd[[#This Row],[Ore]]</f>
        <v>0</v>
      </c>
    </row>
    <row r="72" spans="1:65">
      <c r="A72" s="137">
        <f t="shared" si="0"/>
        <v>33</v>
      </c>
      <c r="B72" s="152">
        <f ca="1">TblImps[[#This Row],[Time]]</f>
        <v>45817.833333333168</v>
      </c>
      <c r="C72" s="153"/>
      <c r="D72" s="154"/>
      <c r="E72" s="94">
        <f ca="1">TblConstr[[#This Row],[Land]]</f>
        <v>50</v>
      </c>
      <c r="F72" s="94">
        <f ca="1">TblPop[[#This Row],[Peasants]]</f>
        <v>319</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131558</v>
      </c>
      <c r="I72" s="94">
        <f ca="1">OFFSET(TblProd[[#This Row],[Food]],-1,0)+OFFSET(TblProd[[#This Row],[Food/hr]],-1,0)+ROUNDUP((TblConstr[[#This Row],[Farms]]*80+TblConstr[[#This Row],[Docks]]*35)*(1+OFFSET(TblProd[[#This Row],[Bonus Food/hr]],-1,0)),0)</f>
        <v>125907</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861</v>
      </c>
      <c r="T72" s="94">
        <f ca="1">ROUND(TblProd[[#This Row],[Raw Food/hr]]*(1+TblProd[[#This Row],[Bonus Food/hr]])-TblProd[[#This Row],[Food decay]]-TblProd[[#This Row],[Food eaten]],0)</f>
        <v>1129</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861.30000000000007</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1259.07</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131558</v>
      </c>
      <c r="BJ72" s="94">
        <f ca="1">TblProd[[#This Row],[Food]]</f>
        <v>125907</v>
      </c>
      <c r="BK72" s="94">
        <f ca="1">TblProd[[#This Row],[Lumber]]</f>
        <v>57083</v>
      </c>
      <c r="BL72" s="94">
        <f ca="1">TblProd[[#This Row],[Mana]]</f>
        <v>0</v>
      </c>
      <c r="BM72" s="94">
        <f ca="1">TblProd[[#This Row],[Ore]]</f>
        <v>0</v>
      </c>
    </row>
    <row r="73" spans="1:65">
      <c r="A73" s="137">
        <f t="shared" si="0"/>
        <v>34</v>
      </c>
      <c r="B73" s="152">
        <f ca="1">TblImps[[#This Row],[Time]]</f>
        <v>45817.874999999833</v>
      </c>
      <c r="C73" s="153"/>
      <c r="D73" s="154"/>
      <c r="E73" s="94">
        <f ca="1">TblConstr[[#This Row],[Land]]</f>
        <v>50</v>
      </c>
      <c r="F73" s="94">
        <f ca="1">TblPop[[#This Row],[Peasants]]</f>
        <v>316</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132419</v>
      </c>
      <c r="I73" s="94">
        <f ca="1">OFFSET(TblProd[[#This Row],[Food]],-1,0)+OFFSET(TblProd[[#This Row],[Food/hr]],-1,0)+ROUNDUP((TblConstr[[#This Row],[Farms]]*80+TblConstr[[#This Row],[Docks]]*35)*(1+OFFSET(TblProd[[#This Row],[Bonus Food/hr]],-1,0)),0)</f>
        <v>127036</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853</v>
      </c>
      <c r="T73" s="94">
        <f ca="1">ROUND(TblProd[[#This Row],[Raw Food/hr]]*(1+TblProd[[#This Row],[Bonus Food/hr]])-TblProd[[#This Row],[Food decay]]-TblProd[[#This Row],[Food eaten]],0)</f>
        <v>1117</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853.2</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1270.3600000000001</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132419</v>
      </c>
      <c r="BJ73" s="94">
        <f ca="1">TblProd[[#This Row],[Food]]</f>
        <v>127036</v>
      </c>
      <c r="BK73" s="94">
        <f ca="1">TblProd[[#This Row],[Lumber]]</f>
        <v>57512</v>
      </c>
      <c r="BL73" s="94">
        <f ca="1">TblProd[[#This Row],[Mana]]</f>
        <v>0</v>
      </c>
      <c r="BM73" s="94">
        <f ca="1">TblProd[[#This Row],[Ore]]</f>
        <v>0</v>
      </c>
    </row>
    <row r="74" spans="1:65">
      <c r="A74" s="137">
        <f t="shared" si="0"/>
        <v>35</v>
      </c>
      <c r="B74" s="152">
        <f ca="1">TblImps[[#This Row],[Time]]</f>
        <v>45817.916666666497</v>
      </c>
      <c r="C74" s="153"/>
      <c r="D74" s="154"/>
      <c r="E74" s="94">
        <f ca="1">TblConstr[[#This Row],[Land]]</f>
        <v>50</v>
      </c>
      <c r="F74" s="94">
        <f ca="1">TblPop[[#This Row],[Peasants]]</f>
        <v>313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133272</v>
      </c>
      <c r="I74" s="94">
        <f ca="1">OFFSET(TblProd[[#This Row],[Food]],-1,0)+OFFSET(TblProd[[#This Row],[Food/hr]],-1,0)+ROUNDUP((TblConstr[[#This Row],[Farms]]*80+TblConstr[[#This Row],[Docks]]*35)*(1+OFFSET(TblProd[[#This Row],[Bonus Food/hr]],-1,0)),0)</f>
        <v>128153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845</v>
      </c>
      <c r="T74" s="94">
        <f ca="1">ROUND(TblProd[[#This Row],[Raw Food/hr]]*(1+TblProd[[#This Row],[Bonus Food/hr]])-TblProd[[#This Row],[Food decay]]-TblProd[[#This Row],[Food eaten]],0)</f>
        <v>1106</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845.1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1281.53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133272</v>
      </c>
      <c r="BJ74" s="94">
        <f ca="1">TblProd[[#This Row],[Food]]</f>
        <v>128153</v>
      </c>
      <c r="BK74" s="94">
        <f ca="1">TblProd[[#This Row],[Lumber]]</f>
        <v>57937</v>
      </c>
      <c r="BL74" s="94">
        <f ca="1">TblProd[[#This Row],[Mana]]</f>
        <v>0</v>
      </c>
      <c r="BM74" s="94">
        <f ca="1">TblProd[[#This Row],[Ore]]</f>
        <v>0</v>
      </c>
    </row>
    <row r="75" spans="1:65">
      <c r="A75" s="137">
        <f t="shared" si="0"/>
        <v>36</v>
      </c>
      <c r="B75" s="152">
        <f ca="1">TblImps[[#This Row],[Time]]</f>
        <v>45817.958333333161</v>
      </c>
      <c r="C75" s="153"/>
      <c r="D75" s="154"/>
      <c r="E75" s="94">
        <f ca="1">TblConstr[[#This Row],[Land]]</f>
        <v>50</v>
      </c>
      <c r="F75" s="94">
        <f ca="1">TblPop[[#This Row],[Peasants]]</f>
        <v>310</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134117</v>
      </c>
      <c r="I75" s="94">
        <f ca="1">OFFSET(TblProd[[#This Row],[Food]],-1,0)+OFFSET(TblProd[[#This Row],[Food/hr]],-1,0)+ROUNDUP((TblConstr[[#This Row],[Farms]]*80+TblConstr[[#This Row],[Docks]]*35)*(1+OFFSET(TblProd[[#This Row],[Bonus Food/hr]],-1,0)),0)</f>
        <v>129259</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837</v>
      </c>
      <c r="T75" s="94">
        <f ca="1">ROUND(TblProd[[#This Row],[Raw Food/hr]]*(1+TblProd[[#This Row],[Bonus Food/hr]])-TblProd[[#This Row],[Food decay]]-TblProd[[#This Row],[Food eaten]],0)</f>
        <v>1095</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837</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1292.5899999999999</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134117</v>
      </c>
      <c r="BJ75" s="94">
        <f ca="1">TblProd[[#This Row],[Food]]</f>
        <v>129259</v>
      </c>
      <c r="BK75" s="94">
        <f ca="1">TblProd[[#This Row],[Lumber]]</f>
        <v>58358</v>
      </c>
      <c r="BL75" s="94">
        <f ca="1">TblProd[[#This Row],[Mana]]</f>
        <v>0</v>
      </c>
      <c r="BM75" s="94">
        <f ca="1">TblProd[[#This Row],[Ore]]</f>
        <v>0</v>
      </c>
    </row>
    <row r="76" spans="1:65">
      <c r="A76" s="137">
        <f t="shared" si="0"/>
        <v>37</v>
      </c>
      <c r="B76" s="152">
        <f ca="1">TblImps[[#This Row],[Time]]</f>
        <v>45817.999999999825</v>
      </c>
      <c r="C76" s="153"/>
      <c r="D76" s="154"/>
      <c r="E76" s="94">
        <f ca="1">TblConstr[[#This Row],[Land]]</f>
        <v>50</v>
      </c>
      <c r="F76" s="94">
        <f ca="1">TblPop[[#This Row],[Peasants]]</f>
        <v>307</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134954</v>
      </c>
      <c r="I76" s="94">
        <f ca="1">OFFSET(TblProd[[#This Row],[Food]],-1,0)+OFFSET(TblProd[[#This Row],[Food/hr]],-1,0)+ROUNDUP((TblConstr[[#This Row],[Farms]]*80+TblConstr[[#This Row],[Docks]]*35)*(1+OFFSET(TblProd[[#This Row],[Bonus Food/hr]],-1,0)),0)</f>
        <v>130354</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828</v>
      </c>
      <c r="T76" s="94">
        <f ca="1">ROUND(TblProd[[#This Row],[Raw Food/hr]]*(1+TblProd[[#This Row],[Bonus Food/hr]])-TblProd[[#This Row],[Food decay]]-TblProd[[#This Row],[Food eaten]],0)</f>
        <v>1084</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828.90000000000009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1303.54</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134954</v>
      </c>
      <c r="BJ76" s="94">
        <f ca="1">TblProd[[#This Row],[Food]]</f>
        <v>130354</v>
      </c>
      <c r="BK76" s="94">
        <f ca="1">TblProd[[#This Row],[Lumber]]</f>
        <v>58774</v>
      </c>
      <c r="BL76" s="94">
        <f ca="1">TblProd[[#This Row],[Mana]]</f>
        <v>0</v>
      </c>
      <c r="BM76" s="94">
        <f ca="1">TblProd[[#This Row],[Ore]]</f>
        <v>0</v>
      </c>
    </row>
    <row r="77" spans="1:65">
      <c r="A77" s="137">
        <f t="shared" si="0"/>
        <v>38</v>
      </c>
      <c r="B77" s="152">
        <f ca="1">TblImps[[#This Row],[Time]]</f>
        <v>45818.04166666649</v>
      </c>
      <c r="C77" s="153"/>
      <c r="D77" s="154"/>
      <c r="E77" s="94">
        <f ca="1">TblConstr[[#This Row],[Land]]</f>
        <v>50</v>
      </c>
      <c r="F77" s="94">
        <f ca="1">TblPop[[#This Row],[Peasants]]</f>
        <v>304</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135782</v>
      </c>
      <c r="I77" s="94">
        <f ca="1">OFFSET(TblProd[[#This Row],[Food]],-1,0)+OFFSET(TblProd[[#This Row],[Food/hr]],-1,0)+ROUNDUP((TblConstr[[#This Row],[Farms]]*80+TblConstr[[#This Row],[Docks]]*35)*(1+OFFSET(TblProd[[#This Row],[Bonus Food/hr]],-1,0)),0)</f>
        <v>131438</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820</v>
      </c>
      <c r="T77" s="94">
        <f ca="1">ROUND(TblProd[[#This Row],[Raw Food/hr]]*(1+TblProd[[#This Row],[Bonus Food/hr]])-TblProd[[#This Row],[Food decay]]-TblProd[[#This Row],[Food eaten]],0)</f>
        <v>1073</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820.80000000000007</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1314.38</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135782</v>
      </c>
      <c r="BJ77" s="94">
        <f ca="1">TblProd[[#This Row],[Food]]</f>
        <v>131438</v>
      </c>
      <c r="BK77" s="94">
        <f ca="1">TblProd[[#This Row],[Lumber]]</f>
        <v>59186</v>
      </c>
      <c r="BL77" s="94">
        <f ca="1">TblProd[[#This Row],[Mana]]</f>
        <v>0</v>
      </c>
      <c r="BM77" s="94">
        <f ca="1">TblProd[[#This Row],[Ore]]</f>
        <v>0</v>
      </c>
    </row>
    <row r="78" spans="1:65">
      <c r="A78" s="137">
        <f t="shared" si="0"/>
        <v>39</v>
      </c>
      <c r="B78" s="152">
        <f ca="1">TblImps[[#This Row],[Time]]</f>
        <v>45818.083333333154</v>
      </c>
      <c r="C78" s="153"/>
      <c r="D78" s="154"/>
      <c r="E78" s="94">
        <f ca="1">TblConstr[[#This Row],[Land]]</f>
        <v>50</v>
      </c>
      <c r="F78" s="94">
        <f ca="1">TblPop[[#This Row],[Peasants]]</f>
        <v>301</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136602</v>
      </c>
      <c r="I78" s="94">
        <f ca="1">OFFSET(TblProd[[#This Row],[Food]],-1,0)+OFFSET(TblProd[[#This Row],[Food/hr]],-1,0)+ROUNDUP((TblConstr[[#This Row],[Farms]]*80+TblConstr[[#This Row],[Docks]]*35)*(1+OFFSET(TblProd[[#This Row],[Bonus Food/hr]],-1,0)),0)</f>
        <v>132511</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812</v>
      </c>
      <c r="T78" s="94">
        <f ca="1">ROUND(TblProd[[#This Row],[Raw Food/hr]]*(1+TblProd[[#This Row],[Bonus Food/hr]])-TblProd[[#This Row],[Food decay]]-TblProd[[#This Row],[Food eaten]],0)</f>
        <v>1063</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812.7</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1325.1100000000001</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136602</v>
      </c>
      <c r="BJ78" s="94">
        <f ca="1">TblProd[[#This Row],[Food]]</f>
        <v>132511</v>
      </c>
      <c r="BK78" s="94">
        <f ca="1">TblProd[[#This Row],[Lumber]]</f>
        <v>59594</v>
      </c>
      <c r="BL78" s="94">
        <f ca="1">TblProd[[#This Row],[Mana]]</f>
        <v>0</v>
      </c>
      <c r="BM78" s="94">
        <f ca="1">TblProd[[#This Row],[Ore]]</f>
        <v>0</v>
      </c>
    </row>
    <row r="79" spans="1:65">
      <c r="A79" s="137">
        <f t="shared" si="0"/>
        <v>40</v>
      </c>
      <c r="B79" s="152">
        <f ca="1">TblImps[[#This Row],[Time]]</f>
        <v>45818.124999999818</v>
      </c>
      <c r="C79" s="153"/>
      <c r="D79" s="154"/>
      <c r="E79" s="94">
        <f ca="1">TblConstr[[#This Row],[Land]]</f>
        <v>50</v>
      </c>
      <c r="F79" s="94">
        <f ca="1">TblPop[[#This Row],[Peasants]]</f>
        <v>298</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137414</v>
      </c>
      <c r="I79" s="94">
        <f ca="1">OFFSET(TblProd[[#This Row],[Food]],-1,0)+OFFSET(TblProd[[#This Row],[Food/hr]],-1,0)+ROUNDUP((TblConstr[[#This Row],[Farms]]*80+TblConstr[[#This Row],[Docks]]*35)*(1+OFFSET(TblProd[[#This Row],[Bonus Food/hr]],-1,0)),0)</f>
        <v>133574</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804</v>
      </c>
      <c r="T79" s="94">
        <f ca="1">ROUND(TblProd[[#This Row],[Raw Food/hr]]*(1+TblProd[[#This Row],[Bonus Food/hr]])-TblProd[[#This Row],[Food decay]]-TblProd[[#This Row],[Food eaten]],0)</f>
        <v>1052</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804.6</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1335.74</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137414</v>
      </c>
      <c r="BJ79" s="94">
        <f ca="1">TblProd[[#This Row],[Food]]</f>
        <v>133574</v>
      </c>
      <c r="BK79" s="94">
        <f ca="1">TblProd[[#This Row],[Lumber]]</f>
        <v>59998</v>
      </c>
      <c r="BL79" s="94">
        <f ca="1">TblProd[[#This Row],[Mana]]</f>
        <v>0</v>
      </c>
      <c r="BM79" s="94">
        <f ca="1">TblProd[[#This Row],[Ore]]</f>
        <v>0</v>
      </c>
    </row>
    <row r="80" spans="1:65">
      <c r="A80" s="137">
        <f t="shared" si="0"/>
        <v>41</v>
      </c>
      <c r="B80" s="152">
        <f ca="1">TblImps[[#This Row],[Time]]</f>
        <v>45818.166666666482</v>
      </c>
      <c r="C80" s="153"/>
      <c r="D80" s="154"/>
      <c r="E80" s="94">
        <f ca="1">TblConstr[[#This Row],[Land]]</f>
        <v>50</v>
      </c>
      <c r="F80" s="94">
        <f ca="1">TblPop[[#This Row],[Peasants]]</f>
        <v>295</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138218</v>
      </c>
      <c r="I80" s="94">
        <f ca="1">OFFSET(TblProd[[#This Row],[Food]],-1,0)+OFFSET(TblProd[[#This Row],[Food/hr]],-1,0)+ROUNDUP((TblConstr[[#This Row],[Farms]]*80+TblConstr[[#This Row],[Docks]]*35)*(1+OFFSET(TblProd[[#This Row],[Bonus Food/hr]],-1,0)),0)</f>
        <v>134626</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796</v>
      </c>
      <c r="T80" s="94">
        <f ca="1">ROUND(TblProd[[#This Row],[Raw Food/hr]]*(1+TblProd[[#This Row],[Bonus Food/hr]])-TblProd[[#This Row],[Food decay]]-TblProd[[#This Row],[Food eaten]],0)</f>
        <v>1041</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796.5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1346.26</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138218</v>
      </c>
      <c r="BJ80" s="94">
        <f ca="1">TblProd[[#This Row],[Food]]</f>
        <v>134626</v>
      </c>
      <c r="BK80" s="94">
        <f ca="1">TblProd[[#This Row],[Lumber]]</f>
        <v>60398</v>
      </c>
      <c r="BL80" s="94">
        <f ca="1">TblProd[[#This Row],[Mana]]</f>
        <v>0</v>
      </c>
      <c r="BM80" s="94">
        <f ca="1">TblProd[[#This Row],[Ore]]</f>
        <v>0</v>
      </c>
    </row>
    <row r="81" spans="1:65">
      <c r="A81" s="137">
        <f t="shared" si="0"/>
        <v>42</v>
      </c>
      <c r="B81" s="152">
        <f ca="1">TblImps[[#This Row],[Time]]</f>
        <v>45818.208333333147</v>
      </c>
      <c r="C81" s="153"/>
      <c r="D81" s="154"/>
      <c r="E81" s="94">
        <f ca="1">TblConstr[[#This Row],[Land]]</f>
        <v>50</v>
      </c>
      <c r="F81" s="94">
        <f ca="1">TblPop[[#This Row],[Peasants]]</f>
        <v>292</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139014</v>
      </c>
      <c r="I81" s="94">
        <f ca="1">OFFSET(TblProd[[#This Row],[Food]],-1,0)+OFFSET(TblProd[[#This Row],[Food/hr]],-1,0)+ROUNDUP((TblConstr[[#This Row],[Farms]]*80+TblConstr[[#This Row],[Docks]]*35)*(1+OFFSET(TblProd[[#This Row],[Bonus Food/hr]],-1,0)),0)</f>
        <v>135667</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788</v>
      </c>
      <c r="T81" s="94">
        <f ca="1">ROUND(TblProd[[#This Row],[Raw Food/hr]]*(1+TblProd[[#This Row],[Bonus Food/hr]])-TblProd[[#This Row],[Food decay]]-TblProd[[#This Row],[Food eaten]],0)</f>
        <v>1031</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788.40000000000009</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1356.67</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139014</v>
      </c>
      <c r="BJ81" s="94">
        <f ca="1">TblProd[[#This Row],[Food]]</f>
        <v>135667</v>
      </c>
      <c r="BK81" s="94">
        <f ca="1">TblProd[[#This Row],[Lumber]]</f>
        <v>60794</v>
      </c>
      <c r="BL81" s="94">
        <f ca="1">TblProd[[#This Row],[Mana]]</f>
        <v>0</v>
      </c>
      <c r="BM81" s="94">
        <f ca="1">TblProd[[#This Row],[Ore]]</f>
        <v>0</v>
      </c>
    </row>
    <row r="82" spans="1:65">
      <c r="A82" s="137">
        <f t="shared" si="0"/>
        <v>43</v>
      </c>
      <c r="B82" s="152">
        <f ca="1">TblImps[[#This Row],[Time]]</f>
        <v>45818.249999999811</v>
      </c>
      <c r="C82" s="153"/>
      <c r="D82" s="154"/>
      <c r="E82" s="94">
        <f ca="1">TblConstr[[#This Row],[Land]]</f>
        <v>50</v>
      </c>
      <c r="F82" s="94">
        <f ca="1">TblPop[[#This Row],[Peasants]]</f>
        <v>289</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139802</v>
      </c>
      <c r="I82" s="94">
        <f ca="1">OFFSET(TblProd[[#This Row],[Food]],-1,0)+OFFSET(TblProd[[#This Row],[Food/hr]],-1,0)+ROUNDUP((TblConstr[[#This Row],[Farms]]*80+TblConstr[[#This Row],[Docks]]*35)*(1+OFFSET(TblProd[[#This Row],[Bonus Food/hr]],-1,0)),0)</f>
        <v>136698</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780</v>
      </c>
      <c r="T82" s="94">
        <f ca="1">ROUND(TblProd[[#This Row],[Raw Food/hr]]*(1+TblProd[[#This Row],[Bonus Food/hr]])-TblProd[[#This Row],[Food decay]]-TblProd[[#This Row],[Food eaten]],0)</f>
        <v>1021</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780.30000000000007</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1366.98</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139802</v>
      </c>
      <c r="BJ82" s="94">
        <f ca="1">TblProd[[#This Row],[Food]]</f>
        <v>136698</v>
      </c>
      <c r="BK82" s="94">
        <f ca="1">TblProd[[#This Row],[Lumber]]</f>
        <v>61186</v>
      </c>
      <c r="BL82" s="94">
        <f ca="1">TblProd[[#This Row],[Mana]]</f>
        <v>0</v>
      </c>
      <c r="BM82" s="94">
        <f ca="1">TblProd[[#This Row],[Ore]]</f>
        <v>0</v>
      </c>
    </row>
    <row r="83" spans="1:65">
      <c r="A83" s="137">
        <f t="shared" si="0"/>
        <v>44</v>
      </c>
      <c r="B83" s="152">
        <f ca="1">TblImps[[#This Row],[Time]]</f>
        <v>45818.291666666475</v>
      </c>
      <c r="C83" s="153"/>
      <c r="D83" s="154"/>
      <c r="E83" s="94">
        <f ca="1">TblConstr[[#This Row],[Land]]</f>
        <v>50</v>
      </c>
      <c r="F83" s="94">
        <f ca="1">TblPop[[#This Row],[Peasants]]</f>
        <v>286</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140582</v>
      </c>
      <c r="I83" s="94">
        <f ca="1">OFFSET(TblProd[[#This Row],[Food]],-1,0)+OFFSET(TblProd[[#This Row],[Food/hr]],-1,0)+ROUNDUP((TblConstr[[#This Row],[Farms]]*80+TblConstr[[#This Row],[Docks]]*35)*(1+OFFSET(TblProd[[#This Row],[Bonus Food/hr]],-1,0)),0)</f>
        <v>137719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772</v>
      </c>
      <c r="T83" s="94">
        <f ca="1">ROUND(TblProd[[#This Row],[Raw Food/hr]]*(1+TblProd[[#This Row],[Bonus Food/hr]])-TblProd[[#This Row],[Food decay]]-TblProd[[#This Row],[Food eaten]],0)</f>
        <v>1011</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772.2</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1377.19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140582</v>
      </c>
      <c r="BJ83" s="94">
        <f ca="1">TblProd[[#This Row],[Food]]</f>
        <v>137719</v>
      </c>
      <c r="BK83" s="94">
        <f ca="1">TblProd[[#This Row],[Lumber]]</f>
        <v>61574</v>
      </c>
      <c r="BL83" s="94">
        <f ca="1">TblProd[[#This Row],[Mana]]</f>
        <v>0</v>
      </c>
      <c r="BM83" s="94">
        <f ca="1">TblProd[[#This Row],[Ore]]</f>
        <v>0</v>
      </c>
    </row>
    <row r="84" spans="1:65">
      <c r="A84" s="137">
        <f t="shared" si="0"/>
        <v>45</v>
      </c>
      <c r="B84" s="152">
        <f ca="1">TblImps[[#This Row],[Time]]</f>
        <v>45818.333333333139</v>
      </c>
      <c r="C84" s="153"/>
      <c r="D84" s="154"/>
      <c r="E84" s="94">
        <f ca="1">TblConstr[[#This Row],[Land]]</f>
        <v>50</v>
      </c>
      <c r="F84" s="94">
        <f ca="1">TblPop[[#This Row],[Peasants]]</f>
        <v>283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141354</v>
      </c>
      <c r="I84" s="94">
        <f ca="1">OFFSET(TblProd[[#This Row],[Food]],-1,0)+OFFSET(TblProd[[#This Row],[Food/hr]],-1,0)+ROUNDUP((TblConstr[[#This Row],[Farms]]*80+TblConstr[[#This Row],[Docks]]*35)*(1+OFFSET(TblProd[[#This Row],[Bonus Food/hr]],-1,0)),0)</f>
        <v>138730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764</v>
      </c>
      <c r="T84" s="94">
        <f ca="1">ROUND(TblProd[[#This Row],[Raw Food/hr]]*(1+TblProd[[#This Row],[Bonus Food/hr]])-TblProd[[#This Row],[Food decay]]-TblProd[[#This Row],[Food eaten]],0)</f>
        <v>1000</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764.1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1387.3</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141354</v>
      </c>
      <c r="BJ84" s="94">
        <f ca="1">TblProd[[#This Row],[Food]]</f>
        <v>138730</v>
      </c>
      <c r="BK84" s="94">
        <f ca="1">TblProd[[#This Row],[Lumber]]</f>
        <v>61958</v>
      </c>
      <c r="BL84" s="94">
        <f ca="1">TblProd[[#This Row],[Mana]]</f>
        <v>0</v>
      </c>
      <c r="BM84" s="94">
        <f ca="1">TblProd[[#This Row],[Ore]]</f>
        <v>0</v>
      </c>
    </row>
    <row r="85" spans="1:65">
      <c r="A85" s="137">
        <f t="shared" si="0"/>
        <v>46</v>
      </c>
      <c r="B85" s="152">
        <f ca="1">TblImps[[#This Row],[Time]]</f>
        <v>45818.374999999804</v>
      </c>
      <c r="C85" s="153"/>
      <c r="D85" s="154"/>
      <c r="E85" s="94">
        <f ca="1">TblConstr[[#This Row],[Land]]</f>
        <v>50</v>
      </c>
      <c r="F85" s="94">
        <f ca="1">TblPop[[#This Row],[Peasants]]</f>
        <v>280</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142118</v>
      </c>
      <c r="I85" s="94">
        <f ca="1">OFFSET(TblProd[[#This Row],[Food]],-1,0)+OFFSET(TblProd[[#This Row],[Food/hr]],-1,0)+ROUNDUP((TblConstr[[#This Row],[Farms]]*80+TblConstr[[#This Row],[Docks]]*35)*(1+OFFSET(TblProd[[#This Row],[Bonus Food/hr]],-1,0)),0)</f>
        <v>139730</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756</v>
      </c>
      <c r="T85" s="94">
        <f ca="1">ROUND(TblProd[[#This Row],[Raw Food/hr]]*(1+TblProd[[#This Row],[Bonus Food/hr]])-TblProd[[#This Row],[Food decay]]-TblProd[[#This Row],[Food eaten]],0)</f>
        <v>990</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756</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1397.3</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142118</v>
      </c>
      <c r="BJ85" s="94">
        <f ca="1">TblProd[[#This Row],[Food]]</f>
        <v>139730</v>
      </c>
      <c r="BK85" s="94">
        <f ca="1">TblProd[[#This Row],[Lumber]]</f>
        <v>62338</v>
      </c>
      <c r="BL85" s="94">
        <f ca="1">TblProd[[#This Row],[Mana]]</f>
        <v>0</v>
      </c>
      <c r="BM85" s="94">
        <f ca="1">TblProd[[#This Row],[Ore]]</f>
        <v>0</v>
      </c>
    </row>
    <row r="86" spans="1:65">
      <c r="A86" s="137">
        <f t="shared" si="0"/>
        <v>47</v>
      </c>
      <c r="B86" s="152">
        <f ca="1">TblImps[[#This Row],[Time]]</f>
        <v>45818.416666666468</v>
      </c>
      <c r="C86" s="153"/>
      <c r="D86" s="154"/>
      <c r="E86" s="94">
        <f ca="1">TblConstr[[#This Row],[Land]]</f>
        <v>50</v>
      </c>
      <c r="F86" s="94">
        <f ca="1">TblPop[[#This Row],[Peasants]]</f>
        <v>277</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142874</v>
      </c>
      <c r="I86" s="94">
        <f ca="1">OFFSET(TblProd[[#This Row],[Food]],-1,0)+OFFSET(TblProd[[#This Row],[Food/hr]],-1,0)+ROUNDUP((TblConstr[[#This Row],[Farms]]*80+TblConstr[[#This Row],[Docks]]*35)*(1+OFFSET(TblProd[[#This Row],[Bonus Food/hr]],-1,0)),0)</f>
        <v>140720</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747</v>
      </c>
      <c r="T86" s="94">
        <f ca="1">ROUND(TblProd[[#This Row],[Raw Food/hr]]*(1+TblProd[[#This Row],[Bonus Food/hr]])-TblProd[[#This Row],[Food decay]]-TblProd[[#This Row],[Food eaten]],0)</f>
        <v>981</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747.90000000000009</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1407.2</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142874</v>
      </c>
      <c r="BJ86" s="94">
        <f ca="1">TblProd[[#This Row],[Food]]</f>
        <v>140720</v>
      </c>
      <c r="BK86" s="94">
        <f ca="1">TblProd[[#This Row],[Lumber]]</f>
        <v>62715</v>
      </c>
      <c r="BL86" s="94">
        <f ca="1">TblProd[[#This Row],[Mana]]</f>
        <v>0</v>
      </c>
      <c r="BM86" s="94">
        <f ca="1">TblProd[[#This Row],[Ore]]</f>
        <v>0</v>
      </c>
    </row>
    <row r="87" spans="1:65">
      <c r="A87" s="137">
        <f t="shared" si="0"/>
        <v>48</v>
      </c>
      <c r="B87" s="152">
        <f ca="1">TblImps[[#This Row],[Time]]</f>
        <v>45818.458333333132</v>
      </c>
      <c r="C87" s="153"/>
      <c r="D87" s="154"/>
      <c r="E87" s="94">
        <f ca="1">TblConstr[[#This Row],[Land]]</f>
        <v>50</v>
      </c>
      <c r="F87" s="94">
        <f ca="1">TblPop[[#This Row],[Peasants]]</f>
        <v>274</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143621</v>
      </c>
      <c r="I87" s="94">
        <f ca="1">OFFSET(TblProd[[#This Row],[Food]],-1,0)+OFFSET(TblProd[[#This Row],[Food/hr]],-1,0)+ROUNDUP((TblConstr[[#This Row],[Farms]]*80+TblConstr[[#This Row],[Docks]]*35)*(1+OFFSET(TblProd[[#This Row],[Bonus Food/hr]],-1,0)),0)</f>
        <v>141701</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739</v>
      </c>
      <c r="T87" s="94">
        <f ca="1">ROUND(TblProd[[#This Row],[Raw Food/hr]]*(1+TblProd[[#This Row],[Bonus Food/hr]])-TblProd[[#This Row],[Food decay]]-TblProd[[#This Row],[Food eaten]],0)</f>
        <v>971</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739.80000000000007</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1417.01</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143621</v>
      </c>
      <c r="BJ87" s="94">
        <f ca="1">TblProd[[#This Row],[Food]]</f>
        <v>141701</v>
      </c>
      <c r="BK87" s="94">
        <f ca="1">TblProd[[#This Row],[Lumber]]</f>
        <v>63088</v>
      </c>
      <c r="BL87" s="94">
        <f ca="1">TblProd[[#This Row],[Mana]]</f>
        <v>0</v>
      </c>
      <c r="BM87" s="94">
        <f ca="1">TblProd[[#This Row],[Ore]]</f>
        <v>0</v>
      </c>
    </row>
    <row r="88" spans="1:65">
      <c r="A88" s="137">
        <f t="shared" si="0"/>
        <v>49</v>
      </c>
      <c r="B88" s="152">
        <f ca="1">TblImps[[#This Row],[Time]]</f>
        <v>45818.499999999796</v>
      </c>
      <c r="C88" s="153"/>
      <c r="D88" s="154"/>
      <c r="E88" s="94">
        <f ca="1">TblConstr[[#This Row],[Land]]</f>
        <v>50</v>
      </c>
      <c r="F88" s="94">
        <f ca="1">TblPop[[#This Row],[Peasants]]</f>
        <v>271</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144360</v>
      </c>
      <c r="I88" s="94">
        <f ca="1">OFFSET(TblProd[[#This Row],[Food]],-1,0)+OFFSET(TblProd[[#This Row],[Food/hr]],-1,0)+ROUNDUP((TblConstr[[#This Row],[Farms]]*80+TblConstr[[#This Row],[Docks]]*35)*(1+OFFSET(TblProd[[#This Row],[Bonus Food/hr]],-1,0)),0)</f>
        <v>142672</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731</v>
      </c>
      <c r="T88" s="94">
        <f ca="1">ROUND(TblProd[[#This Row],[Raw Food/hr]]*(1+TblProd[[#This Row],[Bonus Food/hr]])-TblProd[[#This Row],[Food decay]]-TblProd[[#This Row],[Food eaten]],0)</f>
        <v>961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731.7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1426.72</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144360</v>
      </c>
      <c r="BJ88" s="94">
        <f ca="1">TblProd[[#This Row],[Food]]</f>
        <v>142672</v>
      </c>
      <c r="BK88" s="94">
        <f ca="1">TblProd[[#This Row],[Lumber]]</f>
        <v>63457</v>
      </c>
      <c r="BL88" s="94">
        <f ca="1">TblProd[[#This Row],[Mana]]</f>
        <v>0</v>
      </c>
      <c r="BM88" s="94">
        <f ca="1">TblProd[[#This Row],[Ore]]</f>
        <v>0</v>
      </c>
    </row>
    <row r="89" spans="1:65">
      <c r="A89" s="137">
        <f t="shared" si="0"/>
        <v>50</v>
      </c>
      <c r="B89" s="152">
        <f ca="1">TblImps[[#This Row],[Time]]</f>
        <v>45818.541666666461</v>
      </c>
      <c r="C89" s="153"/>
      <c r="D89" s="154"/>
      <c r="E89" s="94">
        <f ca="1">TblConstr[[#This Row],[Land]]</f>
        <v>50</v>
      </c>
      <c r="F89" s="94">
        <f ca="1">TblPop[[#This Row],[Peasants]]</f>
        <v>268</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145091</v>
      </c>
      <c r="I89" s="94">
        <f ca="1">OFFSET(TblProd[[#This Row],[Food]],-1,0)+OFFSET(TblProd[[#This Row],[Food/hr]],-1,0)+ROUNDUP((TblConstr[[#This Row],[Farms]]*80+TblConstr[[#This Row],[Docks]]*35)*(1+OFFSET(TblProd[[#This Row],[Bonus Food/hr]],-1,0)),0)</f>
        <v>143633</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723</v>
      </c>
      <c r="T89" s="94">
        <f ca="1">ROUND(TblProd[[#This Row],[Raw Food/hr]]*(1+TblProd[[#This Row],[Bonus Food/hr]])-TblProd[[#This Row],[Food decay]]-TblProd[[#This Row],[Food eaten]],0)</f>
        <v>951</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723.6</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1436.33</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145091</v>
      </c>
      <c r="BJ89" s="94">
        <f ca="1">TblProd[[#This Row],[Food]]</f>
        <v>143633</v>
      </c>
      <c r="BK89" s="94">
        <f ca="1">TblProd[[#This Row],[Lumber]]</f>
        <v>63822</v>
      </c>
      <c r="BL89" s="94">
        <f ca="1">TblProd[[#This Row],[Mana]]</f>
        <v>0</v>
      </c>
      <c r="BM89" s="94">
        <f ca="1">TblProd[[#This Row],[Ore]]</f>
        <v>0</v>
      </c>
    </row>
    <row r="90" spans="1:65">
      <c r="A90" s="137">
        <f t="shared" si="0"/>
        <v>51</v>
      </c>
      <c r="B90" s="152">
        <f ca="1">TblImps[[#This Row],[Time]]</f>
        <v>45818.583333333125</v>
      </c>
      <c r="C90" s="153"/>
      <c r="D90" s="154"/>
      <c r="E90" s="94">
        <f ca="1">TblConstr[[#This Row],[Land]]</f>
        <v>50</v>
      </c>
      <c r="F90" s="94">
        <f ca="1">TblPop[[#This Row],[Peasants]]</f>
        <v>265</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145814</v>
      </c>
      <c r="I90" s="94">
        <f ca="1">OFFSET(TblProd[[#This Row],[Food]],-1,0)+OFFSET(TblProd[[#This Row],[Food/hr]],-1,0)+ROUNDUP((TblConstr[[#This Row],[Farms]]*80+TblConstr[[#This Row],[Docks]]*35)*(1+OFFSET(TblProd[[#This Row],[Bonus Food/hr]],-1,0)),0)</f>
        <v>144584</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715</v>
      </c>
      <c r="T90" s="94">
        <f ca="1">ROUND(TblProd[[#This Row],[Raw Food/hr]]*(1+TblProd[[#This Row],[Bonus Food/hr]])-TblProd[[#This Row],[Food decay]]-TblProd[[#This Row],[Food eaten]],0)</f>
        <v>942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715.5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1445.84</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145814</v>
      </c>
      <c r="BJ90" s="94">
        <f ca="1">TblProd[[#This Row],[Food]]</f>
        <v>144584</v>
      </c>
      <c r="BK90" s="94">
        <f ca="1">TblProd[[#This Row],[Lumber]]</f>
        <v>64184</v>
      </c>
      <c r="BL90" s="94">
        <f ca="1">TblProd[[#This Row],[Mana]]</f>
        <v>0</v>
      </c>
      <c r="BM90" s="94">
        <f ca="1">TblProd[[#This Row],[Ore]]</f>
        <v>0</v>
      </c>
    </row>
    <row r="91" spans="1:65">
      <c r="A91" s="137">
        <f t="shared" si="0"/>
        <v>52</v>
      </c>
      <c r="B91" s="152">
        <f ca="1">TblImps[[#This Row],[Time]]</f>
        <v>45818.624999999789</v>
      </c>
      <c r="C91" s="153"/>
      <c r="D91" s="154"/>
      <c r="E91" s="94">
        <f ca="1">TblConstr[[#This Row],[Land]]</f>
        <v>50</v>
      </c>
      <c r="F91" s="94">
        <f ca="1">TblPop[[#This Row],[Peasants]]</f>
        <v>262</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146529</v>
      </c>
      <c r="I91" s="94">
        <f ca="1">OFFSET(TblProd[[#This Row],[Food]],-1,0)+OFFSET(TblProd[[#This Row],[Food/hr]],-1,0)+ROUNDUP((TblConstr[[#This Row],[Farms]]*80+TblConstr[[#This Row],[Docks]]*35)*(1+OFFSET(TblProd[[#This Row],[Bonus Food/hr]],-1,0)),0)</f>
        <v>145526</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707</v>
      </c>
      <c r="T91" s="94">
        <f ca="1">ROUND(TblProd[[#This Row],[Raw Food/hr]]*(1+TblProd[[#This Row],[Bonus Food/hr]])-TblProd[[#This Row],[Food decay]]-TblProd[[#This Row],[Food eaten]],0)</f>
        <v>932</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707.40000000000009</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1455.26</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146529</v>
      </c>
      <c r="BJ91" s="94">
        <f ca="1">TblProd[[#This Row],[Food]]</f>
        <v>145526</v>
      </c>
      <c r="BK91" s="94">
        <f ca="1">TblProd[[#This Row],[Lumber]]</f>
        <v>64542</v>
      </c>
      <c r="BL91" s="94">
        <f ca="1">TblProd[[#This Row],[Mana]]</f>
        <v>0</v>
      </c>
      <c r="BM91" s="94">
        <f ca="1">TblProd[[#This Row],[Ore]]</f>
        <v>0</v>
      </c>
    </row>
    <row r="92" spans="1:65">
      <c r="A92" s="137">
        <f t="shared" si="0"/>
        <v>53</v>
      </c>
      <c r="B92" s="152">
        <f ca="1">TblImps[[#This Row],[Time]]</f>
        <v>45818.666666666453</v>
      </c>
      <c r="C92" s="153"/>
      <c r="D92" s="154"/>
      <c r="E92" s="94">
        <f ca="1">TblConstr[[#This Row],[Land]]</f>
        <v>50</v>
      </c>
      <c r="F92" s="94">
        <f ca="1">TblPop[[#This Row],[Peasants]]</f>
        <v>259</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147236</v>
      </c>
      <c r="I92" s="94">
        <f ca="1">OFFSET(TblProd[[#This Row],[Food]],-1,0)+OFFSET(TblProd[[#This Row],[Food/hr]],-1,0)+ROUNDUP((TblConstr[[#This Row],[Farms]]*80+TblConstr[[#This Row],[Docks]]*35)*(1+OFFSET(TblProd[[#This Row],[Bonus Food/hr]],-1,0)),0)</f>
        <v>146458</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699</v>
      </c>
      <c r="T92" s="94">
        <f ca="1">ROUND(TblProd[[#This Row],[Raw Food/hr]]*(1+TblProd[[#This Row],[Bonus Food/hr]])-TblProd[[#This Row],[Food decay]]-TblProd[[#This Row],[Food eaten]],0)</f>
        <v>923</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699.30000000000007</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1464.58</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147236</v>
      </c>
      <c r="BJ92" s="94">
        <f ca="1">TblProd[[#This Row],[Food]]</f>
        <v>146458</v>
      </c>
      <c r="BK92" s="94">
        <f ca="1">TblProd[[#This Row],[Lumber]]</f>
        <v>64897</v>
      </c>
      <c r="BL92" s="94">
        <f ca="1">TblProd[[#This Row],[Mana]]</f>
        <v>0</v>
      </c>
      <c r="BM92" s="94">
        <f ca="1">TblProd[[#This Row],[Ore]]</f>
        <v>0</v>
      </c>
    </row>
    <row r="93" spans="1:65">
      <c r="A93" s="137">
        <f t="shared" si="0"/>
        <v>54</v>
      </c>
      <c r="B93" s="152">
        <f ca="1">TblImps[[#This Row],[Time]]</f>
        <v>45818.708333333117</v>
      </c>
      <c r="C93" s="153"/>
      <c r="D93" s="154"/>
      <c r="E93" s="94">
        <f ca="1">TblConstr[[#This Row],[Land]]</f>
        <v>50</v>
      </c>
      <c r="F93" s="94">
        <f ca="1">TblPop[[#This Row],[Peasants]]</f>
        <v>256</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147935</v>
      </c>
      <c r="I93" s="94">
        <f ca="1">OFFSET(TblProd[[#This Row],[Food]],-1,0)+OFFSET(TblProd[[#This Row],[Food/hr]],-1,0)+ROUNDUP((TblConstr[[#This Row],[Farms]]*80+TblConstr[[#This Row],[Docks]]*35)*(1+OFFSET(TblProd[[#This Row],[Bonus Food/hr]],-1,0)),0)</f>
        <v>147381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691</v>
      </c>
      <c r="T93" s="94">
        <f ca="1">ROUND(TblProd[[#This Row],[Raw Food/hr]]*(1+TblProd[[#This Row],[Bonus Food/hr]])-TblProd[[#This Row],[Food decay]]-TblProd[[#This Row],[Food eaten]],0)</f>
        <v>914</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691.2</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1473.81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147935</v>
      </c>
      <c r="BJ93" s="94">
        <f ca="1">TblProd[[#This Row],[Food]]</f>
        <v>147381</v>
      </c>
      <c r="BK93" s="94">
        <f ca="1">TblProd[[#This Row],[Lumber]]</f>
        <v>65248</v>
      </c>
      <c r="BL93" s="94">
        <f ca="1">TblProd[[#This Row],[Mana]]</f>
        <v>0</v>
      </c>
      <c r="BM93" s="94">
        <f ca="1">TblProd[[#This Row],[Ore]]</f>
        <v>0</v>
      </c>
    </row>
    <row r="94" spans="1:65">
      <c r="A94" s="137">
        <f t="shared" si="0"/>
        <v>55</v>
      </c>
      <c r="B94" s="152">
        <f ca="1">TblImps[[#This Row],[Time]]</f>
        <v>45818.749999999782</v>
      </c>
      <c r="C94" s="153"/>
      <c r="D94" s="154"/>
      <c r="E94" s="94">
        <f ca="1">TblConstr[[#This Row],[Land]]</f>
        <v>50</v>
      </c>
      <c r="F94" s="94">
        <f ca="1">TblPop[[#This Row],[Peasants]]</f>
        <v>253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148626</v>
      </c>
      <c r="I94" s="94">
        <f ca="1">OFFSET(TblProd[[#This Row],[Food]],-1,0)+OFFSET(TblProd[[#This Row],[Food/hr]],-1,0)+ROUNDUP((TblConstr[[#This Row],[Farms]]*80+TblConstr[[#This Row],[Docks]]*35)*(1+OFFSET(TblProd[[#This Row],[Bonus Food/hr]],-1,0)),0)</f>
        <v>148295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683</v>
      </c>
      <c r="T94" s="94">
        <f ca="1">ROUND(TblProd[[#This Row],[Raw Food/hr]]*(1+TblProd[[#This Row],[Bonus Food/hr]])-TblProd[[#This Row],[Food decay]]-TblProd[[#This Row],[Food eaten]],0)</f>
        <v>905</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683.1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1482.95</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148626</v>
      </c>
      <c r="BJ94" s="94">
        <f ca="1">TblProd[[#This Row],[Food]]</f>
        <v>148295</v>
      </c>
      <c r="BK94" s="94">
        <f ca="1">TblProd[[#This Row],[Lumber]]</f>
        <v>65596</v>
      </c>
      <c r="BL94" s="94">
        <f ca="1">TblProd[[#This Row],[Mana]]</f>
        <v>0</v>
      </c>
      <c r="BM94" s="94">
        <f ca="1">TblProd[[#This Row],[Ore]]</f>
        <v>0</v>
      </c>
    </row>
    <row r="95" spans="1:65">
      <c r="A95" s="137">
        <f t="shared" si="0"/>
        <v>56</v>
      </c>
      <c r="B95" s="152">
        <f ca="1">TblImps[[#This Row],[Time]]</f>
        <v>45818.791666666446</v>
      </c>
      <c r="C95" s="153"/>
      <c r="D95" s="154"/>
      <c r="E95" s="94">
        <f ca="1">TblConstr[[#This Row],[Land]]</f>
        <v>50</v>
      </c>
      <c r="F95" s="94">
        <f ca="1">TblPop[[#This Row],[Peasants]]</f>
        <v>250</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149309</v>
      </c>
      <c r="I95" s="94">
        <f ca="1">OFFSET(TblProd[[#This Row],[Food]],-1,0)+OFFSET(TblProd[[#This Row],[Food/hr]],-1,0)+ROUNDUP((TblConstr[[#This Row],[Farms]]*80+TblConstr[[#This Row],[Docks]]*35)*(1+OFFSET(TblProd[[#This Row],[Bonus Food/hr]],-1,0)),0)</f>
        <v>149200</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675</v>
      </c>
      <c r="T95" s="94">
        <f ca="1">ROUND(TblProd[[#This Row],[Raw Food/hr]]*(1+TblProd[[#This Row],[Bonus Food/hr]])-TblProd[[#This Row],[Food decay]]-TblProd[[#This Row],[Food eaten]],0)</f>
        <v>896</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675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1492</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149309</v>
      </c>
      <c r="BJ95" s="94">
        <f ca="1">TblProd[[#This Row],[Food]]</f>
        <v>149200</v>
      </c>
      <c r="BK95" s="94">
        <f ca="1">TblProd[[#This Row],[Lumber]]</f>
        <v>65940</v>
      </c>
      <c r="BL95" s="94">
        <f ca="1">TblProd[[#This Row],[Mana]]</f>
        <v>0</v>
      </c>
      <c r="BM95" s="94">
        <f ca="1">TblProd[[#This Row],[Ore]]</f>
        <v>0</v>
      </c>
    </row>
    <row r="96" spans="1:65">
      <c r="A96" s="137">
        <f t="shared" si="0"/>
        <v>57</v>
      </c>
      <c r="B96" s="152">
        <f ca="1">TblImps[[#This Row],[Time]]</f>
        <v>45818.83333333311</v>
      </c>
      <c r="C96" s="153"/>
      <c r="D96" s="154"/>
      <c r="E96" s="94">
        <f ca="1">TblConstr[[#This Row],[Land]]</f>
        <v>50</v>
      </c>
      <c r="F96" s="94">
        <f ca="1">TblPop[[#This Row],[Peasants]]</f>
        <v>247</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149984</v>
      </c>
      <c r="I96" s="94">
        <f ca="1">OFFSET(TblProd[[#This Row],[Food]],-1,0)+OFFSET(TblProd[[#This Row],[Food/hr]],-1,0)+ROUNDUP((TblConstr[[#This Row],[Farms]]*80+TblConstr[[#This Row],[Docks]]*35)*(1+OFFSET(TblProd[[#This Row],[Bonus Food/hr]],-1,0)),0)</f>
        <v>150096</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666</v>
      </c>
      <c r="T96" s="94">
        <f ca="1">ROUND(TblProd[[#This Row],[Raw Food/hr]]*(1+TblProd[[#This Row],[Bonus Food/hr]])-TblProd[[#This Row],[Food decay]]-TblProd[[#This Row],[Food eaten]],0)</f>
        <v>887</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666.90000000000009</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1500.96</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149984</v>
      </c>
      <c r="BJ96" s="94">
        <f ca="1">TblProd[[#This Row],[Food]]</f>
        <v>150096</v>
      </c>
      <c r="BK96" s="94">
        <f ca="1">TblProd[[#This Row],[Lumber]]</f>
        <v>66281</v>
      </c>
      <c r="BL96" s="94">
        <f ca="1">TblProd[[#This Row],[Mana]]</f>
        <v>0</v>
      </c>
      <c r="BM96" s="94">
        <f ca="1">TblProd[[#This Row],[Ore]]</f>
        <v>0</v>
      </c>
    </row>
    <row r="97" spans="1:65">
      <c r="A97" s="137">
        <f t="shared" si="0"/>
        <v>58</v>
      </c>
      <c r="B97" s="152">
        <f ca="1">TblImps[[#This Row],[Time]]</f>
        <v>45818.874999999774</v>
      </c>
      <c r="C97" s="153"/>
      <c r="D97" s="154"/>
      <c r="E97" s="94">
        <f ca="1">TblConstr[[#This Row],[Land]]</f>
        <v>50</v>
      </c>
      <c r="F97" s="94">
        <f ca="1">TblPop[[#This Row],[Peasants]]</f>
        <v>245</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150650</v>
      </c>
      <c r="I97" s="94">
        <f ca="1">OFFSET(TblProd[[#This Row],[Food]],-1,0)+OFFSET(TblProd[[#This Row],[Food/hr]],-1,0)+ROUNDUP((TblConstr[[#This Row],[Farms]]*80+TblConstr[[#This Row],[Docks]]*35)*(1+OFFSET(TblProd[[#This Row],[Bonus Food/hr]],-1,0)),0)</f>
        <v>150983</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661</v>
      </c>
      <c r="T97" s="94">
        <f ca="1">ROUND(TblProd[[#This Row],[Raw Food/hr]]*(1+TblProd[[#This Row],[Bonus Food/hr]])-TblProd[[#This Row],[Food decay]]-TblProd[[#This Row],[Food eaten]],0)</f>
        <v>878</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661.5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1509.83</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150650</v>
      </c>
      <c r="BJ97" s="94">
        <f ca="1">TblProd[[#This Row],[Food]]</f>
        <v>150983</v>
      </c>
      <c r="BK97" s="94">
        <f ca="1">TblProd[[#This Row],[Lumber]]</f>
        <v>66618</v>
      </c>
      <c r="BL97" s="94">
        <f ca="1">TblProd[[#This Row],[Mana]]</f>
        <v>0</v>
      </c>
      <c r="BM97" s="94">
        <f ca="1">TblProd[[#This Row],[Ore]]</f>
        <v>0</v>
      </c>
    </row>
    <row r="98" spans="1:65">
      <c r="A98" s="137">
        <f t="shared" si="0"/>
        <v>59</v>
      </c>
      <c r="B98" s="152">
        <f ca="1">TblImps[[#This Row],[Time]]</f>
        <v>45818.916666666439</v>
      </c>
      <c r="C98" s="153"/>
      <c r="D98" s="154"/>
      <c r="E98" s="94">
        <f ca="1">TblConstr[[#This Row],[Land]]</f>
        <v>50</v>
      </c>
      <c r="F98" s="94">
        <f ca="1">TblPop[[#This Row],[Peasants]]</f>
        <v>243</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151311</v>
      </c>
      <c r="I98" s="94">
        <f ca="1">OFFSET(TblProd[[#This Row],[Food]],-1,0)+OFFSET(TblProd[[#This Row],[Food/hr]],-1,0)+ROUNDUP((TblConstr[[#This Row],[Farms]]*80+TblConstr[[#This Row],[Docks]]*35)*(1+OFFSET(TblProd[[#This Row],[Bonus Food/hr]],-1,0)),0)</f>
        <v>151861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656</v>
      </c>
      <c r="T98" s="94">
        <f ca="1">ROUND(TblProd[[#This Row],[Raw Food/hr]]*(1+TblProd[[#This Row],[Bonus Food/hr]])-TblProd[[#This Row],[Food decay]]-TblProd[[#This Row],[Food eaten]],0)</f>
        <v>869</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656.1</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1518.6100000000001</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151311</v>
      </c>
      <c r="BJ98" s="94">
        <f ca="1">TblProd[[#This Row],[Food]]</f>
        <v>151861</v>
      </c>
      <c r="BK98" s="94">
        <f ca="1">TblProd[[#This Row],[Lumber]]</f>
        <v>66952</v>
      </c>
      <c r="BL98" s="94">
        <f ca="1">TblProd[[#This Row],[Mana]]</f>
        <v>0</v>
      </c>
      <c r="BM98" s="94">
        <f ca="1">TblProd[[#This Row],[Ore]]</f>
        <v>0</v>
      </c>
    </row>
    <row r="99" spans="1:65">
      <c r="A99" s="137">
        <f t="shared" si="0"/>
        <v>60</v>
      </c>
      <c r="B99" s="152">
        <f ca="1">TblImps[[#This Row],[Time]]</f>
        <v>45818.958333333103</v>
      </c>
      <c r="C99" s="153"/>
      <c r="D99" s="154"/>
      <c r="E99" s="94">
        <f ca="1">TblConstr[[#This Row],[Land]]</f>
        <v>50</v>
      </c>
      <c r="F99" s="94">
        <f ca="1">TblPop[[#This Row],[Peasants]]</f>
        <v>241</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151967</v>
      </c>
      <c r="I99" s="94">
        <f ca="1">OFFSET(TblProd[[#This Row],[Food]],-1,0)+OFFSET(TblProd[[#This Row],[Food/hr]],-1,0)+ROUNDUP((TblConstr[[#This Row],[Farms]]*80+TblConstr[[#This Row],[Docks]]*35)*(1+OFFSET(TblProd[[#This Row],[Bonus Food/hr]],-1,0)),0)</f>
        <v>152730</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650</v>
      </c>
      <c r="T99" s="94">
        <f ca="1">ROUND(TblProd[[#This Row],[Raw Food/hr]]*(1+TblProd[[#This Row],[Bonus Food/hr]])-TblProd[[#This Row],[Food decay]]-TblProd[[#This Row],[Food eaten]],0)</f>
        <v>860</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650.70000000000005</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1527.3</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151967</v>
      </c>
      <c r="BJ99" s="94">
        <f ca="1">TblProd[[#This Row],[Food]]</f>
        <v>152730</v>
      </c>
      <c r="BK99" s="94">
        <f ca="1">TblProd[[#This Row],[Lumber]]</f>
        <v>67282</v>
      </c>
      <c r="BL99" s="94">
        <f ca="1">TblProd[[#This Row],[Mana]]</f>
        <v>0</v>
      </c>
      <c r="BM99" s="94">
        <f ca="1">TblProd[[#This Row],[Ore]]</f>
        <v>0</v>
      </c>
    </row>
    <row r="100" spans="1:65">
      <c r="A100" s="137">
        <f t="shared" si="0"/>
        <v>61</v>
      </c>
      <c r="B100" s="152">
        <f ca="1">TblImps[[#This Row],[Time]]</f>
        <v>45818.999999999767</v>
      </c>
      <c r="C100" s="153"/>
      <c r="D100" s="154"/>
      <c r="E100" s="94">
        <f ca="1">TblConstr[[#This Row],[Land]]</f>
        <v>50</v>
      </c>
      <c r="F100" s="94">
        <f ca="1">TblPop[[#This Row],[Peasants]]</f>
        <v>239</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152617</v>
      </c>
      <c r="I100" s="94">
        <f ca="1">OFFSET(TblProd[[#This Row],[Food]],-1,0)+OFFSET(TblProd[[#This Row],[Food/hr]],-1,0)+ROUNDUP((TblConstr[[#This Row],[Farms]]*80+TblConstr[[#This Row],[Docks]]*35)*(1+OFFSET(TblProd[[#This Row],[Bonus Food/hr]],-1,0)),0)</f>
        <v>153590</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645</v>
      </c>
      <c r="T100" s="94">
        <f ca="1">ROUND(TblProd[[#This Row],[Raw Food/hr]]*(1+TblProd[[#This Row],[Bonus Food/hr]])-TblProd[[#This Row],[Food decay]]-TblProd[[#This Row],[Food eaten]],0)</f>
        <v>852</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645.30000000000007</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1535.9</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152617</v>
      </c>
      <c r="BJ100" s="94">
        <f ca="1">TblProd[[#This Row],[Food]]</f>
        <v>153590</v>
      </c>
      <c r="BK100" s="94">
        <f ca="1">TblProd[[#This Row],[Lumber]]</f>
        <v>67609</v>
      </c>
      <c r="BL100" s="94">
        <f ca="1">TblProd[[#This Row],[Mana]]</f>
        <v>0</v>
      </c>
      <c r="BM100" s="94">
        <f ca="1">TblProd[[#This Row],[Ore]]</f>
        <v>0</v>
      </c>
    </row>
    <row r="101" spans="1:65">
      <c r="A101" s="137">
        <f t="shared" si="0"/>
        <v>62</v>
      </c>
      <c r="B101" s="152">
        <f ca="1">TblImps[[#This Row],[Time]]</f>
        <v>45819.041666666431</v>
      </c>
      <c r="C101" s="153"/>
      <c r="D101" s="154"/>
      <c r="E101" s="94">
        <f ca="1">TblConstr[[#This Row],[Land]]</f>
        <v>50</v>
      </c>
      <c r="F101" s="94">
        <f ca="1">TblPop[[#This Row],[Peasants]]</f>
        <v>237</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153262</v>
      </c>
      <c r="I101" s="94">
        <f ca="1">OFFSET(TblProd[[#This Row],[Food]],-1,0)+OFFSET(TblProd[[#This Row],[Food/hr]],-1,0)+ROUNDUP((TblConstr[[#This Row],[Farms]]*80+TblConstr[[#This Row],[Docks]]*35)*(1+OFFSET(TblProd[[#This Row],[Bonus Food/hr]],-1,0)),0)</f>
        <v>154442</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639</v>
      </c>
      <c r="T101" s="94">
        <f ca="1">ROUND(TblProd[[#This Row],[Raw Food/hr]]*(1+TblProd[[#This Row],[Bonus Food/hr]])-TblProd[[#This Row],[Food decay]]-TblProd[[#This Row],[Food eaten]],0)</f>
        <v>843</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639.90000000000009</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1544.42</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153262</v>
      </c>
      <c r="BJ101" s="94">
        <f ca="1">TblProd[[#This Row],[Food]]</f>
        <v>154442</v>
      </c>
      <c r="BK101" s="94">
        <f ca="1">TblProd[[#This Row],[Lumber]]</f>
        <v>67933</v>
      </c>
      <c r="BL101" s="94">
        <f ca="1">TblProd[[#This Row],[Mana]]</f>
        <v>0</v>
      </c>
      <c r="BM101" s="94">
        <f ca="1">TblProd[[#This Row],[Ore]]</f>
        <v>0</v>
      </c>
    </row>
    <row r="102" spans="1:65">
      <c r="A102" s="137">
        <f t="shared" si="0"/>
        <v>63</v>
      </c>
      <c r="B102" s="152">
        <f ca="1">TblImps[[#This Row],[Time]]</f>
        <v>45819.083333333096</v>
      </c>
      <c r="C102" s="153"/>
      <c r="D102" s="154"/>
      <c r="E102" s="94">
        <f ca="1">TblConstr[[#This Row],[Land]]</f>
        <v>50</v>
      </c>
      <c r="F102" s="94">
        <f ca="1">TblPop[[#This Row],[Peasants]]</f>
        <v>235</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153901</v>
      </c>
      <c r="I102" s="94">
        <f ca="1">OFFSET(TblProd[[#This Row],[Food]],-1,0)+OFFSET(TblProd[[#This Row],[Food/hr]],-1,0)+ROUNDUP((TblConstr[[#This Row],[Farms]]*80+TblConstr[[#This Row],[Docks]]*35)*(1+OFFSET(TblProd[[#This Row],[Bonus Food/hr]],-1,0)),0)</f>
        <v>155285</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634</v>
      </c>
      <c r="T102" s="94">
        <f ca="1">ROUND(TblProd[[#This Row],[Raw Food/hr]]*(1+TblProd[[#This Row],[Bonus Food/hr]])-TblProd[[#This Row],[Food decay]]-TblProd[[#This Row],[Food eaten]],0)</f>
        <v>835</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634.5</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1552.8500000000001</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153901</v>
      </c>
      <c r="BJ102" s="94">
        <f ca="1">TblProd[[#This Row],[Food]]</f>
        <v>155285</v>
      </c>
      <c r="BK102" s="94">
        <f ca="1">TblProd[[#This Row],[Lumber]]</f>
        <v>68254</v>
      </c>
      <c r="BL102" s="94">
        <f ca="1">TblProd[[#This Row],[Mana]]</f>
        <v>0</v>
      </c>
      <c r="BM102" s="94">
        <f ca="1">TblProd[[#This Row],[Ore]]</f>
        <v>0</v>
      </c>
    </row>
    <row r="103" spans="1:65">
      <c r="A103" s="137">
        <f t="shared" si="0"/>
        <v>64</v>
      </c>
      <c r="B103" s="152">
        <f ca="1">TblImps[[#This Row],[Time]]</f>
        <v>45819.12499999976</v>
      </c>
      <c r="C103" s="153"/>
      <c r="D103" s="154"/>
      <c r="E103" s="94">
        <f ca="1">TblConstr[[#This Row],[Land]]</f>
        <v>50</v>
      </c>
      <c r="F103" s="94">
        <f ca="1">TblPop[[#This Row],[Peasants]]</f>
        <v>233</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154535</v>
      </c>
      <c r="I103" s="94">
        <f ca="1">OFFSET(TblProd[[#This Row],[Food]],-1,0)+OFFSET(TblProd[[#This Row],[Food/hr]],-1,0)+ROUNDUP((TblConstr[[#This Row],[Farms]]*80+TblConstr[[#This Row],[Docks]]*35)*(1+OFFSET(TblProd[[#This Row],[Bonus Food/hr]],-1,0)),0)</f>
        <v>156120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629</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629.1</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1561.2</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154535</v>
      </c>
      <c r="BJ103" s="94">
        <f ca="1">TblProd[[#This Row],[Food]]</f>
        <v>156120</v>
      </c>
      <c r="BK103" s="94">
        <f ca="1">TblProd[[#This Row],[Lumber]]</f>
        <v>68571</v>
      </c>
      <c r="BL103" s="94">
        <f ca="1">TblProd[[#This Row],[Mana]]</f>
        <v>0</v>
      </c>
      <c r="BM103" s="94">
        <f ca="1">TblProd[[#This Row],[Ore]]</f>
        <v>0</v>
      </c>
    </row>
    <row r="104" spans="1:65">
      <c r="A104" s="137">
        <f t="shared" si="0"/>
        <v>65</v>
      </c>
      <c r="B104" s="152">
        <f ca="1">TblImps[[#This Row],[Time]]</f>
        <v>45819.166666666424</v>
      </c>
      <c r="C104" s="153"/>
      <c r="D104" s="154"/>
      <c r="E104" s="94">
        <f ca="1">TblConstr[[#This Row],[Land]]</f>
        <v>50</v>
      </c>
      <c r="F104" s="94">
        <f ca="1">TblPop[[#This Row],[Peasants]]</f>
        <v>231</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155164</v>
      </c>
      <c r="I104" s="94">
        <f ca="1">OFFSET(TblProd[[#This Row],[Food]],-1,0)+OFFSET(TblProd[[#This Row],[Food/hr]],-1,0)+ROUNDUP((TblConstr[[#This Row],[Farms]]*80+TblConstr[[#This Row],[Docks]]*35)*(1+OFFSET(TblProd[[#This Row],[Bonus Food/hr]],-1,0)),0)</f>
        <v>156947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623</v>
      </c>
      <c r="T104" s="94">
        <f ca="1">ROUND(TblProd[[#This Row],[Raw Food/hr]]*(1+TblProd[[#This Row],[Bonus Food/hr]])-TblProd[[#This Row],[Food decay]]-TblProd[[#This Row],[Food eaten]],0)</f>
        <v>818</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623.70000000000005</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1569.47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155164</v>
      </c>
      <c r="BJ104" s="94">
        <f ca="1">TblProd[[#This Row],[Food]]</f>
        <v>156947</v>
      </c>
      <c r="BK104" s="94">
        <f ca="1">TblProd[[#This Row],[Lumber]]</f>
        <v>68885</v>
      </c>
      <c r="BL104" s="94">
        <f ca="1">TblProd[[#This Row],[Mana]]</f>
        <v>0</v>
      </c>
      <c r="BM104" s="94">
        <f ca="1">TblProd[[#This Row],[Ore]]</f>
        <v>0</v>
      </c>
    </row>
    <row r="105" spans="1:65">
      <c r="A105" s="137">
        <f t="shared" si="0"/>
        <v>66</v>
      </c>
      <c r="B105" s="152">
        <f ca="1">TblImps[[#This Row],[Time]]</f>
        <v>45819.208333333088</v>
      </c>
      <c r="C105" s="153"/>
      <c r="D105" s="154"/>
      <c r="E105" s="94">
        <f ca="1">TblConstr[[#This Row],[Land]]</f>
        <v>50</v>
      </c>
      <c r="F105" s="94">
        <f ca="1">TblPop[[#This Row],[Peasants]]</f>
        <v>229</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155787</v>
      </c>
      <c r="I105" s="94">
        <f ca="1">OFFSET(TblProd[[#This Row],[Food]],-1,0)+OFFSET(TblProd[[#This Row],[Food/hr]],-1,0)+ROUNDUP((TblConstr[[#This Row],[Farms]]*80+TblConstr[[#This Row],[Docks]]*35)*(1+OFFSET(TblProd[[#This Row],[Bonus Food/hr]],-1,0)),0)</f>
        <v>157765</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618</v>
      </c>
      <c r="T105" s="94">
        <f ca="1">ROUND(TblProd[[#This Row],[Raw Food/hr]]*(1+TblProd[[#This Row],[Bonus Food/hr]])-TblProd[[#This Row],[Food decay]]-TblProd[[#This Row],[Food eaten]],0)</f>
        <v>810</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618.30000000000007</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1577.65</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155787</v>
      </c>
      <c r="BJ105" s="94">
        <f ca="1">TblProd[[#This Row],[Food]]</f>
        <v>157765</v>
      </c>
      <c r="BK105" s="94">
        <f ca="1">TblProd[[#This Row],[Lumber]]</f>
        <v>69196</v>
      </c>
      <c r="BL105" s="94">
        <f ca="1">TblProd[[#This Row],[Mana]]</f>
        <v>0</v>
      </c>
      <c r="BM105" s="94">
        <f ca="1">TblProd[[#This Row],[Ore]]</f>
        <v>0</v>
      </c>
    </row>
    <row r="106" spans="1:65">
      <c r="A106" s="137">
        <f t="shared" si="0"/>
        <v>67</v>
      </c>
      <c r="B106" s="152">
        <f ca="1">TblImps[[#This Row],[Time]]</f>
        <v>45819.249999999753</v>
      </c>
      <c r="C106" s="153"/>
      <c r="D106" s="154"/>
      <c r="E106" s="94">
        <f ca="1">TblConstr[[#This Row],[Land]]</f>
        <v>50</v>
      </c>
      <c r="F106" s="94">
        <f ca="1">TblPop[[#This Row],[Peasants]]</f>
        <v>227</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156405</v>
      </c>
      <c r="I106" s="94">
        <f ca="1">OFFSET(TblProd[[#This Row],[Food]],-1,0)+OFFSET(TblProd[[#This Row],[Food/hr]],-1,0)+ROUNDUP((TblConstr[[#This Row],[Farms]]*80+TblConstr[[#This Row],[Docks]]*35)*(1+OFFSET(TblProd[[#This Row],[Bonus Food/hr]],-1,0)),0)</f>
        <v>158575</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612</v>
      </c>
      <c r="T106" s="94">
        <f ca="1">ROUND(TblProd[[#This Row],[Raw Food/hr]]*(1+TblProd[[#This Row],[Bonus Food/hr]])-TblProd[[#This Row],[Food decay]]-TblProd[[#This Row],[Food eaten]],0)</f>
        <v>802</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612.90000000000009</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1585.75</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156405</v>
      </c>
      <c r="BJ106" s="94">
        <f ca="1">TblProd[[#This Row],[Food]]</f>
        <v>158575</v>
      </c>
      <c r="BK106" s="94">
        <f ca="1">TblProd[[#This Row],[Lumber]]</f>
        <v>69504</v>
      </c>
      <c r="BL106" s="94">
        <f ca="1">TblProd[[#This Row],[Mana]]</f>
        <v>0</v>
      </c>
      <c r="BM106" s="94">
        <f ca="1">TblProd[[#This Row],[Ore]]</f>
        <v>0</v>
      </c>
    </row>
    <row r="107" spans="1:65">
      <c r="A107" s="137">
        <f t="shared" ref="A107:A136" si="1">A106+1</f>
        <v>68</v>
      </c>
      <c r="B107" s="152">
        <f ca="1">TblImps[[#This Row],[Time]]</f>
        <v>45819.291666666417</v>
      </c>
      <c r="C107" s="153"/>
      <c r="D107" s="154"/>
      <c r="E107" s="94">
        <f ca="1">TblConstr[[#This Row],[Land]]</f>
        <v>50</v>
      </c>
      <c r="F107" s="94">
        <f ca="1">TblPop[[#This Row],[Peasants]]</f>
        <v>225</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157017</v>
      </c>
      <c r="I107" s="94">
        <f ca="1">OFFSET(TblProd[[#This Row],[Food]],-1,0)+OFFSET(TblProd[[#This Row],[Food/hr]],-1,0)+ROUNDUP((TblConstr[[#This Row],[Farms]]*80+TblConstr[[#This Row],[Docks]]*35)*(1+OFFSET(TblProd[[#This Row],[Bonus Food/hr]],-1,0)),0)</f>
        <v>159377</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607</v>
      </c>
      <c r="T107" s="94">
        <f ca="1">ROUND(TblProd[[#This Row],[Raw Food/hr]]*(1+TblProd[[#This Row],[Bonus Food/hr]])-TblProd[[#This Row],[Food decay]]-TblProd[[#This Row],[Food eaten]],0)</f>
        <v>794</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607.5</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1593.77</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157017</v>
      </c>
      <c r="BJ107" s="94">
        <f ca="1">TblProd[[#This Row],[Food]]</f>
        <v>159377</v>
      </c>
      <c r="BK107" s="94">
        <f ca="1">TblProd[[#This Row],[Lumber]]</f>
        <v>69809</v>
      </c>
      <c r="BL107" s="94">
        <f ca="1">TblProd[[#This Row],[Mana]]</f>
        <v>0</v>
      </c>
      <c r="BM107" s="94">
        <f ca="1">TblProd[[#This Row],[Ore]]</f>
        <v>0</v>
      </c>
    </row>
    <row r="108" spans="1:65">
      <c r="A108" s="137">
        <f t="shared" si="1"/>
        <v>69</v>
      </c>
      <c r="B108" s="152">
        <f ca="1">TblImps[[#This Row],[Time]]</f>
        <v>45819.333333333081</v>
      </c>
      <c r="C108" s="153"/>
      <c r="D108" s="154"/>
      <c r="E108" s="94">
        <f ca="1">TblConstr[[#This Row],[Land]]</f>
        <v>50</v>
      </c>
      <c r="F108" s="94">
        <f ca="1">TblPop[[#This Row],[Peasants]]</f>
        <v>223</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157624</v>
      </c>
      <c r="I108" s="94">
        <f ca="1">OFFSET(TblProd[[#This Row],[Food]],-1,0)+OFFSET(TblProd[[#This Row],[Food/hr]],-1,0)+ROUNDUP((TblConstr[[#This Row],[Farms]]*80+TblConstr[[#This Row],[Docks]]*35)*(1+OFFSET(TblProd[[#This Row],[Bonus Food/hr]],-1,0)),0)</f>
        <v>160171</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602</v>
      </c>
      <c r="T108" s="94">
        <f ca="1">ROUND(TblProd[[#This Row],[Raw Food/hr]]*(1+TblProd[[#This Row],[Bonus Food/hr]])-TblProd[[#This Row],[Food decay]]-TblProd[[#This Row],[Food eaten]],0)</f>
        <v>786</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602.1</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1601.71</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157624</v>
      </c>
      <c r="BJ108" s="94">
        <f ca="1">TblProd[[#This Row],[Food]]</f>
        <v>160171</v>
      </c>
      <c r="BK108" s="94">
        <f ca="1">TblProd[[#This Row],[Lumber]]</f>
        <v>70111</v>
      </c>
      <c r="BL108" s="94">
        <f ca="1">TblProd[[#This Row],[Mana]]</f>
        <v>0</v>
      </c>
      <c r="BM108" s="94">
        <f ca="1">TblProd[[#This Row],[Ore]]</f>
        <v>0</v>
      </c>
    </row>
    <row r="109" spans="1:65">
      <c r="A109" s="137">
        <f t="shared" si="1"/>
        <v>70</v>
      </c>
      <c r="B109" s="152">
        <f ca="1">TblImps[[#This Row],[Time]]</f>
        <v>45819.374999999745</v>
      </c>
      <c r="C109" s="153"/>
      <c r="D109" s="154"/>
      <c r="E109" s="94">
        <f ca="1">TblConstr[[#This Row],[Land]]</f>
        <v>50</v>
      </c>
      <c r="F109" s="94">
        <f ca="1">TblPop[[#This Row],[Peasants]]</f>
        <v>221</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158226</v>
      </c>
      <c r="I109" s="94">
        <f ca="1">OFFSET(TblProd[[#This Row],[Food]],-1,0)+OFFSET(TblProd[[#This Row],[Food/hr]],-1,0)+ROUNDUP((TblConstr[[#This Row],[Farms]]*80+TblConstr[[#This Row],[Docks]]*35)*(1+OFFSET(TblProd[[#This Row],[Bonus Food/hr]],-1,0)),0)</f>
        <v>160957</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596</v>
      </c>
      <c r="T109" s="94">
        <f ca="1">ROUND(TblProd[[#This Row],[Raw Food/hr]]*(1+TblProd[[#This Row],[Bonus Food/hr]])-TblProd[[#This Row],[Food decay]]-TblProd[[#This Row],[Food eaten]],0)</f>
        <v>778</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596.70000000000005</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1609.57</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158226</v>
      </c>
      <c r="BJ109" s="94">
        <f ca="1">TblProd[[#This Row],[Food]]</f>
        <v>160957</v>
      </c>
      <c r="BK109" s="94">
        <f ca="1">TblProd[[#This Row],[Lumber]]</f>
        <v>70410</v>
      </c>
      <c r="BL109" s="94">
        <f ca="1">TblProd[[#This Row],[Mana]]</f>
        <v>0</v>
      </c>
      <c r="BM109" s="94">
        <f ca="1">TblProd[[#This Row],[Ore]]</f>
        <v>0</v>
      </c>
    </row>
    <row r="110" spans="1:65">
      <c r="A110" s="137">
        <f t="shared" si="1"/>
        <v>71</v>
      </c>
      <c r="B110" s="152">
        <f ca="1">TblImps[[#This Row],[Time]]</f>
        <v>45819.41666666641</v>
      </c>
      <c r="C110" s="153"/>
      <c r="D110" s="154"/>
      <c r="E110" s="94">
        <f ca="1">TblConstr[[#This Row],[Land]]</f>
        <v>50</v>
      </c>
      <c r="F110" s="94">
        <f ca="1">TblPop[[#This Row],[Peasants]]</f>
        <v>219</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158822</v>
      </c>
      <c r="I110" s="94">
        <f ca="1">OFFSET(TblProd[[#This Row],[Food]],-1,0)+OFFSET(TblProd[[#This Row],[Food/hr]],-1,0)+ROUNDUP((TblConstr[[#This Row],[Farms]]*80+TblConstr[[#This Row],[Docks]]*35)*(1+OFFSET(TblProd[[#This Row],[Bonus Food/hr]],-1,0)),0)</f>
        <v>161735</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591</v>
      </c>
      <c r="T110" s="94">
        <f ca="1">ROUND(TblProd[[#This Row],[Raw Food/hr]]*(1+TblProd[[#This Row],[Bonus Food/hr]])-TblProd[[#This Row],[Food decay]]-TblProd[[#This Row],[Food eaten]],0)</f>
        <v>770</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591.30000000000007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1617.3500000000001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158822</v>
      </c>
      <c r="BJ110" s="94">
        <f ca="1">TblProd[[#This Row],[Food]]</f>
        <v>161735</v>
      </c>
      <c r="BK110" s="94">
        <f ca="1">TblProd[[#This Row],[Lumber]]</f>
        <v>70706</v>
      </c>
      <c r="BL110" s="94">
        <f ca="1">TblProd[[#This Row],[Mana]]</f>
        <v>0</v>
      </c>
      <c r="BM110" s="94">
        <f ca="1">TblProd[[#This Row],[Ore]]</f>
        <v>0</v>
      </c>
    </row>
    <row r="111" spans="1:65">
      <c r="A111" s="137">
        <f t="shared" si="1"/>
        <v>72</v>
      </c>
      <c r="B111" s="152">
        <f ca="1">TblImps[[#This Row],[Time]]</f>
        <v>45819.458333333074</v>
      </c>
      <c r="C111" s="153"/>
      <c r="D111" s="154"/>
      <c r="E111" s="94">
        <f ca="1">TblConstr[[#This Row],[Land]]</f>
        <v>50</v>
      </c>
      <c r="F111" s="94">
        <f ca="1">TblPop[[#This Row],[Peasants]]</f>
        <v>217</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159413</v>
      </c>
      <c r="I111" s="94">
        <f ca="1">OFFSET(TblProd[[#This Row],[Food]],-1,0)+OFFSET(TblProd[[#This Row],[Food/hr]],-1,0)+ROUNDUP((TblConstr[[#This Row],[Farms]]*80+TblConstr[[#This Row],[Docks]]*35)*(1+OFFSET(TblProd[[#This Row],[Bonus Food/hr]],-1,0)),0)</f>
        <v>162505</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585</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585.90000000000009</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1625.05</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159413</v>
      </c>
      <c r="BJ111" s="94">
        <f ca="1">TblProd[[#This Row],[Food]]</f>
        <v>162505</v>
      </c>
      <c r="BK111" s="94">
        <f ca="1">TblProd[[#This Row],[Lumber]]</f>
        <v>70999</v>
      </c>
      <c r="BL111" s="94">
        <f ca="1">TblProd[[#This Row],[Mana]]</f>
        <v>0</v>
      </c>
      <c r="BM111" s="94">
        <f ca="1">TblProd[[#This Row],[Ore]]</f>
        <v>0</v>
      </c>
    </row>
    <row r="112" spans="1:65">
      <c r="A112" s="137">
        <f t="shared" si="1"/>
        <v>73</v>
      </c>
      <c r="B112" s="152">
        <f ca="1">TblImps[[#This Row],[Time]]</f>
        <v>45819.499999999738</v>
      </c>
      <c r="C112" s="153"/>
      <c r="D112" s="154"/>
      <c r="E112" s="94">
        <f ca="1">TblConstr[[#This Row],[Land]]</f>
        <v>50</v>
      </c>
      <c r="F112" s="94">
        <f ca="1">TblPop[[#This Row],[Peasants]]</f>
        <v>215</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159998</v>
      </c>
      <c r="I112" s="94">
        <f ca="1">OFFSET(TblProd[[#This Row],[Food]],-1,0)+OFFSET(TblProd[[#This Row],[Food/hr]],-1,0)+ROUNDUP((TblConstr[[#This Row],[Farms]]*80+TblConstr[[#This Row],[Docks]]*35)*(1+OFFSET(TblProd[[#This Row],[Bonus Food/hr]],-1,0)),0)</f>
        <v>163268</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580</v>
      </c>
      <c r="T112" s="94">
        <f ca="1">ROUND(TblProd[[#This Row],[Raw Food/hr]]*(1+TblProd[[#This Row],[Bonus Food/hr]])-TblProd[[#This Row],[Food decay]]-TblProd[[#This Row],[Food eaten]],0)</f>
        <v>755</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580.5</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1632.68</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159998</v>
      </c>
      <c r="BJ112" s="94">
        <f ca="1">TblProd[[#This Row],[Food]]</f>
        <v>163268</v>
      </c>
      <c r="BK112" s="94">
        <f ca="1">TblProd[[#This Row],[Lumber]]</f>
        <v>71289</v>
      </c>
      <c r="BL112" s="94">
        <f ca="1">TblProd[[#This Row],[Mana]]</f>
        <v>0</v>
      </c>
      <c r="BM112" s="94">
        <f ca="1">TblProd[[#This Row],[Ore]]</f>
        <v>0</v>
      </c>
    </row>
    <row r="113" spans="1:65">
      <c r="A113" s="137">
        <f t="shared" si="1"/>
        <v>74</v>
      </c>
      <c r="B113" s="152">
        <f ca="1">TblImps[[#This Row],[Time]]</f>
        <v>45819.541666666402</v>
      </c>
      <c r="C113" s="153"/>
      <c r="D113" s="154"/>
      <c r="E113" s="94">
        <f ca="1">TblConstr[[#This Row],[Land]]</f>
        <v>50</v>
      </c>
      <c r="F113" s="94">
        <f ca="1">TblPop[[#This Row],[Peasants]]</f>
        <v>213</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160578</v>
      </c>
      <c r="I113" s="94">
        <f ca="1">OFFSET(TblProd[[#This Row],[Food]],-1,0)+OFFSET(TblProd[[#This Row],[Food/hr]],-1,0)+ROUNDUP((TblConstr[[#This Row],[Farms]]*80+TblConstr[[#This Row],[Docks]]*35)*(1+OFFSET(TblProd[[#This Row],[Bonus Food/hr]],-1,0)),0)</f>
        <v>164023</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575</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575.1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1640.23</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160578</v>
      </c>
      <c r="BJ113" s="94">
        <f ca="1">TblProd[[#This Row],[Food]]</f>
        <v>164023</v>
      </c>
      <c r="BK113" s="94">
        <f ca="1">TblProd[[#This Row],[Lumber]]</f>
        <v>71576</v>
      </c>
      <c r="BL113" s="94">
        <f ca="1">TblProd[[#This Row],[Mana]]</f>
        <v>0</v>
      </c>
      <c r="BM113" s="94">
        <f ca="1">TblProd[[#This Row],[Ore]]</f>
        <v>0</v>
      </c>
    </row>
    <row r="114" spans="1:65">
      <c r="A114" s="137">
        <f t="shared" si="1"/>
        <v>75</v>
      </c>
      <c r="B114" s="152">
        <f ca="1">TblImps[[#This Row],[Time]]</f>
        <v>45819.583333333067</v>
      </c>
      <c r="C114" s="153"/>
      <c r="D114" s="154"/>
      <c r="E114" s="94">
        <f ca="1">TblConstr[[#This Row],[Land]]</f>
        <v>50</v>
      </c>
      <c r="F114" s="94">
        <f ca="1">TblPop[[#This Row],[Peasants]]</f>
        <v>211</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161153</v>
      </c>
      <c r="I114" s="94">
        <f ca="1">OFFSET(TblProd[[#This Row],[Food]],-1,0)+OFFSET(TblProd[[#This Row],[Food/hr]],-1,0)+ROUNDUP((TblConstr[[#This Row],[Farms]]*80+TblConstr[[#This Row],[Docks]]*35)*(1+OFFSET(TblProd[[#This Row],[Bonus Food/hr]],-1,0)),0)</f>
        <v>164771</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569</v>
      </c>
      <c r="T114" s="94">
        <f ca="1">ROUND(TblProd[[#This Row],[Raw Food/hr]]*(1+TblProd[[#This Row],[Bonus Food/hr]])-TblProd[[#This Row],[Food decay]]-TblProd[[#This Row],[Food eaten]],0)</f>
        <v>740</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569.70000000000005</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1647.71</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161153</v>
      </c>
      <c r="BJ114" s="94">
        <f ca="1">TblProd[[#This Row],[Food]]</f>
        <v>164771</v>
      </c>
      <c r="BK114" s="94">
        <f ca="1">TblProd[[#This Row],[Lumber]]</f>
        <v>71860</v>
      </c>
      <c r="BL114" s="94">
        <f ca="1">TblProd[[#This Row],[Mana]]</f>
        <v>0</v>
      </c>
      <c r="BM114" s="94">
        <f ca="1">TblProd[[#This Row],[Ore]]</f>
        <v>0</v>
      </c>
    </row>
    <row r="115" spans="1:65">
      <c r="A115" s="137">
        <f t="shared" si="1"/>
        <v>76</v>
      </c>
      <c r="B115" s="152">
        <f ca="1">TblImps[[#This Row],[Time]]</f>
        <v>45819.624999999731</v>
      </c>
      <c r="C115" s="153"/>
      <c r="D115" s="154"/>
      <c r="E115" s="94">
        <f ca="1">TblConstr[[#This Row],[Land]]</f>
        <v>50</v>
      </c>
      <c r="F115" s="94">
        <f ca="1">TblPop[[#This Row],[Peasants]]</f>
        <v>209</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161722</v>
      </c>
      <c r="I115" s="94">
        <f ca="1">OFFSET(TblProd[[#This Row],[Food]],-1,0)+OFFSET(TblProd[[#This Row],[Food/hr]],-1,0)+ROUNDUP((TblConstr[[#This Row],[Farms]]*80+TblConstr[[#This Row],[Docks]]*35)*(1+OFFSET(TblProd[[#This Row],[Bonus Food/hr]],-1,0)),0)</f>
        <v>165511</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564</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564.30000000000007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1655.1100000000001</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161722</v>
      </c>
      <c r="BJ115" s="94">
        <f ca="1">TblProd[[#This Row],[Food]]</f>
        <v>165511</v>
      </c>
      <c r="BK115" s="94">
        <f ca="1">TblProd[[#This Row],[Lumber]]</f>
        <v>72141</v>
      </c>
      <c r="BL115" s="94">
        <f ca="1">TblProd[[#This Row],[Mana]]</f>
        <v>0</v>
      </c>
      <c r="BM115" s="94">
        <f ca="1">TblProd[[#This Row],[Ore]]</f>
        <v>0</v>
      </c>
    </row>
    <row r="116" spans="1:65">
      <c r="A116" s="137">
        <f t="shared" si="1"/>
        <v>77</v>
      </c>
      <c r="B116" s="152">
        <f ca="1">TblImps[[#This Row],[Time]]</f>
        <v>45819.666666666395</v>
      </c>
      <c r="C116" s="153"/>
      <c r="D116" s="154"/>
      <c r="E116" s="94">
        <f ca="1">TblConstr[[#This Row],[Land]]</f>
        <v>50</v>
      </c>
      <c r="F116" s="94">
        <f ca="1">TblPop[[#This Row],[Peasants]]</f>
        <v>207</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162286</v>
      </c>
      <c r="I116" s="94">
        <f ca="1">OFFSET(TblProd[[#This Row],[Food]],-1,0)+OFFSET(TblProd[[#This Row],[Food/hr]],-1,0)+ROUNDUP((TblConstr[[#This Row],[Farms]]*80+TblConstr[[#This Row],[Docks]]*35)*(1+OFFSET(TblProd[[#This Row],[Bonus Food/hr]],-1,0)),0)</f>
        <v>166244</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558</v>
      </c>
      <c r="T116" s="94">
        <f ca="1">ROUND(TblProd[[#This Row],[Raw Food/hr]]*(1+TblProd[[#This Row],[Bonus Food/hr]])-TblProd[[#This Row],[Food decay]]-TblProd[[#This Row],[Food eaten]],0)</f>
        <v>725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558.90000000000009</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1662.44</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162286</v>
      </c>
      <c r="BJ116" s="94">
        <f ca="1">TblProd[[#This Row],[Food]]</f>
        <v>166244</v>
      </c>
      <c r="BK116" s="94">
        <f ca="1">TblProd[[#This Row],[Lumber]]</f>
        <v>72420</v>
      </c>
      <c r="BL116" s="94">
        <f ca="1">TblProd[[#This Row],[Mana]]</f>
        <v>0</v>
      </c>
      <c r="BM116" s="94">
        <f ca="1">TblProd[[#This Row],[Ore]]</f>
        <v>0</v>
      </c>
    </row>
    <row r="117" spans="1:65">
      <c r="A117" s="137">
        <f t="shared" si="1"/>
        <v>78</v>
      </c>
      <c r="B117" s="152">
        <f ca="1">TblImps[[#This Row],[Time]]</f>
        <v>45819.708333333059</v>
      </c>
      <c r="C117" s="153"/>
      <c r="D117" s="154"/>
      <c r="E117" s="94">
        <f ca="1">TblConstr[[#This Row],[Land]]</f>
        <v>50</v>
      </c>
      <c r="F117" s="94">
        <f ca="1">TblPop[[#This Row],[Peasants]]</f>
        <v>205</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162844</v>
      </c>
      <c r="I117" s="94">
        <f ca="1">OFFSET(TblProd[[#This Row],[Food]],-1,0)+OFFSET(TblProd[[#This Row],[Food/hr]],-1,0)+ROUNDUP((TblConstr[[#This Row],[Farms]]*80+TblConstr[[#This Row],[Docks]]*35)*(1+OFFSET(TblProd[[#This Row],[Bonus Food/hr]],-1,0)),0)</f>
        <v>166969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553</v>
      </c>
      <c r="T117" s="94">
        <f ca="1">ROUND(TblProd[[#This Row],[Raw Food/hr]]*(1+TblProd[[#This Row],[Bonus Food/hr]])-TblProd[[#This Row],[Food decay]]-TblProd[[#This Row],[Food eaten]],0)</f>
        <v>718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553.5</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1669.69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162844</v>
      </c>
      <c r="BJ117" s="94">
        <f ca="1">TblProd[[#This Row],[Food]]</f>
        <v>166969</v>
      </c>
      <c r="BK117" s="94">
        <f ca="1">TblProd[[#This Row],[Lumber]]</f>
        <v>72696</v>
      </c>
      <c r="BL117" s="94">
        <f ca="1">TblProd[[#This Row],[Mana]]</f>
        <v>0</v>
      </c>
      <c r="BM117" s="94">
        <f ca="1">TblProd[[#This Row],[Ore]]</f>
        <v>0</v>
      </c>
    </row>
    <row r="118" spans="1:65">
      <c r="A118" s="137">
        <f t="shared" si="1"/>
        <v>79</v>
      </c>
      <c r="B118" s="152">
        <f ca="1">TblImps[[#This Row],[Time]]</f>
        <v>45819.749999999724</v>
      </c>
      <c r="C118" s="153"/>
      <c r="D118" s="154"/>
      <c r="E118" s="94">
        <f ca="1">TblConstr[[#This Row],[Land]]</f>
        <v>50</v>
      </c>
      <c r="F118" s="94">
        <f ca="1">TblPop[[#This Row],[Peasants]]</f>
        <v>203</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163397</v>
      </c>
      <c r="I118" s="94">
        <f ca="1">OFFSET(TblProd[[#This Row],[Food]],-1,0)+OFFSET(TblProd[[#This Row],[Food/hr]],-1,0)+ROUNDUP((TblConstr[[#This Row],[Farms]]*80+TblConstr[[#This Row],[Docks]]*35)*(1+OFFSET(TblProd[[#This Row],[Bonus Food/hr]],-1,0)),0)</f>
        <v>167687</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548</v>
      </c>
      <c r="T118" s="94">
        <f ca="1">ROUND(TblProd[[#This Row],[Raw Food/hr]]*(1+TblProd[[#This Row],[Bonus Food/hr]])-TblProd[[#This Row],[Food decay]]-TblProd[[#This Row],[Food eaten]],0)</f>
        <v>711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548.1</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1676.8700000000001</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163397</v>
      </c>
      <c r="BJ118" s="94">
        <f ca="1">TblProd[[#This Row],[Food]]</f>
        <v>167687</v>
      </c>
      <c r="BK118" s="94">
        <f ca="1">TblProd[[#This Row],[Lumber]]</f>
        <v>72969</v>
      </c>
      <c r="BL118" s="94">
        <f ca="1">TblProd[[#This Row],[Mana]]</f>
        <v>0</v>
      </c>
      <c r="BM118" s="94">
        <f ca="1">TblProd[[#This Row],[Ore]]</f>
        <v>0</v>
      </c>
    </row>
    <row r="119" spans="1:65">
      <c r="A119" s="137">
        <f t="shared" si="1"/>
        <v>80</v>
      </c>
      <c r="B119" s="152">
        <f ca="1">TblImps[[#This Row],[Time]]</f>
        <v>45819.791666666388</v>
      </c>
      <c r="C119" s="153"/>
      <c r="D119" s="154"/>
      <c r="E119" s="94">
        <f ca="1">TblConstr[[#This Row],[Land]]</f>
        <v>50</v>
      </c>
      <c r="F119" s="94">
        <f ca="1">TblPop[[#This Row],[Peasants]]</f>
        <v>201</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163945</v>
      </c>
      <c r="I119" s="94">
        <f ca="1">OFFSET(TblProd[[#This Row],[Food]],-1,0)+OFFSET(TblProd[[#This Row],[Food/hr]],-1,0)+ROUNDUP((TblConstr[[#This Row],[Farms]]*80+TblConstr[[#This Row],[Docks]]*35)*(1+OFFSET(TblProd[[#This Row],[Bonus Food/hr]],-1,0)),0)</f>
        <v>168398</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542</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542.70000000000005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1683.98</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163945</v>
      </c>
      <c r="BJ119" s="94">
        <f ca="1">TblProd[[#This Row],[Food]]</f>
        <v>168398</v>
      </c>
      <c r="BK119" s="94">
        <f ca="1">TblProd[[#This Row],[Lumber]]</f>
        <v>73239</v>
      </c>
      <c r="BL119" s="94">
        <f ca="1">TblProd[[#This Row],[Mana]]</f>
        <v>0</v>
      </c>
      <c r="BM119" s="94">
        <f ca="1">TblProd[[#This Row],[Ore]]</f>
        <v>0</v>
      </c>
    </row>
    <row r="120" spans="1:65">
      <c r="A120" s="137">
        <f t="shared" si="1"/>
        <v>81</v>
      </c>
      <c r="B120" s="152">
        <f ca="1">TblImps[[#This Row],[Time]]</f>
        <v>45819.833333333052</v>
      </c>
      <c r="C120" s="153"/>
      <c r="D120" s="154"/>
      <c r="E120" s="94">
        <f ca="1">TblConstr[[#This Row],[Land]]</f>
        <v>50</v>
      </c>
      <c r="F120" s="94">
        <f ca="1">TblPop[[#This Row],[Peasants]]</f>
        <v>199</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164487</v>
      </c>
      <c r="I120" s="94">
        <f ca="1">OFFSET(TblProd[[#This Row],[Food]],-1,0)+OFFSET(TblProd[[#This Row],[Food/hr]],-1,0)+ROUNDUP((TblConstr[[#This Row],[Farms]]*80+TblConstr[[#This Row],[Docks]]*35)*(1+OFFSET(TblProd[[#This Row],[Bonus Food/hr]],-1,0)),0)</f>
        <v>169102</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537</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537.30000000000007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1691.02</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164487</v>
      </c>
      <c r="BJ120" s="94">
        <f ca="1">TblProd[[#This Row],[Food]]</f>
        <v>169102</v>
      </c>
      <c r="BK120" s="94">
        <f ca="1">TblProd[[#This Row],[Lumber]]</f>
        <v>73507</v>
      </c>
      <c r="BL120" s="94">
        <f ca="1">TblProd[[#This Row],[Mana]]</f>
        <v>0</v>
      </c>
      <c r="BM120" s="94">
        <f ca="1">TblProd[[#This Row],[Ore]]</f>
        <v>0</v>
      </c>
    </row>
    <row r="121" spans="1:65">
      <c r="A121" s="137">
        <f t="shared" si="1"/>
        <v>82</v>
      </c>
      <c r="B121" s="152">
        <f ca="1">TblImps[[#This Row],[Time]]</f>
        <v>45819.874999999716</v>
      </c>
      <c r="C121" s="153"/>
      <c r="D121" s="154"/>
      <c r="E121" s="94">
        <f ca="1">TblConstr[[#This Row],[Land]]</f>
        <v>50</v>
      </c>
      <c r="F121" s="94">
        <f ca="1">TblPop[[#This Row],[Peasants]]</f>
        <v>197</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165024</v>
      </c>
      <c r="I121" s="94">
        <f ca="1">OFFSET(TblProd[[#This Row],[Food]],-1,0)+OFFSET(TblProd[[#This Row],[Food/hr]],-1,0)+ROUNDUP((TblConstr[[#This Row],[Farms]]*80+TblConstr[[#This Row],[Docks]]*35)*(1+OFFSET(TblProd[[#This Row],[Bonus Food/hr]],-1,0)),0)</f>
        <v>169799</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531</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531.90000000000009</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1697.99</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165024</v>
      </c>
      <c r="BJ121" s="94">
        <f ca="1">TblProd[[#This Row],[Food]]</f>
        <v>169799</v>
      </c>
      <c r="BK121" s="94">
        <f ca="1">TblProd[[#This Row],[Lumber]]</f>
        <v>73772</v>
      </c>
      <c r="BL121" s="94">
        <f ca="1">TblProd[[#This Row],[Mana]]</f>
        <v>0</v>
      </c>
      <c r="BM121" s="94">
        <f ca="1">TblProd[[#This Row],[Ore]]</f>
        <v>0</v>
      </c>
    </row>
    <row r="122" spans="1:65">
      <c r="A122" s="137">
        <f t="shared" si="1"/>
        <v>83</v>
      </c>
      <c r="B122" s="152">
        <f ca="1">TblImps[[#This Row],[Time]]</f>
        <v>45819.91666666638</v>
      </c>
      <c r="C122" s="153"/>
      <c r="D122" s="154"/>
      <c r="E122" s="94">
        <f ca="1">TblConstr[[#This Row],[Land]]</f>
        <v>50</v>
      </c>
      <c r="F122" s="94">
        <f ca="1">TblPop[[#This Row],[Peasants]]</f>
        <v>195</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165555</v>
      </c>
      <c r="I122" s="94">
        <f ca="1">OFFSET(TblProd[[#This Row],[Food]],-1,0)+OFFSET(TblProd[[#This Row],[Food/hr]],-1,0)+ROUNDUP((TblConstr[[#This Row],[Farms]]*80+TblConstr[[#This Row],[Docks]]*35)*(1+OFFSET(TblProd[[#This Row],[Bonus Food/hr]],-1,0)),0)</f>
        <v>170489</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526</v>
      </c>
      <c r="T122" s="94">
        <f ca="1">ROUND(TblProd[[#This Row],[Raw Food/hr]]*(1+TblProd[[#This Row],[Bonus Food/hr]])-TblProd[[#This Row],[Food decay]]-TblProd[[#This Row],[Food eaten]],0)</f>
        <v>683</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526.5</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1704.89</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165555</v>
      </c>
      <c r="BJ122" s="94">
        <f ca="1">TblProd[[#This Row],[Food]]</f>
        <v>170489</v>
      </c>
      <c r="BK122" s="94">
        <f ca="1">TblProd[[#This Row],[Lumber]]</f>
        <v>74034</v>
      </c>
      <c r="BL122" s="94">
        <f ca="1">TblProd[[#This Row],[Mana]]</f>
        <v>0</v>
      </c>
      <c r="BM122" s="94">
        <f ca="1">TblProd[[#This Row],[Ore]]</f>
        <v>0</v>
      </c>
    </row>
    <row r="123" spans="1:65">
      <c r="A123" s="137">
        <f t="shared" si="1"/>
        <v>84</v>
      </c>
      <c r="B123" s="152">
        <f ca="1">TblImps[[#This Row],[Time]]</f>
        <v>45819.958333333045</v>
      </c>
      <c r="C123" s="153"/>
      <c r="D123" s="154"/>
      <c r="E123" s="94">
        <f ca="1">TblConstr[[#This Row],[Land]]</f>
        <v>50</v>
      </c>
      <c r="F123" s="94">
        <f ca="1">TblPop[[#This Row],[Peasants]]</f>
        <v>193</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166081</v>
      </c>
      <c r="I123" s="94">
        <f ca="1">OFFSET(TblProd[[#This Row],[Food]],-1,0)+OFFSET(TblProd[[#This Row],[Food/hr]],-1,0)+ROUNDUP((TblConstr[[#This Row],[Farms]]*80+TblConstr[[#This Row],[Docks]]*35)*(1+OFFSET(TblProd[[#This Row],[Bonus Food/hr]],-1,0)),0)</f>
        <v>171172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521</v>
      </c>
      <c r="T123" s="94">
        <f ca="1">ROUND(TblProd[[#This Row],[Raw Food/hr]]*(1+TblProd[[#This Row],[Bonus Food/hr]])-TblProd[[#This Row],[Food decay]]-TblProd[[#This Row],[Food eaten]],0)</f>
        <v>676</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521.1</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1711.72</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166081</v>
      </c>
      <c r="BJ123" s="94">
        <f ca="1">TblProd[[#This Row],[Food]]</f>
        <v>171172</v>
      </c>
      <c r="BK123" s="94">
        <f ca="1">TblProd[[#This Row],[Lumber]]</f>
        <v>74294</v>
      </c>
      <c r="BL123" s="94">
        <f ca="1">TblProd[[#This Row],[Mana]]</f>
        <v>0</v>
      </c>
      <c r="BM123" s="94">
        <f ca="1">TblProd[[#This Row],[Ore]]</f>
        <v>0</v>
      </c>
    </row>
    <row r="124" spans="1:65">
      <c r="A124" s="137">
        <f t="shared" si="1"/>
        <v>85</v>
      </c>
      <c r="B124" s="152">
        <f ca="1">TblImps[[#This Row],[Time]]</f>
        <v>45819.999999999709</v>
      </c>
      <c r="C124" s="153"/>
      <c r="D124" s="154"/>
      <c r="E124" s="94">
        <f ca="1">TblConstr[[#This Row],[Land]]</f>
        <v>50</v>
      </c>
      <c r="F124" s="94">
        <f ca="1">TblPop[[#This Row],[Peasants]]</f>
        <v>191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166602</v>
      </c>
      <c r="I124" s="94">
        <f ca="1">OFFSET(TblProd[[#This Row],[Food]],-1,0)+OFFSET(TblProd[[#This Row],[Food/hr]],-1,0)+ROUNDUP((TblConstr[[#This Row],[Farms]]*80+TblConstr[[#This Row],[Docks]]*35)*(1+OFFSET(TblProd[[#This Row],[Bonus Food/hr]],-1,0)),0)</f>
        <v>171848</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515</v>
      </c>
      <c r="T124" s="94">
        <f ca="1">ROUND(TblProd[[#This Row],[Raw Food/hr]]*(1+TblProd[[#This Row],[Bonus Food/hr]])-TblProd[[#This Row],[Food decay]]-TblProd[[#This Row],[Food eaten]],0)</f>
        <v>669</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515.70000000000005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1718.48</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166602</v>
      </c>
      <c r="BJ124" s="94">
        <f ca="1">TblProd[[#This Row],[Food]]</f>
        <v>171848</v>
      </c>
      <c r="BK124" s="94">
        <f ca="1">TblProd[[#This Row],[Lumber]]</f>
        <v>74551</v>
      </c>
      <c r="BL124" s="94">
        <f ca="1">TblProd[[#This Row],[Mana]]</f>
        <v>0</v>
      </c>
      <c r="BM124" s="94">
        <f ca="1">TblProd[[#This Row],[Ore]]</f>
        <v>0</v>
      </c>
    </row>
    <row r="125" spans="1:65">
      <c r="A125" s="137">
        <f t="shared" si="1"/>
        <v>86</v>
      </c>
      <c r="B125" s="152">
        <f ca="1">TblImps[[#This Row],[Time]]</f>
        <v>45820.041666666373</v>
      </c>
      <c r="C125" s="153"/>
      <c r="D125" s="154"/>
      <c r="E125" s="94">
        <f ca="1">TblConstr[[#This Row],[Land]]</f>
        <v>50</v>
      </c>
      <c r="F125" s="94">
        <f ca="1">TblPop[[#This Row],[Peasants]]</f>
        <v>189</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167117</v>
      </c>
      <c r="I125" s="94">
        <f ca="1">OFFSET(TblProd[[#This Row],[Food]],-1,0)+OFFSET(TblProd[[#This Row],[Food/hr]],-1,0)+ROUNDUP((TblConstr[[#This Row],[Farms]]*80+TblConstr[[#This Row],[Docks]]*35)*(1+OFFSET(TblProd[[#This Row],[Bonus Food/hr]],-1,0)),0)</f>
        <v>172517</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510</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510.3</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1725.17</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167117</v>
      </c>
      <c r="BJ125" s="94">
        <f ca="1">TblProd[[#This Row],[Food]]</f>
        <v>172517</v>
      </c>
      <c r="BK125" s="94">
        <f ca="1">TblProd[[#This Row],[Lumber]]</f>
        <v>74805</v>
      </c>
      <c r="BL125" s="94">
        <f ca="1">TblProd[[#This Row],[Mana]]</f>
        <v>0</v>
      </c>
      <c r="BM125" s="94">
        <f ca="1">TblProd[[#This Row],[Ore]]</f>
        <v>0</v>
      </c>
    </row>
    <row r="126" spans="1:65">
      <c r="A126" s="137">
        <f t="shared" si="1"/>
        <v>87</v>
      </c>
      <c r="B126" s="152">
        <f ca="1">TblImps[[#This Row],[Time]]</f>
        <v>45820.083333333037</v>
      </c>
      <c r="C126" s="153"/>
      <c r="D126" s="154"/>
      <c r="E126" s="94">
        <f ca="1">TblConstr[[#This Row],[Land]]</f>
        <v>50</v>
      </c>
      <c r="F126" s="94">
        <f ca="1">TblPop[[#This Row],[Peasants]]</f>
        <v>187</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167627</v>
      </c>
      <c r="I126" s="94">
        <f ca="1">OFFSET(TblProd[[#This Row],[Food]],-1,0)+OFFSET(TblProd[[#This Row],[Food/hr]],-1,0)+ROUNDUP((TblConstr[[#This Row],[Farms]]*80+TblConstr[[#This Row],[Docks]]*35)*(1+OFFSET(TblProd[[#This Row],[Bonus Food/hr]],-1,0)),0)</f>
        <v>173180</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504</v>
      </c>
      <c r="T126" s="94">
        <f ca="1">ROUND(TblProd[[#This Row],[Raw Food/hr]]*(1+TblProd[[#This Row],[Bonus Food/hr]])-TblProd[[#This Row],[Food decay]]-TblProd[[#This Row],[Food eaten]],0)</f>
        <v>656</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504.90000000000003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1731.8</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167627</v>
      </c>
      <c r="BJ126" s="94">
        <f ca="1">TblProd[[#This Row],[Food]]</f>
        <v>173180</v>
      </c>
      <c r="BK126" s="94">
        <f ca="1">TblProd[[#This Row],[Lumber]]</f>
        <v>75057</v>
      </c>
      <c r="BL126" s="94">
        <f ca="1">TblProd[[#This Row],[Mana]]</f>
        <v>0</v>
      </c>
      <c r="BM126" s="94">
        <f ca="1">TblProd[[#This Row],[Ore]]</f>
        <v>0</v>
      </c>
    </row>
    <row r="127" spans="1:65">
      <c r="A127" s="137">
        <f t="shared" si="1"/>
        <v>88</v>
      </c>
      <c r="B127" s="152">
        <f ca="1">TblImps[[#This Row],[Time]]</f>
        <v>45820.124999999702</v>
      </c>
      <c r="C127" s="153"/>
      <c r="D127" s="154"/>
      <c r="E127" s="94">
        <f ca="1">TblConstr[[#This Row],[Land]]</f>
        <v>50</v>
      </c>
      <c r="F127" s="94">
        <f ca="1">TblPop[[#This Row],[Peasants]]</f>
        <v>185</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168131</v>
      </c>
      <c r="I127" s="94">
        <f ca="1">OFFSET(TblProd[[#This Row],[Food]],-1,0)+OFFSET(TblProd[[#This Row],[Food/hr]],-1,0)+ROUNDUP((TblConstr[[#This Row],[Farms]]*80+TblConstr[[#This Row],[Docks]]*35)*(1+OFFSET(TblProd[[#This Row],[Bonus Food/hr]],-1,0)),0)</f>
        <v>173836</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499</v>
      </c>
      <c r="T127" s="94">
        <f ca="1">ROUND(TblProd[[#This Row],[Raw Food/hr]]*(1+TblProd[[#This Row],[Bonus Food/hr]])-TblProd[[#This Row],[Food decay]]-TblProd[[#This Row],[Food eaten]],0)</f>
        <v>649</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499.50000000000006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1738.3600000000001</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168131</v>
      </c>
      <c r="BJ127" s="94">
        <f ca="1">TblProd[[#This Row],[Food]]</f>
        <v>173836</v>
      </c>
      <c r="BK127" s="94">
        <f ca="1">TblProd[[#This Row],[Lumber]]</f>
        <v>75306</v>
      </c>
      <c r="BL127" s="94">
        <f ca="1">TblProd[[#This Row],[Mana]]</f>
        <v>0</v>
      </c>
      <c r="BM127" s="94">
        <f ca="1">TblProd[[#This Row],[Ore]]</f>
        <v>0</v>
      </c>
    </row>
    <row r="128" spans="1:65">
      <c r="A128" s="137">
        <f t="shared" si="1"/>
        <v>89</v>
      </c>
      <c r="B128" s="152">
        <f ca="1">TblImps[[#This Row],[Time]]</f>
        <v>45820.166666666366</v>
      </c>
      <c r="C128" s="153"/>
      <c r="D128" s="154"/>
      <c r="E128" s="94">
        <f ca="1">TblConstr[[#This Row],[Land]]</f>
        <v>50</v>
      </c>
      <c r="F128" s="94">
        <f ca="1">TblPop[[#This Row],[Peasants]]</f>
        <v>183</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168630</v>
      </c>
      <c r="I128" s="94">
        <f ca="1">OFFSET(TblProd[[#This Row],[Food]],-1,0)+OFFSET(TblProd[[#This Row],[Food/hr]],-1,0)+ROUNDUP((TblConstr[[#This Row],[Farms]]*80+TblConstr[[#This Row],[Docks]]*35)*(1+OFFSET(TblProd[[#This Row],[Bonus Food/hr]],-1,0)),0)</f>
        <v>174485</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494</v>
      </c>
      <c r="T128" s="94">
        <f ca="1">ROUND(TblProd[[#This Row],[Raw Food/hr]]*(1+TblProd[[#This Row],[Bonus Food/hr]])-TblProd[[#This Row],[Food decay]]-TblProd[[#This Row],[Food eaten]],0)</f>
        <v>643</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494.1</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1744.8500000000001</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168630</v>
      </c>
      <c r="BJ128" s="94">
        <f ca="1">TblProd[[#This Row],[Food]]</f>
        <v>174485</v>
      </c>
      <c r="BK128" s="94">
        <f ca="1">TblProd[[#This Row],[Lumber]]</f>
        <v>75553</v>
      </c>
      <c r="BL128" s="94">
        <f ca="1">TblProd[[#This Row],[Mana]]</f>
        <v>0</v>
      </c>
      <c r="BM128" s="94">
        <f ca="1">TblProd[[#This Row],[Ore]]</f>
        <v>0</v>
      </c>
    </row>
    <row r="129" spans="1:65">
      <c r="A129" s="137">
        <f t="shared" si="1"/>
        <v>90</v>
      </c>
      <c r="B129" s="152">
        <f ca="1">TblImps[[#This Row],[Time]]</f>
        <v>45820.20833333303</v>
      </c>
      <c r="C129" s="153"/>
      <c r="D129" s="154"/>
      <c r="E129" s="94">
        <f ca="1">TblConstr[[#This Row],[Land]]</f>
        <v>50</v>
      </c>
      <c r="F129" s="94">
        <f ca="1">TblPop[[#This Row],[Peasants]]</f>
        <v>181</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169124</v>
      </c>
      <c r="I129" s="94">
        <f ca="1">OFFSET(TblProd[[#This Row],[Food]],-1,0)+OFFSET(TblProd[[#This Row],[Food/hr]],-1,0)+ROUNDUP((TblConstr[[#This Row],[Farms]]*80+TblConstr[[#This Row],[Docks]]*35)*(1+OFFSET(TblProd[[#This Row],[Bonus Food/hr]],-1,0)),0)</f>
        <v>175128</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488</v>
      </c>
      <c r="T129" s="94">
        <f ca="1">ROUND(TblProd[[#This Row],[Raw Food/hr]]*(1+TblProd[[#This Row],[Bonus Food/hr]])-TblProd[[#This Row],[Food decay]]-TblProd[[#This Row],[Food eaten]],0)</f>
        <v>636</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488.70000000000005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1751.28</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169124</v>
      </c>
      <c r="BJ129" s="94">
        <f ca="1">TblProd[[#This Row],[Food]]</f>
        <v>175128</v>
      </c>
      <c r="BK129" s="94">
        <f ca="1">TblProd[[#This Row],[Lumber]]</f>
        <v>75797</v>
      </c>
      <c r="BL129" s="94">
        <f ca="1">TblProd[[#This Row],[Mana]]</f>
        <v>0</v>
      </c>
      <c r="BM129" s="94">
        <f ca="1">TblProd[[#This Row],[Ore]]</f>
        <v>0</v>
      </c>
    </row>
    <row r="130" spans="1:65">
      <c r="A130" s="137">
        <f t="shared" si="1"/>
        <v>91</v>
      </c>
      <c r="B130" s="152">
        <f ca="1">TblImps[[#This Row],[Time]]</f>
        <v>45820.249999999694</v>
      </c>
      <c r="C130" s="153"/>
      <c r="D130" s="154"/>
      <c r="E130" s="94">
        <f ca="1">TblConstr[[#This Row],[Land]]</f>
        <v>50</v>
      </c>
      <c r="F130" s="94">
        <f ca="1">TblPop[[#This Row],[Peasants]]</f>
        <v>179</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169612</v>
      </c>
      <c r="I130" s="94">
        <f ca="1">OFFSET(TblProd[[#This Row],[Food]],-1,0)+OFFSET(TblProd[[#This Row],[Food/hr]],-1,0)+ROUNDUP((TblConstr[[#This Row],[Farms]]*80+TblConstr[[#This Row],[Docks]]*35)*(1+OFFSET(TblProd[[#This Row],[Bonus Food/hr]],-1,0)),0)</f>
        <v>175764</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483</v>
      </c>
      <c r="T130" s="94">
        <f ca="1">ROUND(TblProd[[#This Row],[Raw Food/hr]]*(1+TblProd[[#This Row],[Bonus Food/hr]])-TblProd[[#This Row],[Food decay]]-TblProd[[#This Row],[Food eaten]],0)</f>
        <v>630</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483.3</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1757.64</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169612</v>
      </c>
      <c r="BJ130" s="94">
        <f ca="1">TblProd[[#This Row],[Food]]</f>
        <v>175764</v>
      </c>
      <c r="BK130" s="94">
        <f ca="1">TblProd[[#This Row],[Lumber]]</f>
        <v>76039</v>
      </c>
      <c r="BL130" s="94">
        <f ca="1">TblProd[[#This Row],[Mana]]</f>
        <v>0</v>
      </c>
      <c r="BM130" s="94">
        <f ca="1">TblProd[[#This Row],[Ore]]</f>
        <v>0</v>
      </c>
    </row>
    <row r="131" spans="1:65">
      <c r="A131" s="137">
        <f t="shared" si="1"/>
        <v>92</v>
      </c>
      <c r="B131" s="152">
        <f ca="1">TblImps[[#This Row],[Time]]</f>
        <v>45820.291666666359</v>
      </c>
      <c r="C131" s="153"/>
      <c r="D131" s="154"/>
      <c r="E131" s="94">
        <f ca="1">TblConstr[[#This Row],[Land]]</f>
        <v>50</v>
      </c>
      <c r="F131" s="94">
        <f ca="1">TblPop[[#This Row],[Peasants]]</f>
        <v>177</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170095</v>
      </c>
      <c r="I131" s="94">
        <f ca="1">OFFSET(TblProd[[#This Row],[Food]],-1,0)+OFFSET(TblProd[[#This Row],[Food/hr]],-1,0)+ROUNDUP((TblConstr[[#This Row],[Farms]]*80+TblConstr[[#This Row],[Docks]]*35)*(1+OFFSET(TblProd[[#This Row],[Bonus Food/hr]],-1,0)),0)</f>
        <v>176394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477</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477.90000000000003</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1763.94</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170095</v>
      </c>
      <c r="BJ131" s="94">
        <f ca="1">TblProd[[#This Row],[Food]]</f>
        <v>176394</v>
      </c>
      <c r="BK131" s="94">
        <f ca="1">TblProd[[#This Row],[Lumber]]</f>
        <v>76279</v>
      </c>
      <c r="BL131" s="94">
        <f ca="1">TblProd[[#This Row],[Mana]]</f>
        <v>0</v>
      </c>
      <c r="BM131" s="94">
        <f ca="1">TblProd[[#This Row],[Ore]]</f>
        <v>0</v>
      </c>
    </row>
    <row r="132" spans="1:65">
      <c r="A132" s="137">
        <f t="shared" si="1"/>
        <v>93</v>
      </c>
      <c r="B132" s="152">
        <f ca="1">TblImps[[#This Row],[Time]]</f>
        <v>45820.333333333023</v>
      </c>
      <c r="C132" s="153"/>
      <c r="D132" s="154"/>
      <c r="E132" s="94">
        <f ca="1">TblConstr[[#This Row],[Land]]</f>
        <v>50</v>
      </c>
      <c r="F132" s="94">
        <f ca="1">TblPop[[#This Row],[Peasants]]</f>
        <v>175</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170572</v>
      </c>
      <c r="I132" s="94">
        <f ca="1">OFFSET(TblProd[[#This Row],[Food]],-1,0)+OFFSET(TblProd[[#This Row],[Food/hr]],-1,0)+ROUNDUP((TblConstr[[#This Row],[Farms]]*80+TblConstr[[#This Row],[Docks]]*35)*(1+OFFSET(TblProd[[#This Row],[Bonus Food/hr]],-1,0)),0)</f>
        <v>177018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472</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472.50000000000006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1770.18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170572</v>
      </c>
      <c r="BJ132" s="94">
        <f ca="1">TblProd[[#This Row],[Food]]</f>
        <v>177018</v>
      </c>
      <c r="BK132" s="94">
        <f ca="1">TblProd[[#This Row],[Lumber]]</f>
        <v>76516</v>
      </c>
      <c r="BL132" s="94">
        <f ca="1">TblProd[[#This Row],[Mana]]</f>
        <v>0</v>
      </c>
      <c r="BM132" s="94">
        <f ca="1">TblProd[[#This Row],[Ore]]</f>
        <v>0</v>
      </c>
    </row>
    <row r="133" spans="1:65">
      <c r="A133" s="137">
        <f t="shared" si="1"/>
        <v>94</v>
      </c>
      <c r="B133" s="152">
        <f ca="1">TblImps[[#This Row],[Time]]</f>
        <v>45820.374999999687</v>
      </c>
      <c r="C133" s="153"/>
      <c r="D133" s="154"/>
      <c r="E133" s="94">
        <f ca="1">TblConstr[[#This Row],[Land]]</f>
        <v>50</v>
      </c>
      <c r="F133" s="94">
        <f ca="1">TblPop[[#This Row],[Peasants]]</f>
        <v>173</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171044</v>
      </c>
      <c r="I133" s="94">
        <f ca="1">OFFSET(TblProd[[#This Row],[Food]],-1,0)+OFFSET(TblProd[[#This Row],[Food/hr]],-1,0)+ROUNDUP((TblConstr[[#This Row],[Farms]]*80+TblConstr[[#This Row],[Docks]]*35)*(1+OFFSET(TblProd[[#This Row],[Bonus Food/hr]],-1,0)),0)</f>
        <v>177636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467</v>
      </c>
      <c r="T133" s="94">
        <f ca="1">ROUND(TblProd[[#This Row],[Raw Food/hr]]*(1+TblProd[[#This Row],[Bonus Food/hr]])-TblProd[[#This Row],[Food decay]]-TblProd[[#This Row],[Food eaten]],0)</f>
        <v>611</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467.1</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1776.3600000000001</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171044</v>
      </c>
      <c r="BJ133" s="94">
        <f ca="1">TblProd[[#This Row],[Food]]</f>
        <v>177636</v>
      </c>
      <c r="BK133" s="94">
        <f ca="1">TblProd[[#This Row],[Lumber]]</f>
        <v>76751</v>
      </c>
      <c r="BL133" s="94">
        <f ca="1">TblProd[[#This Row],[Mana]]</f>
        <v>0</v>
      </c>
      <c r="BM133" s="94">
        <f ca="1">TblProd[[#This Row],[Ore]]</f>
        <v>0</v>
      </c>
    </row>
    <row r="134" spans="1:65">
      <c r="A134" s="137">
        <f t="shared" si="1"/>
        <v>95</v>
      </c>
      <c r="B134" s="152">
        <f ca="1">TblImps[[#This Row],[Time]]</f>
        <v>45820.416666666351</v>
      </c>
      <c r="C134" s="153"/>
      <c r="D134" s="154"/>
      <c r="E134" s="94">
        <f ca="1">TblConstr[[#This Row],[Land]]</f>
        <v>50</v>
      </c>
      <c r="F134" s="94">
        <f ca="1">TblPop[[#This Row],[Peasants]]</f>
        <v>171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171511</v>
      </c>
      <c r="I134" s="94">
        <f ca="1">OFFSET(TblProd[[#This Row],[Food]],-1,0)+OFFSET(TblProd[[#This Row],[Food/hr]],-1,0)+ROUNDUP((TblConstr[[#This Row],[Farms]]*80+TblConstr[[#This Row],[Docks]]*35)*(1+OFFSET(TblProd[[#This Row],[Bonus Food/hr]],-1,0)),0)</f>
        <v>178247</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461</v>
      </c>
      <c r="T134" s="94">
        <f ca="1">ROUND(TblProd[[#This Row],[Raw Food/hr]]*(1+TblProd[[#This Row],[Bonus Food/hr]])-TblProd[[#This Row],[Food decay]]-TblProd[[#This Row],[Food eaten]],0)</f>
        <v>605</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461.70000000000005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1782.47</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171511</v>
      </c>
      <c r="BJ134" s="94">
        <f ca="1">TblProd[[#This Row],[Food]]</f>
        <v>178247</v>
      </c>
      <c r="BK134" s="94">
        <f ca="1">TblProd[[#This Row],[Lumber]]</f>
        <v>76983</v>
      </c>
      <c r="BL134" s="94">
        <f ca="1">TblProd[[#This Row],[Mana]]</f>
        <v>0</v>
      </c>
      <c r="BM134" s="94">
        <f ca="1">TblProd[[#This Row],[Ore]]</f>
        <v>0</v>
      </c>
    </row>
    <row r="135" spans="1:65">
      <c r="A135" s="137">
        <f t="shared" si="1"/>
        <v>96</v>
      </c>
      <c r="B135" s="152">
        <f ca="1">TblImps[[#This Row],[Time]]</f>
        <v>45820.458333333016</v>
      </c>
      <c r="C135" s="153"/>
      <c r="D135" s="154"/>
      <c r="E135" s="94">
        <f ca="1">TblConstr[[#This Row],[Land]]</f>
        <v>50</v>
      </c>
      <c r="F135" s="94">
        <f ca="1">TblPop[[#This Row],[Peasants]]</f>
        <v>169</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171972</v>
      </c>
      <c r="I135" s="94">
        <f ca="1">OFFSET(TblProd[[#This Row],[Food]],-1,0)+OFFSET(TblProd[[#This Row],[Food/hr]],-1,0)+ROUNDUP((TblConstr[[#This Row],[Farms]]*80+TblConstr[[#This Row],[Docks]]*35)*(1+OFFSET(TblProd[[#This Row],[Bonus Food/hr]],-1,0)),0)</f>
        <v>178852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456</v>
      </c>
      <c r="T135" s="94">
        <f ca="1">ROUND(TblProd[[#This Row],[Raw Food/hr]]*(1+TblProd[[#This Row],[Bonus Food/hr]])-TblProd[[#This Row],[Food decay]]-TblProd[[#This Row],[Food eaten]],0)</f>
        <v>599</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456.3</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1788.52</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171972</v>
      </c>
      <c r="BJ135" s="94">
        <f ca="1">TblProd[[#This Row],[Food]]</f>
        <v>178852</v>
      </c>
      <c r="BK135" s="94">
        <f ca="1">TblProd[[#This Row],[Lumber]]</f>
        <v>77213</v>
      </c>
      <c r="BL135" s="94">
        <f ca="1">TblProd[[#This Row],[Mana]]</f>
        <v>0</v>
      </c>
      <c r="BM135" s="94">
        <f ca="1">TblProd[[#This Row],[Ore]]</f>
        <v>0</v>
      </c>
    </row>
    <row r="136" spans="1:65">
      <c r="A136" s="137">
        <f t="shared" si="1"/>
        <v>97</v>
      </c>
      <c r="B136" s="152">
        <f ca="1">TblImps[[#This Row],[Time]]</f>
        <v>45820.49999999968</v>
      </c>
      <c r="C136" s="153"/>
      <c r="D136" s="154"/>
      <c r="E136" s="94">
        <f ca="1">TblConstr[[#This Row],[Land]]</f>
        <v>50</v>
      </c>
      <c r="F136" s="94">
        <f ca="1">TblPop[[#This Row],[Peasants]]</f>
        <v>167</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172428</v>
      </c>
      <c r="I136" s="94">
        <f ca="1">OFFSET(TblProd[[#This Row],[Food]],-1,0)+OFFSET(TblProd[[#This Row],[Food/hr]],-1,0)+ROUNDUP((TblConstr[[#This Row],[Farms]]*80+TblConstr[[#This Row],[Docks]]*35)*(1+OFFSET(TblProd[[#This Row],[Bonus Food/hr]],-1,0)),0)</f>
        <v>179451</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593</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1794.51</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172428</v>
      </c>
      <c r="BJ136" s="94">
        <f ca="1">TblProd[[#This Row],[Food]]</f>
        <v>179451</v>
      </c>
      <c r="BK136" s="94">
        <f ca="1">TblProd[[#This Row],[Lumber]]</f>
        <v>77441</v>
      </c>
      <c r="BL136" s="94">
        <f ca="1">TblProd[[#This Row],[Mana]]</f>
        <v>0</v>
      </c>
      <c r="BM136" s="94">
        <f ca="1">TblProd[[#This Row],[Ore]]</f>
        <v>0</v>
      </c>
    </row>
    <row r="1269" spans="3:12">
      <c r="C1269" s="530" t="s">
        <v>314</v>
      </c>
      <c r="D1269" s="486"/>
      <c r="L1269" s="57"/>
    </row>
    <row r="1270" spans="3:1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68376</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69861</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71329</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72784</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74225</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75653</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77067</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78468</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79855</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81229</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82589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83936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85269</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86589</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87895</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89188</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90467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91733</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92985</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94224</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95449</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96661</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97862</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s="5" customFormat="1">
      <c r="A40" s="193">
        <f>TblRezone[[#This Row],[Hour]]</f>
        <v>37</v>
      </c>
      <c r="B40" s="434">
        <f ca="1">SUM(TblConstr[[#This Row],[Plain]:[Water]])</f>
        <v>0</v>
      </c>
      <c r="C40" s="173">
        <f ca="1">SUM(TblConstr[[#This Row],[Tot Hom]:[Tot Doc]])</f>
        <v>50</v>
      </c>
      <c r="D40" s="173">
        <f t="shared" si="2"/>
        <v>0</v>
      </c>
      <c r="E40" s="194"/>
      <c r="F40" s="148">
        <f ca="1">TblConstr[[#This Row],[Barren]]+TblConstr[[#This Row],[Buildings]]+TblConstr[[#This Row],[Incoming]]</f>
        <v>50</v>
      </c>
      <c r="G40" s="195">
        <f ca="1">OFFSET(TblConstr[[#This Row],[Plain]],-1,0)+TblConstr[[#This Row],[Ch_Plain]]</f>
        <v>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45816.499999999913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99052</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35">
        <f ca="1">ROUNDDOWN( MAX(1 - MIN(facs_constr_factor*TblConstr[[#This Row],[Facs -DB]],facs_constr_max) + tech_1_11*TblTech[[#This Row],[11-1]] + tech_6_3_2*TblTech[[#This Row],[6-3]] + tech_5_2_3*TblTech[[#This Row],[5-2]], 1-global_constr_cap) * TblConstr[[#This Row],[RCPA Lumber]],0)</f>
        <v>31</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35">
        <f ca="1">ROUNDDOWN( MAX(1 - MIN(facs_constr_factor*TblConstr[[#This Row],[Facs DB]],facs_constr_max) + tech_1_11*TblTech[[#This Row],[1-11]] + tech_6_3_2*TblTech[[#This Row],[6-3]] + tech_5_2_3*TblTech[[#This Row],[5-2]], 1-global_constr_cap) * ROUND((TblConstr[[#This Row],[Land]]-250)*0.285 + 87.5 + 0/4.25,0),0)</f>
        <v>31</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600</v>
      </c>
      <c r="AW40" s="35">
        <f ca="1">ROUND((TblConstr[[#This Row],[Land]]-250 - IF(TblExplore[[#This Row],[Land Bonus]]&lt;&gt;0,20,0))*0.285 + 87.5 + 0/4.25,0)</f>
        <v>31</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50</v>
      </c>
      <c r="BU40" s="167">
        <f ca="1">TblImps[[#This Row],[Time]]</f>
        <v>45816.499999999913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30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30</v>
      </c>
      <c r="DH40" s="5">
        <f t="shared" ca="1" si="10"/>
        <v>0</v>
      </c>
      <c r="DI40" s="5">
        <f t="shared" ca="1" si="0"/>
        <v>0</v>
      </c>
      <c r="DJ40" s="5">
        <f t="shared" ca="1" si="1"/>
        <v>0</v>
      </c>
    </row>
    <row r="41" spans="1:114">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100231</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101400</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102558</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103705</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104841</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105966</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107081</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108185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109278</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110360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111431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c r="A52" s="175">
        <f>TblRezone[[#This Row],[Hour]]</f>
        <v>49</v>
      </c>
      <c r="B52" s="176">
        <f ca="1">SUM(TblConstr[[#This Row],[Plain]:[Water]])</f>
        <v>0</v>
      </c>
      <c r="C52" s="177">
        <f ca="1">SUM(TblConstr[[#This Row],[Tot Hom]:[Tot Doc]])</f>
        <v>50</v>
      </c>
      <c r="D52" s="177">
        <f t="shared" si="11"/>
        <v>0</v>
      </c>
      <c r="E52" s="178"/>
      <c r="F52" s="61">
        <f ca="1">TblConstr[[#This Row],[Barren]]+TblConstr[[#This Row],[Buildings]]+TblConstr[[#This Row],[Incoming]]</f>
        <v>50</v>
      </c>
      <c r="G52" s="187">
        <f ca="1">OFFSET(TblConstr[[#This Row],[Plain]],-1,0)+TblConstr[[#This Row],[Ch_Plain]]</f>
        <v>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45816.999999999884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112492</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94">
        <f ca="1">ROUNDDOWN( MAX(1 - MIN(facs_constr_factor*TblConstr[[#This Row],[Facs -DB]],facs_constr_max) + tech_1_11*TblTech[[#This Row],[11-1]] + tech_6_3_2*TblTech[[#This Row],[6-3]] + tech_5_2_3*TblTech[[#This Row],[5-2]], 1-global_constr_cap) * TblConstr[[#This Row],[RCPA Lumber]],0)</f>
        <v>31</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94">
        <f ca="1">ROUNDDOWN( MAX(1 - MIN(facs_constr_factor*TblConstr[[#This Row],[Facs DB]],facs_constr_max) + tech_1_11*TblTech[[#This Row],[1-11]] + tech_6_3_2*TblTech[[#This Row],[6-3]] + tech_5_2_3*TblTech[[#This Row],[5-2]], 1-global_constr_cap) * ROUND((TblConstr[[#This Row],[Land]]-250)*0.285 + 87.5 + 0/4.25,0),0)</f>
        <v>31</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600</v>
      </c>
      <c r="AW52" s="94">
        <f ca="1">ROUND((TblConstr[[#This Row],[Land]]-250 - IF(TblExplore[[#This Row],[Land Bonus]]&lt;&gt;0,20,0))*0.285 + 87.5 + 0/4.25,0)</f>
        <v>31</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50</v>
      </c>
      <c r="BU52" s="159">
        <f ca="1">TblImps[[#This Row],[Time]]</f>
        <v>45816.999999999884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30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30</v>
      </c>
      <c r="DH52" s="45">
        <f t="shared" ca="1" si="10"/>
        <v>0</v>
      </c>
      <c r="DI52" s="45">
        <f t="shared" ca="1" si="0"/>
        <v>0</v>
      </c>
      <c r="DJ52" s="45">
        <f t="shared" ca="1" si="1"/>
        <v>0</v>
      </c>
    </row>
    <row r="53" spans="1:114">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113542</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114581</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115609</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116626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117633</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118629</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119614</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120588</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121551</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122504</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123446</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124380</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125306</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126224</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127133</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128034</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128927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129812</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130689</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131558</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132419</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133272</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134117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134954</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135782</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136602</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137414</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138218</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139014</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139802</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140582</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141354</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142118</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142874</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143621</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144360</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145091</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145814</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146529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147236</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147935</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148626</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149309</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149984</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150650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151311</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151967</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152617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153262</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153901</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154535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155164</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155787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156405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157017</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157624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158226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158822</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159413</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159998</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160578</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161153</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161722</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162286</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162844</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163397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163945</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164487</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165024</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165555</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166081</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166602</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167117</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167627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168131</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168630</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169124</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169612</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170095</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170572</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171044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171511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171972</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172428</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c r="A1269" s="530" t="s">
        <v>314</v>
      </c>
      <c r="B1269" s="486"/>
    </row>
    <row r="1270" spans="1: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c r="A1" s="28"/>
      <c r="B1" s="28"/>
      <c r="D1" s="5" t="s">
        <v>54</v>
      </c>
      <c r="K1" s="208"/>
      <c r="L1" s="534" t="s">
        <v>299</v>
      </c>
      <c r="M1" s="486"/>
      <c r="N1" s="486"/>
      <c r="O1" s="486"/>
      <c r="P1" s="486"/>
      <c r="Q1" s="486"/>
      <c r="R1" s="28"/>
      <c r="S1" s="5" t="s">
        <v>353</v>
      </c>
      <c r="T1" s="5" t="s">
        <v>175</v>
      </c>
      <c r="AB1" s="533" t="s">
        <v>77</v>
      </c>
      <c r="AC1" s="533"/>
      <c r="AF1" s="5" t="s">
        <v>33</v>
      </c>
    </row>
    <row r="2" spans="1:36" s="5" customFormat="1">
      <c r="A2" s="28"/>
      <c r="B2" s="28"/>
      <c r="K2" s="208"/>
      <c r="L2" s="209"/>
      <c r="M2" s="210"/>
      <c r="N2" s="45"/>
      <c r="O2" s="45"/>
      <c r="P2" s="45"/>
      <c r="Q2" s="57"/>
      <c r="R2" s="28"/>
    </row>
    <row r="3" spans="1:36" s="135" customFormat="1" ht="15" customHeight="1">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45815</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45815.041666666664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45815.083333333328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45815.124999999993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45815.166666666657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45815.208333333321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45815.249999999985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45815.29166666665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45815.333333333314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45815.374999999978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45815.416666666642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45815.458333333307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213</v>
      </c>
      <c r="AC16" s="94">
        <f ca="1">TblProd[[#This Row],[Platinum]]</f>
        <v>66875</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57"/>
      <c r="AA17" s="159">
        <f ca="1">TblImps[[#This Row],[Real time]]</f>
        <v>45815.541666666635</v>
      </c>
      <c r="AB17" s="94">
        <f ca="1">TblMili[[#This Row],[Draftees]]</f>
        <v>219</v>
      </c>
      <c r="AC17" s="94">
        <f ca="1">TblProd[[#This Row],[Platinum]]</f>
        <v>68376</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57"/>
      <c r="AA18" s="159">
        <f ca="1">TblImps[[#This Row],[Real time]]</f>
        <v>45815.583333333299</v>
      </c>
      <c r="AB18" s="94">
        <f ca="1">TblMili[[#This Row],[Draftees]]</f>
        <v>225</v>
      </c>
      <c r="AC18" s="94">
        <f ca="1">TblProd[[#This Row],[Platinum]]</f>
        <v>69861</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57"/>
      <c r="T19" s="94"/>
      <c r="AA19" s="159">
        <f ca="1">TblImps[[#This Row],[Real time]]</f>
        <v>45815.624999999964</v>
      </c>
      <c r="AB19" s="94">
        <f ca="1">TblMili[[#This Row],[Draftees]]</f>
        <v>230</v>
      </c>
      <c r="AC19" s="94">
        <f ca="1">TblProd[[#This Row],[Platinum]]</f>
        <v>71329</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76</v>
      </c>
    </row>
    <row r="20" spans="1:36">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57"/>
      <c r="T20" s="94"/>
      <c r="AA20" s="159">
        <f ca="1">TblImps[[#This Row],[Real time]]</f>
        <v>45815.666666666628</v>
      </c>
      <c r="AB20" s="94">
        <f ca="1">TblMili[[#This Row],[Draftees]]</f>
        <v>235</v>
      </c>
      <c r="AC20" s="94">
        <f ca="1">TblProd[[#This Row],[Platinum]]</f>
        <v>72784</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78</v>
      </c>
    </row>
    <row r="21" spans="1:36">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57"/>
      <c r="AA21" s="159">
        <f ca="1">TblImps[[#This Row],[Real time]]</f>
        <v>45815.708333333292</v>
      </c>
      <c r="AB21" s="94">
        <f ca="1">TblMili[[#This Row],[Draftees]]</f>
        <v>240</v>
      </c>
      <c r="AC21" s="94">
        <f ca="1">TblProd[[#This Row],[Platinum]]</f>
        <v>74225</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80</v>
      </c>
    </row>
    <row r="22" spans="1:36">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57"/>
      <c r="AA22" s="159">
        <f ca="1">TblImps[[#This Row],[Real time]]</f>
        <v>45815.749999999956</v>
      </c>
      <c r="AB22" s="94">
        <f ca="1">TblMili[[#This Row],[Draftees]]</f>
        <v>245</v>
      </c>
      <c r="AC22" s="94">
        <f ca="1">TblProd[[#This Row],[Platinum]]</f>
        <v>75653</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81</v>
      </c>
    </row>
    <row r="23" spans="1:36">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57"/>
      <c r="AA23" s="159">
        <f ca="1">TblImps[[#This Row],[Real time]]</f>
        <v>45815.791666666621</v>
      </c>
      <c r="AB23" s="94">
        <f ca="1">TblMili[[#This Row],[Draftees]]</f>
        <v>250</v>
      </c>
      <c r="AC23" s="94">
        <f ca="1">TblProd[[#This Row],[Platinum]]</f>
        <v>77067</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83</v>
      </c>
    </row>
    <row r="24" spans="1:36">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57"/>
      <c r="AA24" s="159">
        <f ca="1">TblImps[[#This Row],[Real time]]</f>
        <v>45815.833333333285</v>
      </c>
      <c r="AB24" s="94">
        <f ca="1">TblMili[[#This Row],[Draftees]]</f>
        <v>255</v>
      </c>
      <c r="AC24" s="94">
        <f ca="1">TblProd[[#This Row],[Platinum]]</f>
        <v>78468</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85</v>
      </c>
    </row>
    <row r="25" spans="1:36">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57"/>
      <c r="AA25" s="159">
        <f ca="1">TblImps[[#This Row],[Real time]]</f>
        <v>45815.874999999949</v>
      </c>
      <c r="AB25" s="94">
        <f ca="1">TblMili[[#This Row],[Draftees]]</f>
        <v>260</v>
      </c>
      <c r="AC25" s="94">
        <f ca="1">TblProd[[#This Row],[Platinum]]</f>
        <v>79855</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86</v>
      </c>
    </row>
    <row r="26" spans="1:36">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127133</v>
      </c>
      <c r="N26" s="217">
        <f ca="1">TblMili[[#This Row],[Smithies]]</f>
        <v>0</v>
      </c>
      <c r="O26" s="217">
        <f ca="1">TblPop[[#This Row],[Employment]]</f>
        <v>1</v>
      </c>
      <c r="P26" s="217">
        <f ca="1">TblImps[[#This Row],[Population]]</f>
        <v>1</v>
      </c>
      <c r="Q26" s="175">
        <f ca="1">TblExplore[[#This Row],[Land]]</f>
        <v>50</v>
      </c>
      <c r="R26" s="175">
        <f>TblExplore[[#This Row],[Hour]]</f>
        <v>23</v>
      </c>
      <c r="S26" s="57"/>
      <c r="AA26" s="159">
        <f ca="1">TblImps[[#This Row],[Real time]]</f>
        <v>45815.916666666613</v>
      </c>
      <c r="AB26" s="94">
        <f ca="1">TblMili[[#This Row],[Draftees]]</f>
        <v>265</v>
      </c>
      <c r="AC26" s="94">
        <f ca="1">TblProd[[#This Row],[Platinum]]</f>
        <v>81229</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88</v>
      </c>
    </row>
    <row r="27" spans="1:36">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828</v>
      </c>
      <c r="N27" s="217">
        <f ca="1">TblMili[[#This Row],[Smithies]]</f>
        <v>0</v>
      </c>
      <c r="O27" s="217">
        <f ca="1">TblPop[[#This Row],[Employment]]</f>
        <v>1</v>
      </c>
      <c r="P27" s="217">
        <f ca="1">TblImps[[#This Row],[Population]]</f>
        <v>1</v>
      </c>
      <c r="Q27" s="175">
        <f ca="1">TblExplore[[#This Row],[Land]]</f>
        <v>50</v>
      </c>
      <c r="R27" s="175">
        <f>TblExplore[[#This Row],[Hour]]</f>
        <v>24</v>
      </c>
      <c r="S27" s="57"/>
      <c r="T27" s="94"/>
      <c r="AA27" s="159">
        <f ca="1">TblImps[[#This Row],[Real time]]</f>
        <v>45815.958333333278</v>
      </c>
      <c r="AB27" s="94">
        <f ca="1">TblMili[[#This Row],[Draftees]]</f>
        <v>270</v>
      </c>
      <c r="AC27" s="94">
        <f ca="1">TblProd[[#This Row],[Platinum]]</f>
        <v>82589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90</v>
      </c>
    </row>
    <row r="28" spans="1:36">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426</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275</v>
      </c>
      <c r="AC28" s="94">
        <f ca="1">TblProd[[#This Row],[Platinum]]</f>
        <v>83936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91</v>
      </c>
    </row>
    <row r="29" spans="1:36">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280</v>
      </c>
      <c r="AC29" s="94">
        <f ca="1">TblProd[[#This Row],[Platinum]]</f>
        <v>85269</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93</v>
      </c>
    </row>
    <row r="30" spans="1:36">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285</v>
      </c>
      <c r="AC30" s="94">
        <f ca="1">TblProd[[#This Row],[Platinum]]</f>
        <v>86589</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95</v>
      </c>
    </row>
    <row r="31" spans="1:36">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290</v>
      </c>
      <c r="AC31" s="94">
        <f ca="1">TblProd[[#This Row],[Platinum]]</f>
        <v>87895</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96</v>
      </c>
    </row>
    <row r="32" spans="1:36">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295</v>
      </c>
      <c r="AC32" s="94">
        <f ca="1">TblProd[[#This Row],[Platinum]]</f>
        <v>89188</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98</v>
      </c>
    </row>
    <row r="33" spans="1:36">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300</v>
      </c>
      <c r="AC33" s="94">
        <f ca="1">TblProd[[#This Row],[Platinum]]</f>
        <v>90467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100</v>
      </c>
    </row>
    <row r="34" spans="1:36">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305</v>
      </c>
      <c r="AC34" s="94">
        <f ca="1">TblProd[[#This Row],[Platinum]]</f>
        <v>91733</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101</v>
      </c>
    </row>
    <row r="35" spans="1:36">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310</v>
      </c>
      <c r="AC35" s="94">
        <f ca="1">TblProd[[#This Row],[Platinum]]</f>
        <v>92985</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103</v>
      </c>
    </row>
    <row r="36" spans="1:36">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315</v>
      </c>
      <c r="AC36" s="94">
        <f ca="1">TblProd[[#This Row],[Platinum]]</f>
        <v>94224</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105</v>
      </c>
    </row>
    <row r="37" spans="1:36">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320</v>
      </c>
      <c r="AC37" s="94">
        <f ca="1">TblProd[[#This Row],[Platinum]]</f>
        <v>95449</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106</v>
      </c>
    </row>
    <row r="38" spans="1:36">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324</v>
      </c>
      <c r="AC38" s="94">
        <f ca="1">TblProd[[#This Row],[Platinum]]</f>
        <v>96661</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108</v>
      </c>
    </row>
    <row r="39" spans="1:36">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328</v>
      </c>
      <c r="AC39" s="94">
        <f ca="1">TblProd[[#This Row],[Platinum]]</f>
        <v>97862</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109</v>
      </c>
    </row>
    <row r="40" spans="1:36" s="5" customFormat="1" ht="12.75" customHeight="1">
      <c r="A40" s="193">
        <f>TblRezone[[#This Row],[Hour]]</f>
        <v>37</v>
      </c>
      <c r="B40" s="230">
        <f ca="1">TblConstr[[#This Row],[Land]]</f>
        <v>50</v>
      </c>
      <c r="C40" s="231"/>
      <c r="D40" s="232">
        <f ca="1">TblConstr[[#This Row],[Plain]]</f>
        <v>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50</v>
      </c>
      <c r="R40" s="193">
        <f>TblExplore[[#This Row],[Hour]]</f>
        <v>37</v>
      </c>
      <c r="S40" s="233"/>
      <c r="T40" s="201"/>
      <c r="U40" s="201"/>
      <c r="V40" s="201"/>
      <c r="W40" s="201"/>
      <c r="X40" s="201"/>
      <c r="Y40" s="201"/>
      <c r="Z40" s="201"/>
      <c r="AA40" s="167">
        <f ca="1">TblImps[[#This Row],[Real time]]</f>
        <v>45816.499999999913</v>
      </c>
      <c r="AB40" s="35">
        <f ca="1">TblMili[[#This Row],[Draftees]]</f>
        <v>332</v>
      </c>
      <c r="AC40" s="35">
        <f ca="1">TblProd[[#This Row],[Platinum]]</f>
        <v>99052</v>
      </c>
      <c r="AD40" s="231"/>
      <c r="AE40" s="5">
        <f ca="1">TblExplore[[#This Row],[Land]]-TblExplore[[#This Row],[Land Bonus]]*20</f>
        <v>50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110</v>
      </c>
    </row>
    <row r="41" spans="1:36">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336</v>
      </c>
      <c r="AC41" s="94">
        <f ca="1">TblProd[[#This Row],[Platinum]]</f>
        <v>100231</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112</v>
      </c>
    </row>
    <row r="42" spans="1:36">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340</v>
      </c>
      <c r="AC42" s="94">
        <f ca="1">TblProd[[#This Row],[Platinum]]</f>
        <v>101400</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113</v>
      </c>
    </row>
    <row r="43" spans="1:36">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344</v>
      </c>
      <c r="AC43" s="94">
        <f ca="1">TblProd[[#This Row],[Platinum]]</f>
        <v>102558</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114</v>
      </c>
    </row>
    <row r="44" spans="1:36">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348</v>
      </c>
      <c r="AC44" s="94">
        <f ca="1">TblProd[[#This Row],[Platinum]]</f>
        <v>103705</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116</v>
      </c>
    </row>
    <row r="45" spans="1:36">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352</v>
      </c>
      <c r="AC45" s="94">
        <f ca="1">TblProd[[#This Row],[Platinum]]</f>
        <v>104841</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117</v>
      </c>
    </row>
    <row r="46" spans="1:36">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356</v>
      </c>
      <c r="AC46" s="94">
        <f ca="1">TblProd[[#This Row],[Platinum]]</f>
        <v>105966</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118</v>
      </c>
    </row>
    <row r="47" spans="1:36">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360</v>
      </c>
      <c r="AC47" s="94">
        <f ca="1">TblProd[[#This Row],[Platinum]]</f>
        <v>107081</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120</v>
      </c>
    </row>
    <row r="48" spans="1:36">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364</v>
      </c>
      <c r="AC48" s="94">
        <f ca="1">TblProd[[#This Row],[Platinum]]</f>
        <v>108185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121</v>
      </c>
    </row>
    <row r="49" spans="1:36">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368</v>
      </c>
      <c r="AC49" s="94">
        <f ca="1">TblProd[[#This Row],[Platinum]]</f>
        <v>109278</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122</v>
      </c>
    </row>
    <row r="50" spans="1:36">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372</v>
      </c>
      <c r="AC50" s="94">
        <f ca="1">TblProd[[#This Row],[Platinum]]</f>
        <v>110360</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124</v>
      </c>
    </row>
    <row r="51" spans="1:36">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376</v>
      </c>
      <c r="AC51" s="94">
        <f ca="1">TblProd[[#This Row],[Platinum]]</f>
        <v>111431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125</v>
      </c>
    </row>
    <row r="52" spans="1:36">
      <c r="A52" s="175">
        <f>TblRezone[[#This Row],[Hour]]</f>
        <v>49</v>
      </c>
      <c r="B52" s="214">
        <f ca="1">TblConstr[[#This Row],[Land]]</f>
        <v>50</v>
      </c>
      <c r="C52" s="215"/>
      <c r="D52" s="216">
        <f ca="1">TblConstr[[#This Row],[Plain]]</f>
        <v>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50</v>
      </c>
      <c r="R52" s="175">
        <f>TblExplore[[#This Row],[Hour]]</f>
        <v>49</v>
      </c>
      <c r="S52" s="218"/>
      <c r="T52" s="179"/>
      <c r="U52" s="179"/>
      <c r="V52" s="179"/>
      <c r="W52" s="179"/>
      <c r="X52" s="179"/>
      <c r="Y52" s="179"/>
      <c r="Z52" s="179"/>
      <c r="AA52" s="159">
        <f ca="1">TblImps[[#This Row],[Real time]]</f>
        <v>45816.999999999884</v>
      </c>
      <c r="AB52" s="94">
        <f ca="1">TblMili[[#This Row],[Draftees]]</f>
        <v>380</v>
      </c>
      <c r="AC52" s="94">
        <f ca="1">TblProd[[#This Row],[Platinum]]</f>
        <v>112492</v>
      </c>
      <c r="AD52" s="215"/>
      <c r="AE52" s="45">
        <f ca="1">TblExplore[[#This Row],[Land]]-TblExplore[[#This Row],[Land Bonus]]*20</f>
        <v>50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126</v>
      </c>
    </row>
    <row r="53" spans="1:36">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384</v>
      </c>
      <c r="AC53" s="94">
        <f ca="1">TblProd[[#This Row],[Platinum]]</f>
        <v>113542</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128</v>
      </c>
    </row>
    <row r="54" spans="1:36">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388</v>
      </c>
      <c r="AC54" s="94">
        <f ca="1">TblProd[[#This Row],[Platinum]]</f>
        <v>114581</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129</v>
      </c>
    </row>
    <row r="55" spans="1:36">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392</v>
      </c>
      <c r="AC55" s="94">
        <f ca="1">TblProd[[#This Row],[Platinum]]</f>
        <v>115609</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130</v>
      </c>
    </row>
    <row r="56" spans="1:36">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396</v>
      </c>
      <c r="AC56" s="94">
        <f ca="1">TblProd[[#This Row],[Platinum]]</f>
        <v>116626</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132</v>
      </c>
    </row>
    <row r="57" spans="1:36">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400</v>
      </c>
      <c r="AC57" s="94">
        <f ca="1">TblProd[[#This Row],[Platinum]]</f>
        <v>117633</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133</v>
      </c>
    </row>
    <row r="58" spans="1:36">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404</v>
      </c>
      <c r="AC58" s="94">
        <f ca="1">TblProd[[#This Row],[Platinum]]</f>
        <v>118629</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134</v>
      </c>
    </row>
    <row r="59" spans="1:36">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408</v>
      </c>
      <c r="AC59" s="94">
        <f ca="1">TblProd[[#This Row],[Platinum]]</f>
        <v>119614</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136</v>
      </c>
    </row>
    <row r="60" spans="1:36">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412</v>
      </c>
      <c r="AC60" s="94">
        <f ca="1">TblProd[[#This Row],[Platinum]]</f>
        <v>120588</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137</v>
      </c>
    </row>
    <row r="61" spans="1:36">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416</v>
      </c>
      <c r="AC61" s="94">
        <f ca="1">TblProd[[#This Row],[Platinum]]</f>
        <v>121551</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138</v>
      </c>
    </row>
    <row r="62" spans="1:36">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420</v>
      </c>
      <c r="AC62" s="94">
        <f ca="1">TblProd[[#This Row],[Platinum]]</f>
        <v>122504</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140</v>
      </c>
    </row>
    <row r="63" spans="1:36">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423</v>
      </c>
      <c r="AC63" s="94">
        <f ca="1">TblProd[[#This Row],[Platinum]]</f>
        <v>123446</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141</v>
      </c>
    </row>
    <row r="64" spans="1:36">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426</v>
      </c>
      <c r="AC64" s="94">
        <f ca="1">TblProd[[#This Row],[Platinum]]</f>
        <v>124380</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142</v>
      </c>
    </row>
    <row r="65" spans="1:36">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429</v>
      </c>
      <c r="AC65" s="94">
        <f ca="1">TblProd[[#This Row],[Platinum]]</f>
        <v>125306</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143</v>
      </c>
    </row>
    <row r="66" spans="1:36">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432</v>
      </c>
      <c r="AC66" s="94">
        <f ca="1">TblProd[[#This Row],[Platinum]]</f>
        <v>126224</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144</v>
      </c>
    </row>
    <row r="67" spans="1:36">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435</v>
      </c>
      <c r="AC67" s="94">
        <f ca="1">TblProd[[#This Row],[Platinum]]</f>
        <v>127133</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145</v>
      </c>
    </row>
    <row r="68" spans="1:36">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438</v>
      </c>
      <c r="AC68" s="94">
        <f ca="1">TblProd[[#This Row],[Platinum]]</f>
        <v>128034</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146</v>
      </c>
    </row>
    <row r="69" spans="1:36">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441</v>
      </c>
      <c r="AC69" s="94">
        <f ca="1">TblProd[[#This Row],[Platinum]]</f>
        <v>128927</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147</v>
      </c>
    </row>
    <row r="70" spans="1:36">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444</v>
      </c>
      <c r="AC70" s="94">
        <f ca="1">TblProd[[#This Row],[Platinum]]</f>
        <v>129812</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148</v>
      </c>
    </row>
    <row r="71" spans="1:36">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447</v>
      </c>
      <c r="AC71" s="94">
        <f ca="1">TblProd[[#This Row],[Platinum]]</f>
        <v>130689</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149</v>
      </c>
    </row>
    <row r="72" spans="1:36">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450</v>
      </c>
      <c r="AC72" s="94">
        <f ca="1">TblProd[[#This Row],[Platinum]]</f>
        <v>131558</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150</v>
      </c>
    </row>
    <row r="73" spans="1:36">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453</v>
      </c>
      <c r="AC73" s="94">
        <f ca="1">TblProd[[#This Row],[Platinum]]</f>
        <v>132419</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151</v>
      </c>
    </row>
    <row r="74" spans="1:36">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456</v>
      </c>
      <c r="AC74" s="94">
        <f ca="1">TblProd[[#This Row],[Platinum]]</f>
        <v>133272</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152</v>
      </c>
    </row>
    <row r="75" spans="1:36">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459</v>
      </c>
      <c r="AC75" s="94">
        <f ca="1">TblProd[[#This Row],[Platinum]]</f>
        <v>134117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153</v>
      </c>
    </row>
    <row r="76" spans="1:36">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462</v>
      </c>
      <c r="AC76" s="430">
        <f ca="1">TblProd[[#This Row],[Platinum]]</f>
        <v>134954</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154</v>
      </c>
    </row>
    <row r="77" spans="1:36">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465</v>
      </c>
      <c r="AC77" s="94">
        <f ca="1">TblProd[[#This Row],[Platinum]]</f>
        <v>135782</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155</v>
      </c>
    </row>
    <row r="78" spans="1:36">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468</v>
      </c>
      <c r="AC78" s="94">
        <f ca="1">TblProd[[#This Row],[Platinum]]</f>
        <v>136602</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156</v>
      </c>
    </row>
    <row r="79" spans="1:36">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471</v>
      </c>
      <c r="AC79" s="94">
        <f ca="1">TblProd[[#This Row],[Platinum]]</f>
        <v>137414</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157</v>
      </c>
    </row>
    <row r="80" spans="1:36">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474</v>
      </c>
      <c r="AC80" s="94">
        <f ca="1">TblProd[[#This Row],[Platinum]]</f>
        <v>138218</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158</v>
      </c>
    </row>
    <row r="81" spans="1:36">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477</v>
      </c>
      <c r="AC81" s="94">
        <f ca="1">TblProd[[#This Row],[Platinum]]</f>
        <v>139014</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159</v>
      </c>
    </row>
    <row r="82" spans="1:36">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480</v>
      </c>
      <c r="AC82" s="94">
        <f ca="1">TblProd[[#This Row],[Platinum]]</f>
        <v>139802</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160</v>
      </c>
    </row>
    <row r="83" spans="1:36">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483</v>
      </c>
      <c r="AC83" s="94">
        <f ca="1">TblProd[[#This Row],[Platinum]]</f>
        <v>140582</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161</v>
      </c>
    </row>
    <row r="84" spans="1:36">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486</v>
      </c>
      <c r="AC84" s="94">
        <f ca="1">TblProd[[#This Row],[Platinum]]</f>
        <v>141354</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162</v>
      </c>
    </row>
    <row r="85" spans="1:36">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489</v>
      </c>
      <c r="AC85" s="94">
        <f ca="1">TblProd[[#This Row],[Platinum]]</f>
        <v>142118</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163</v>
      </c>
    </row>
    <row r="86" spans="1:36">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492</v>
      </c>
      <c r="AC86" s="94">
        <f ca="1">TblProd[[#This Row],[Platinum]]</f>
        <v>142874</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164</v>
      </c>
    </row>
    <row r="87" spans="1:36">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495</v>
      </c>
      <c r="AC87" s="94">
        <f ca="1">TblProd[[#This Row],[Platinum]]</f>
        <v>143621</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165</v>
      </c>
    </row>
    <row r="88" spans="1:36">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498</v>
      </c>
      <c r="AC88" s="94">
        <f ca="1">TblProd[[#This Row],[Platinum]]</f>
        <v>144360</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166</v>
      </c>
    </row>
    <row r="89" spans="1:36">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501</v>
      </c>
      <c r="AC89" s="94">
        <f ca="1">TblProd[[#This Row],[Platinum]]</f>
        <v>145091</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167</v>
      </c>
    </row>
    <row r="90" spans="1:36">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504</v>
      </c>
      <c r="AC90" s="94">
        <f ca="1">TblProd[[#This Row],[Platinum]]</f>
        <v>145814</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168</v>
      </c>
    </row>
    <row r="91" spans="1:36">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507</v>
      </c>
      <c r="AC91" s="94">
        <f ca="1">TblProd[[#This Row],[Platinum]]</f>
        <v>146529</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169</v>
      </c>
    </row>
    <row r="92" spans="1:36">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510</v>
      </c>
      <c r="AC92" s="94">
        <f ca="1">TblProd[[#This Row],[Platinum]]</f>
        <v>147236</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170</v>
      </c>
    </row>
    <row r="93" spans="1:36">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513</v>
      </c>
      <c r="AC93" s="94">
        <f ca="1">TblProd[[#This Row],[Platinum]]</f>
        <v>147935</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171</v>
      </c>
    </row>
    <row r="94" spans="1:36">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516</v>
      </c>
      <c r="AC94" s="94">
        <f ca="1">TblProd[[#This Row],[Platinum]]</f>
        <v>148626</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172</v>
      </c>
    </row>
    <row r="95" spans="1:36">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519</v>
      </c>
      <c r="AC95" s="94">
        <f ca="1">TblProd[[#This Row],[Platinum]]</f>
        <v>149309</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173</v>
      </c>
    </row>
    <row r="96" spans="1:36">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522</v>
      </c>
      <c r="AC96" s="94">
        <f ca="1">TblProd[[#This Row],[Platinum]]</f>
        <v>149984</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174</v>
      </c>
    </row>
    <row r="97" spans="1:36">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524</v>
      </c>
      <c r="AC97" s="94">
        <f ca="1">TblProd[[#This Row],[Platinum]]</f>
        <v>150650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174</v>
      </c>
    </row>
    <row r="98" spans="1:36">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526</v>
      </c>
      <c r="AC98" s="94">
        <f ca="1">TblProd[[#This Row],[Platinum]]</f>
        <v>151311</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175</v>
      </c>
    </row>
    <row r="99" spans="1:36">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528</v>
      </c>
      <c r="AC99" s="94">
        <f ca="1">TblProd[[#This Row],[Platinum]]</f>
        <v>151967</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176</v>
      </c>
    </row>
    <row r="100" spans="1:36">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530</v>
      </c>
      <c r="AC100" s="94">
        <f ca="1">TblProd[[#This Row],[Platinum]]</f>
        <v>152617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176</v>
      </c>
    </row>
    <row r="101" spans="1:36">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532</v>
      </c>
      <c r="AC101" s="94">
        <f ca="1">TblProd[[#This Row],[Platinum]]</f>
        <v>153262</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177</v>
      </c>
    </row>
    <row r="102" spans="1:36">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534</v>
      </c>
      <c r="AC102" s="94">
        <f ca="1">TblProd[[#This Row],[Platinum]]</f>
        <v>153901</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178</v>
      </c>
    </row>
    <row r="103" spans="1:36">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536</v>
      </c>
      <c r="AC103" s="94">
        <f ca="1">TblProd[[#This Row],[Platinum]]</f>
        <v>154535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178</v>
      </c>
    </row>
    <row r="104" spans="1:36">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538</v>
      </c>
      <c r="AC104" s="94">
        <f ca="1">TblProd[[#This Row],[Platinum]]</f>
        <v>155164</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179</v>
      </c>
    </row>
    <row r="105" spans="1:36">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540</v>
      </c>
      <c r="AC105" s="94">
        <f ca="1">TblProd[[#This Row],[Platinum]]</f>
        <v>155787</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180</v>
      </c>
    </row>
    <row r="106" spans="1:36">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542</v>
      </c>
      <c r="AC106" s="94">
        <f ca="1">TblProd[[#This Row],[Platinum]]</f>
        <v>156405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180</v>
      </c>
    </row>
    <row r="107" spans="1:36">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544</v>
      </c>
      <c r="AC107" s="94">
        <f ca="1">TblProd[[#This Row],[Platinum]]</f>
        <v>157017</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181</v>
      </c>
    </row>
    <row r="108" spans="1:36">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546</v>
      </c>
      <c r="AC108" s="94">
        <f ca="1">TblProd[[#This Row],[Platinum]]</f>
        <v>157624</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182</v>
      </c>
    </row>
    <row r="109" spans="1:36">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548</v>
      </c>
      <c r="AC109" s="94">
        <f ca="1">TblProd[[#This Row],[Platinum]]</f>
        <v>158226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182</v>
      </c>
    </row>
    <row r="110" spans="1:36">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550</v>
      </c>
      <c r="AC110" s="94">
        <f ca="1">TblProd[[#This Row],[Platinum]]</f>
        <v>158822</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183</v>
      </c>
    </row>
    <row r="111" spans="1:36">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552</v>
      </c>
      <c r="AC111" s="94">
        <f ca="1">TblProd[[#This Row],[Platinum]]</f>
        <v>159413</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184</v>
      </c>
    </row>
    <row r="112" spans="1:36" ht="12.75" customHeight="1">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554</v>
      </c>
      <c r="AC112" s="94">
        <f ca="1">TblProd[[#This Row],[Platinum]]</f>
        <v>159998</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184</v>
      </c>
    </row>
    <row r="113" spans="1:36">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556</v>
      </c>
      <c r="AC113" s="94">
        <f ca="1">TblProd[[#This Row],[Platinum]]</f>
        <v>160578</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185</v>
      </c>
    </row>
    <row r="114" spans="1:36">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558</v>
      </c>
      <c r="AC114" s="94">
        <f ca="1">TblProd[[#This Row],[Platinum]]</f>
        <v>161153</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186</v>
      </c>
    </row>
    <row r="115" spans="1:36">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560</v>
      </c>
      <c r="AC115" s="94">
        <f ca="1">TblProd[[#This Row],[Platinum]]</f>
        <v>161722</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186</v>
      </c>
    </row>
    <row r="116" spans="1:36">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562</v>
      </c>
      <c r="AC116" s="94">
        <f ca="1">TblProd[[#This Row],[Platinum]]</f>
        <v>162286</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187</v>
      </c>
    </row>
    <row r="117" spans="1:36">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564</v>
      </c>
      <c r="AC117" s="94">
        <f ca="1">TblProd[[#This Row],[Platinum]]</f>
        <v>162844</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188</v>
      </c>
    </row>
    <row r="118" spans="1:36">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566</v>
      </c>
      <c r="AC118" s="94">
        <f ca="1">TblProd[[#This Row],[Platinum]]</f>
        <v>163397</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188</v>
      </c>
    </row>
    <row r="119" spans="1:36">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568</v>
      </c>
      <c r="AC119" s="94">
        <f ca="1">TblProd[[#This Row],[Platinum]]</f>
        <v>163945</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189</v>
      </c>
    </row>
    <row r="120" spans="1:36">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570</v>
      </c>
      <c r="AC120" s="94">
        <f ca="1">TblProd[[#This Row],[Platinum]]</f>
        <v>164487</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190</v>
      </c>
    </row>
    <row r="121" spans="1:36">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572</v>
      </c>
      <c r="AC121" s="94">
        <f ca="1">TblProd[[#This Row],[Platinum]]</f>
        <v>165024</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190</v>
      </c>
    </row>
    <row r="122" spans="1:36">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574</v>
      </c>
      <c r="AC122" s="94">
        <f ca="1">TblProd[[#This Row],[Platinum]]</f>
        <v>165555</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191</v>
      </c>
    </row>
    <row r="123" spans="1:36">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576</v>
      </c>
      <c r="AC123" s="94">
        <f ca="1">TblProd[[#This Row],[Platinum]]</f>
        <v>166081</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192</v>
      </c>
    </row>
    <row r="124" spans="1:36">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578</v>
      </c>
      <c r="AC124" s="94">
        <f ca="1">TblProd[[#This Row],[Platinum]]</f>
        <v>166602</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192</v>
      </c>
    </row>
    <row r="125" spans="1:36">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580</v>
      </c>
      <c r="AC125" s="94">
        <f ca="1">TblProd[[#This Row],[Platinum]]</f>
        <v>167117</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193</v>
      </c>
    </row>
    <row r="126" spans="1:36">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582</v>
      </c>
      <c r="AC126" s="94">
        <f ca="1">TblProd[[#This Row],[Platinum]]</f>
        <v>167627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194</v>
      </c>
    </row>
    <row r="127" spans="1:36">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584</v>
      </c>
      <c r="AC127" s="94">
        <f ca="1">TblProd[[#This Row],[Platinum]]</f>
        <v>168131</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194</v>
      </c>
    </row>
    <row r="128" spans="1:36">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586</v>
      </c>
      <c r="AC128" s="94">
        <f ca="1">TblProd[[#This Row],[Platinum]]</f>
        <v>168630</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195</v>
      </c>
    </row>
    <row r="129" spans="1:36">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588</v>
      </c>
      <c r="AC129" s="94">
        <f ca="1">TblProd[[#This Row],[Platinum]]</f>
        <v>169124</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196</v>
      </c>
    </row>
    <row r="130" spans="1:36">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590</v>
      </c>
      <c r="AC130" s="94">
        <f ca="1">TblProd[[#This Row],[Platinum]]</f>
        <v>169612</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196</v>
      </c>
    </row>
    <row r="131" spans="1:36">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592</v>
      </c>
      <c r="AC131" s="94">
        <f ca="1">TblProd[[#This Row],[Platinum]]</f>
        <v>170095</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197</v>
      </c>
    </row>
    <row r="132" spans="1:36">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594</v>
      </c>
      <c r="AC132" s="94">
        <f ca="1">TblProd[[#This Row],[Platinum]]</f>
        <v>170572</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198</v>
      </c>
    </row>
    <row r="133" spans="1:36">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596</v>
      </c>
      <c r="AC133" s="94">
        <f ca="1">TblProd[[#This Row],[Platinum]]</f>
        <v>171044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198</v>
      </c>
    </row>
    <row r="134" spans="1:36">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598</v>
      </c>
      <c r="AC134" s="94">
        <f ca="1">TblProd[[#This Row],[Platinum]]</f>
        <v>171511</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199</v>
      </c>
    </row>
    <row r="135" spans="1:36">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600</v>
      </c>
      <c r="AC135" s="94">
        <f ca="1">TblProd[[#This Row],[Platinum]]</f>
        <v>171972</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200</v>
      </c>
    </row>
    <row r="136" spans="1:36">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602</v>
      </c>
      <c r="AC136" s="94">
        <f ca="1">TblProd[[#This Row],[Platinum]]</f>
        <v>172428</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200</v>
      </c>
    </row>
    <row r="1269" spans="2:13">
      <c r="B1269" s="530" t="s">
        <v>314</v>
      </c>
      <c r="C1269" s="530"/>
      <c r="L1269" s="234"/>
      <c r="M1269" s="234"/>
    </row>
    <row r="1270" spans="2:13">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S17" s="94">
        <f>SUMIF(TblRezone[[#This Row],[Plains Rezone]:[Water Rezone]],"&gt;0")</f>
        <v>0</v>
      </c>
      <c r="T17" s="61" t="str">
        <f>IF(SUM(TblRezone[[#This Row],[Plains Rezone]:[Water Rezone]])=0,"Ok","Nope")</f>
        <v>Ok</v>
      </c>
      <c r="U17" s="215"/>
      <c r="V17" s="94">
        <f ca="1">TblProd[[#This Row],[Platinum]]</f>
        <v>68376</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S18" s="94">
        <f>SUMIF(TblRezone[[#This Row],[Plains Rezone]:[Water Rezone]],"&gt;0")</f>
        <v>0</v>
      </c>
      <c r="T18" s="61" t="str">
        <f>IF(SUM(TblRezone[[#This Row],[Plains Rezone]:[Water Rezone]])=0,"Ok","Nope")</f>
        <v>Ok</v>
      </c>
      <c r="U18" s="215"/>
      <c r="V18" s="94">
        <f ca="1">TblProd[[#This Row],[Platinum]]</f>
        <v>69861</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S19" s="94">
        <f>SUMIF(TblRezone[[#This Row],[Plains Rezone]:[Water Rezone]],"&gt;0")</f>
        <v>0</v>
      </c>
      <c r="T19" s="61" t="str">
        <f>IF(SUM(TblRezone[[#This Row],[Plains Rezone]:[Water Rezone]])=0,"Ok","Nope")</f>
        <v>Ok</v>
      </c>
      <c r="U19" s="215"/>
      <c r="V19" s="94">
        <f ca="1">TblProd[[#This Row],[Platinum]]</f>
        <v>71329</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S20" s="94">
        <f>SUMIF(TblRezone[[#This Row],[Plains Rezone]:[Water Rezone]],"&gt;0")</f>
        <v>0</v>
      </c>
      <c r="T20" s="61" t="str">
        <f>IF(SUM(TblRezone[[#This Row],[Plains Rezone]:[Water Rezone]])=0,"Ok","Nope")</f>
        <v>Ok</v>
      </c>
      <c r="U20" s="215"/>
      <c r="V20" s="94">
        <f ca="1">TblProd[[#This Row],[Platinum]]</f>
        <v>72784</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S21" s="94">
        <f>SUMIF(TblRezone[[#This Row],[Plains Rezone]:[Water Rezone]],"&gt;0")</f>
        <v>0</v>
      </c>
      <c r="T21" s="61" t="str">
        <f>IF(SUM(TblRezone[[#This Row],[Plains Rezone]:[Water Rezone]])=0,"Ok","Nope")</f>
        <v>Ok</v>
      </c>
      <c r="U21" s="215"/>
      <c r="V21" s="94">
        <f ca="1">TblProd[[#This Row],[Platinum]]</f>
        <v>74225</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S22" s="94">
        <f>SUMIF(TblRezone[[#This Row],[Plains Rezone]:[Water Rezone]],"&gt;0")</f>
        <v>0</v>
      </c>
      <c r="T22" s="61" t="str">
        <f>IF(SUM(TblRezone[[#This Row],[Plains Rezone]:[Water Rezone]])=0,"Ok","Nope")</f>
        <v>Ok</v>
      </c>
      <c r="U22" s="215"/>
      <c r="V22" s="94">
        <f ca="1">TblProd[[#This Row],[Platinum]]</f>
        <v>75653</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S23" s="94">
        <f>SUMIF(TblRezone[[#This Row],[Plains Rezone]:[Water Rezone]],"&gt;0")</f>
        <v>0</v>
      </c>
      <c r="T23" s="61" t="str">
        <f>IF(SUM(TblRezone[[#This Row],[Plains Rezone]:[Water Rezone]])=0,"Ok","Nope")</f>
        <v>Ok</v>
      </c>
      <c r="U23" s="215"/>
      <c r="V23" s="94">
        <f ca="1">TblProd[[#This Row],[Platinum]]</f>
        <v>77067</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S24" s="94">
        <f>SUMIF(TblRezone[[#This Row],[Plains Rezone]:[Water Rezone]],"&gt;0")</f>
        <v>0</v>
      </c>
      <c r="T24" s="61" t="str">
        <f>IF(SUM(TblRezone[[#This Row],[Plains Rezone]:[Water Rezone]])=0,"Ok","Nope")</f>
        <v>Ok</v>
      </c>
      <c r="U24" s="215"/>
      <c r="V24" s="94">
        <f ca="1">TblProd[[#This Row],[Platinum]]</f>
        <v>78468</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S25" s="94">
        <f>SUMIF(TblRezone[[#This Row],[Plains Rezone]:[Water Rezone]],"&gt;0")</f>
        <v>0</v>
      </c>
      <c r="T25" s="61" t="str">
        <f>IF(SUM(TblRezone[[#This Row],[Plains Rezone]:[Water Rezone]])=0,"Ok","Nope")</f>
        <v>Ok</v>
      </c>
      <c r="U25" s="215"/>
      <c r="V25" s="94">
        <f ca="1">TblProd[[#This Row],[Platinum]]</f>
        <v>79855</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S26" s="94">
        <f>SUMIF(TblRezone[[#This Row],[Plains Rezone]:[Water Rezone]],"&gt;0")</f>
        <v>0</v>
      </c>
      <c r="T26" s="61" t="str">
        <f>IF(SUM(TblRezone[[#This Row],[Plains Rezone]:[Water Rezone]])=0,"Ok","Nope")</f>
        <v>Ok</v>
      </c>
      <c r="U26" s="215"/>
      <c r="V26" s="94">
        <f ca="1">TblProd[[#This Row],[Platinum]]</f>
        <v>81229</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S27" s="94">
        <f>SUMIF(TblRezone[[#This Row],[Plains Rezone]:[Water Rezone]],"&gt;0")</f>
        <v>0</v>
      </c>
      <c r="T27" s="61" t="str">
        <f>IF(SUM(TblRezone[[#This Row],[Plains Rezone]:[Water Rezone]])=0,"Ok","Nope")</f>
        <v>Ok</v>
      </c>
      <c r="U27" s="215"/>
      <c r="V27" s="94">
        <f ca="1">TblProd[[#This Row],[Platinum]]</f>
        <v>82589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83936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85269</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86589</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87895</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89188</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90467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91733</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92985</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94224</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95449</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96661</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97862</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s="5" customFormat="1">
      <c r="A40" s="230">
        <f ca="1">TblConstr[[#This Row],[Land]]</f>
        <v>50</v>
      </c>
      <c r="B40" s="232">
        <f ca="1">TblConstr[[#This Row],[Plain]]</f>
        <v>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45816.499999999913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99052</v>
      </c>
      <c r="W40" s="231"/>
      <c r="X40" s="35">
        <f ca="1">ROUND( (1-MIN(ROUND(facs_rezone_factor*TblRezone[[#This Row],[Facs]],4),facs_rezone_max) + tech_6_4*TblTech[[#This Row],[6-4]] + tech_10_2*TblTech[[#This Row],[10-2]] - IF(TblMagic[[#This Row],[Active Mechanical Genius]]&gt;0,mech_genius_bonus,0) + race_rezone_cost) * TblRezone[[#This Row],[Plat/acre*]],0)</f>
        <v>130</v>
      </c>
      <c r="Y40" s="35">
        <f ca="1">TblRezone[[#This Row],[Total acres]]*TblRezone[[#This Row],[Plat/acre]]</f>
        <v>0</v>
      </c>
      <c r="Z40" s="231"/>
      <c r="AA40" s="35">
        <f ca="1">(250+0.6*(TblRezone[[#This Row],[Land]]-250))</f>
        <v>130</v>
      </c>
      <c r="AB40" s="231"/>
      <c r="AC40" s="165">
        <f ca="1">TblConstr[[#This Row],[Facs DB]]</f>
        <v>0</v>
      </c>
    </row>
    <row r="41" spans="1:29">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100231</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101400</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102558</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103705</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104841</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105966</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107081</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108185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109278</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110360</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111431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c r="A52" s="214">
        <f ca="1">TblConstr[[#This Row],[Land]]</f>
        <v>50</v>
      </c>
      <c r="B52" s="216">
        <f ca="1">TblConstr[[#This Row],[Plain]]</f>
        <v>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45816.999999999884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112492</v>
      </c>
      <c r="W52" s="215"/>
      <c r="X52" s="94">
        <f ca="1">ROUND( (1-MIN(ROUND(facs_rezone_factor*TblRezone[[#This Row],[Facs]],4),facs_rezone_max) + tech_6_4*TblTech[[#This Row],[6-4]] + tech_10_2*TblTech[[#This Row],[10-2]] - IF(TblMagic[[#This Row],[Active Mechanical Genius]]&gt;0,mech_genius_bonus,0) + race_rezone_cost) * TblRezone[[#This Row],[Plat/acre*]],0)</f>
        <v>130</v>
      </c>
      <c r="Y52" s="94">
        <f ca="1">TblRezone[[#This Row],[Total acres]]*TblRezone[[#This Row],[Plat/acre]]</f>
        <v>0</v>
      </c>
      <c r="Z52" s="215"/>
      <c r="AA52" s="94">
        <f ca="1">(250+0.6*(TblRezone[[#This Row],[Land]]-250))</f>
        <v>130</v>
      </c>
      <c r="AB52" s="215"/>
      <c r="AC52" s="157">
        <f ca="1">TblConstr[[#This Row],[Facs DB]]</f>
        <v>0</v>
      </c>
    </row>
    <row r="53" spans="1:29">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113542</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114581</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115609</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116626</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117633</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118629</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119614</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120588</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121551</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122504</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123446</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124380</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125306</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126224</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127133</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128034</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128927</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129812</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130689</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131558</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132419</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133272</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134117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134954</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0">
        <f ca="1">TblConstr[[#This Row],[Facs DB]]</f>
        <v>0</v>
      </c>
    </row>
    <row r="77" spans="1:29">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135782</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136602</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137414</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138218</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139014</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139802</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140582</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141354</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142118</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142874</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143621</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144360</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145091</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145814</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146529</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147236</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147935</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148626</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149309</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149984</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150650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151311</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151967</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152617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153262</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153901</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154535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155164</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155787</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156405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157017</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157624</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158226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158822</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159413</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159998</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160578</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161153</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161722</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162286</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162844</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163397</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163945</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164487</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165024</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165555</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166081</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166602</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167117</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167627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168131</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168630</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169124</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169612</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170095</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170572</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171044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171511</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171972</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172428</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c r="A1269" s="530" t="s">
        <v>314</v>
      </c>
      <c r="B1269" s="530"/>
      <c r="I1269" s="238" t="s">
        <v>304</v>
      </c>
      <c r="L1269" s="239"/>
      <c r="M1269" s="239">
        <v>-10</v>
      </c>
      <c r="N1269" s="239">
        <v>10</v>
      </c>
      <c r="O1269" s="239"/>
      <c r="P1269" s="239"/>
      <c r="Q1269" s="239"/>
      <c r="R1269" s="239"/>
    </row>
    <row r="1270" spans="1:18">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45815.041666666664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45815.083333333328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45815.124999999993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45815.166666666657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45815.208333333321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45815.249999999985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45815.29166666665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45815.333333333314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45815.374999999978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45815.416666666642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45815.458333333307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0.27698309492847856</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0.2847854356306892</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50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45815.541666666635</v>
      </c>
      <c r="AO17" s="420">
        <f ca="1">ROUND(IF(AND(TblMagic[[#This Row],[Active DnD]]&lt;12,TblMagic[[#This Row],[Active DnD]]&gt;5),OFFSET(TblPop[[#This Row],[Draft Growth]],-1,0)*0.375,0),0)</f>
        <v>0</v>
      </c>
      <c r="AP17" s="142"/>
      <c r="AQ17" s="94">
        <f ca="1">TblProd[[#This Row],[Platinum]]</f>
        <v>68376</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0.2925877763328999</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50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45815.583333333299</v>
      </c>
      <c r="AO18" s="420">
        <f ca="1">ROUND(IF(AND(TblMagic[[#This Row],[Active DnD]]&lt;12,TblMagic[[#This Row],[Active DnD]]&gt;5),OFFSET(TblPop[[#This Row],[Draft Growth]],-1,0)*0.375,0),0)</f>
        <v>0</v>
      </c>
      <c r="AP18" s="142"/>
      <c r="AQ18" s="94">
        <f ca="1">TblProd[[#This Row],[Platinum]]</f>
        <v>69861</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c r="A19" s="137">
        <f>TblRezone[[#This Row],[Hour]]</f>
        <v>16</v>
      </c>
      <c r="B19" s="246">
        <f ca="1">SUM(TblMili[[#This Row],[Unit 1]:[Archmages]])+SUM(OFFSET(TblMili[[#This Row],[Train Unit 1]],-8,0):TblMili[[#This Row],[Train Unit 2]]) + SUM(OFFSET(TblMili[[#This Row],[Train Unit 3]],-11,0):TblMili[[#This Row],[Train AM]]) + TblMili[[#This Row],[Draftees]]</f>
        <v>230</v>
      </c>
      <c r="C19" s="157">
        <f ca="1">TblPop[[#This Row],[Military%]]</f>
        <v>0.29908972691807545</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230</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230</v>
      </c>
      <c r="X19" s="247">
        <f ca="1">TblConstr[[#This Row],[Land]]</f>
        <v>50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230</v>
      </c>
      <c r="AB19" s="154"/>
      <c r="AC19" s="180">
        <f ca="1">(TblConstr[[#This Row],[Tot Smi]]+TblConstr[[#This Row],[Dest Smi]])/(TblConstr[[#This Row],[Land]]-TblExplore[[#This Row],[Land Bonus]]*20)</f>
        <v>0</v>
      </c>
      <c r="AD19" s="137"/>
      <c r="AE19" s="246">
        <f>TblMili[[#This Row],[Hour]]</f>
        <v>16</v>
      </c>
      <c r="AF19" s="138">
        <f ca="1">TblExplore[[#This Row],[Time]]</f>
        <v>45815.624999999964</v>
      </c>
      <c r="AO19" s="420">
        <f ca="1">ROUND(IF(AND(TblMagic[[#This Row],[Active DnD]]&lt;12,TblMagic[[#This Row],[Active DnD]]&gt;5),OFFSET(TblPop[[#This Row],[Draft Growth]],-1,0)*0.375,0),0)</f>
        <v>0</v>
      </c>
      <c r="AP19" s="142"/>
      <c r="AQ19" s="94">
        <f ca="1">TblProd[[#This Row],[Platinum]]</f>
        <v>71329</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230</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c r="A20" s="137">
        <f>TblRezone[[#This Row],[Hour]]</f>
        <v>17</v>
      </c>
      <c r="B20" s="246">
        <f ca="1">SUM(TblMili[[#This Row],[Unit 1]:[Archmages]])+SUM(OFFSET(TblMili[[#This Row],[Train Unit 1]],-8,0):TblMili[[#This Row],[Train Unit 2]]) + SUM(OFFSET(TblMili[[#This Row],[Train Unit 3]],-11,0):TblMili[[#This Row],[Train AM]]) + TblMili[[#This Row],[Draftees]]</f>
        <v>235</v>
      </c>
      <c r="C20" s="157">
        <f ca="1">TblPop[[#This Row],[Military%]]</f>
        <v>0.305591677503251</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235</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235</v>
      </c>
      <c r="X20" s="247">
        <f ca="1">TblConstr[[#This Row],[Land]]</f>
        <v>50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235</v>
      </c>
      <c r="AB20" s="154"/>
      <c r="AC20" s="180">
        <f ca="1">(TblConstr[[#This Row],[Tot Smi]]+TblConstr[[#This Row],[Dest Smi]])/(TblConstr[[#This Row],[Land]]-TblExplore[[#This Row],[Land Bonus]]*20)</f>
        <v>0</v>
      </c>
      <c r="AD20" s="137"/>
      <c r="AE20" s="246">
        <f>TblMili[[#This Row],[Hour]]</f>
        <v>17</v>
      </c>
      <c r="AF20" s="138">
        <f ca="1">TblExplore[[#This Row],[Time]]</f>
        <v>45815.666666666628</v>
      </c>
      <c r="AO20" s="420">
        <f ca="1">ROUND(IF(AND(TblMagic[[#This Row],[Active DnD]]&lt;12,TblMagic[[#This Row],[Active DnD]]&gt;5),OFFSET(TblPop[[#This Row],[Draft Growth]],-1,0)*0.375,0),0)</f>
        <v>0</v>
      </c>
      <c r="AP20" s="142"/>
      <c r="AQ20" s="94">
        <f ca="1">TblProd[[#This Row],[Platinum]]</f>
        <v>72784</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235</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c r="A21" s="137">
        <f>TblRezone[[#This Row],[Hour]]</f>
        <v>18</v>
      </c>
      <c r="B21" s="246">
        <f ca="1">SUM(TblMili[[#This Row],[Unit 1]:[Archmages]])+SUM(OFFSET(TblMili[[#This Row],[Train Unit 1]],-8,0):TblMili[[#This Row],[Train Unit 2]]) + SUM(OFFSET(TblMili[[#This Row],[Train Unit 3]],-11,0):TblMili[[#This Row],[Train AM]]) + TblMili[[#This Row],[Draftees]]</f>
        <v>240</v>
      </c>
      <c r="C21" s="157">
        <f ca="1">TblPop[[#This Row],[Military%]]</f>
        <v>0.31209362808842656</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240</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240</v>
      </c>
      <c r="X21" s="247">
        <f ca="1">TblConstr[[#This Row],[Land]]</f>
        <v>50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240</v>
      </c>
      <c r="AB21" s="154"/>
      <c r="AC21" s="180">
        <f ca="1">(TblConstr[[#This Row],[Tot Smi]]+TblConstr[[#This Row],[Dest Smi]])/(TblConstr[[#This Row],[Land]]-TblExplore[[#This Row],[Land Bonus]]*20)</f>
        <v>0</v>
      </c>
      <c r="AD21" s="137"/>
      <c r="AE21" s="246">
        <f>TblMili[[#This Row],[Hour]]</f>
        <v>18</v>
      </c>
      <c r="AF21" s="138">
        <f ca="1">TblExplore[[#This Row],[Time]]</f>
        <v>45815.708333333292</v>
      </c>
      <c r="AO21" s="420">
        <f ca="1">ROUND(IF(AND(TblMagic[[#This Row],[Active DnD]]&lt;12,TblMagic[[#This Row],[Active DnD]]&gt;5),OFFSET(TblPop[[#This Row],[Draft Growth]],-1,0)*0.375,0),0)</f>
        <v>0</v>
      </c>
      <c r="AP21" s="142"/>
      <c r="AQ21" s="94">
        <f ca="1">TblProd[[#This Row],[Platinum]]</f>
        <v>74225</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240</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c r="A22" s="137">
        <f>TblRezone[[#This Row],[Hour]]</f>
        <v>19</v>
      </c>
      <c r="B22" s="246">
        <f ca="1">SUM(TblMili[[#This Row],[Unit 1]:[Archmages]])+SUM(OFFSET(TblMili[[#This Row],[Train Unit 1]],-8,0):TblMili[[#This Row],[Train Unit 2]]) + SUM(OFFSET(TblMili[[#This Row],[Train Unit 3]],-11,0):TblMili[[#This Row],[Train AM]]) + TblMili[[#This Row],[Draftees]]</f>
        <v>245</v>
      </c>
      <c r="C22" s="157">
        <f ca="1">TblPop[[#This Row],[Military%]]</f>
        <v>0.31859557867360205</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245</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245</v>
      </c>
      <c r="X22" s="247">
        <f ca="1">TblConstr[[#This Row],[Land]]</f>
        <v>50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245</v>
      </c>
      <c r="AB22" s="154"/>
      <c r="AC22" s="180">
        <f ca="1">(TblConstr[[#This Row],[Tot Smi]]+TblConstr[[#This Row],[Dest Smi]])/(TblConstr[[#This Row],[Land]]-TblExplore[[#This Row],[Land Bonus]]*20)</f>
        <v>0</v>
      </c>
      <c r="AD22" s="137"/>
      <c r="AE22" s="246">
        <f>TblMili[[#This Row],[Hour]]</f>
        <v>19</v>
      </c>
      <c r="AF22" s="138">
        <f ca="1">TblExplore[[#This Row],[Time]]</f>
        <v>45815.749999999956</v>
      </c>
      <c r="AO22" s="420">
        <f ca="1">ROUND(IF(AND(TblMagic[[#This Row],[Active DnD]]&lt;12,TblMagic[[#This Row],[Active DnD]]&gt;5),OFFSET(TblPop[[#This Row],[Draft Growth]],-1,0)*0.375,0),0)</f>
        <v>0</v>
      </c>
      <c r="AP22" s="142"/>
      <c r="AQ22" s="94">
        <f ca="1">TblProd[[#This Row],[Platinum]]</f>
        <v>75653</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245</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c r="A23" s="137">
        <f>TblRezone[[#This Row],[Hour]]</f>
        <v>20</v>
      </c>
      <c r="B23" s="246">
        <f ca="1">SUM(TblMili[[#This Row],[Unit 1]:[Archmages]])+SUM(OFFSET(TblMili[[#This Row],[Train Unit 1]],-8,0):TblMili[[#This Row],[Train Unit 2]]) + SUM(OFFSET(TblMili[[#This Row],[Train Unit 3]],-11,0):TblMili[[#This Row],[Train AM]]) + TblMili[[#This Row],[Draftees]]</f>
        <v>250</v>
      </c>
      <c r="C23" s="157">
        <f ca="1">TblPop[[#This Row],[Military%]]</f>
        <v>0.32509752925877761</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250</v>
      </c>
      <c r="X23" s="247">
        <f ca="1">TblConstr[[#This Row],[Land]]</f>
        <v>50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250</v>
      </c>
      <c r="AB23" s="154"/>
      <c r="AC23" s="180">
        <f ca="1">(TblConstr[[#This Row],[Tot Smi]]+TblConstr[[#This Row],[Dest Smi]])/(TblConstr[[#This Row],[Land]]-TblExplore[[#This Row],[Land Bonus]]*20)</f>
        <v>0</v>
      </c>
      <c r="AD23" s="137"/>
      <c r="AE23" s="246">
        <f>TblMili[[#This Row],[Hour]]</f>
        <v>20</v>
      </c>
      <c r="AF23" s="138">
        <f ca="1">TblExplore[[#This Row],[Time]]</f>
        <v>45815.791666666621</v>
      </c>
      <c r="AO23" s="420">
        <f ca="1">ROUND(IF(AND(TblMagic[[#This Row],[Active DnD]]&lt;12,TblMagic[[#This Row],[Active DnD]]&gt;5),OFFSET(TblPop[[#This Row],[Draft Growth]],-1,0)*0.375,0),0)</f>
        <v>0</v>
      </c>
      <c r="AP23" s="142"/>
      <c r="AQ23" s="94">
        <f ca="1">TblProd[[#This Row],[Platinum]]</f>
        <v>77067</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250</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c r="A24" s="137">
        <f>TblRezone[[#This Row],[Hour]]</f>
        <v>21</v>
      </c>
      <c r="B24" s="246">
        <f ca="1">SUM(TblMili[[#This Row],[Unit 1]:[Archmages]])+SUM(OFFSET(TblMili[[#This Row],[Train Unit 1]],-8,0):TblMili[[#This Row],[Train Unit 2]]) + SUM(OFFSET(TblMili[[#This Row],[Train Unit 3]],-11,0):TblMili[[#This Row],[Train AM]]) + TblMili[[#This Row],[Draftees]]</f>
        <v>255</v>
      </c>
      <c r="C24" s="157">
        <f ca="1">TblPop[[#This Row],[Military%]]</f>
        <v>0.33159947984395316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255</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255</v>
      </c>
      <c r="X24" s="247">
        <f ca="1">TblConstr[[#This Row],[Land]]</f>
        <v>50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4" s="154"/>
      <c r="AC24" s="180">
        <f ca="1">(TblConstr[[#This Row],[Tot Smi]]+TblConstr[[#This Row],[Dest Smi]])/(TblConstr[[#This Row],[Land]]-TblExplore[[#This Row],[Land Bonus]]*20)</f>
        <v>0</v>
      </c>
      <c r="AD24" s="137"/>
      <c r="AE24" s="246">
        <f>TblMili[[#This Row],[Hour]]</f>
        <v>21</v>
      </c>
      <c r="AF24" s="138">
        <f ca="1">TblExplore[[#This Row],[Time]]</f>
        <v>45815.833333333285</v>
      </c>
      <c r="AO24" s="420">
        <f ca="1">ROUND(IF(AND(TblMagic[[#This Row],[Active DnD]]&lt;12,TblMagic[[#This Row],[Active DnD]]&gt;5),OFFSET(TblPop[[#This Row],[Draft Growth]],-1,0)*0.375,0),0)</f>
        <v>0</v>
      </c>
      <c r="AP24" s="142"/>
      <c r="AQ24" s="94">
        <f ca="1">TblProd[[#This Row],[Platinum]]</f>
        <v>78468</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255</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c r="A25" s="137">
        <f>TblRezone[[#This Row],[Hour]]</f>
        <v>22</v>
      </c>
      <c r="B25" s="246">
        <f ca="1">SUM(TblMili[[#This Row],[Unit 1]:[Archmages]])+SUM(OFFSET(TblMili[[#This Row],[Train Unit 1]],-8,0):TblMili[[#This Row],[Train Unit 2]]) + SUM(OFFSET(TblMili[[#This Row],[Train Unit 3]],-11,0):TblMili[[#This Row],[Train AM]]) + TblMili[[#This Row],[Draftees]]</f>
        <v>260</v>
      </c>
      <c r="C25" s="157">
        <f ca="1">TblPop[[#This Row],[Military%]]</f>
        <v>0.33810143042912871</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260</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260</v>
      </c>
      <c r="X25" s="247">
        <f ca="1">TblConstr[[#This Row],[Land]]</f>
        <v>50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260</v>
      </c>
      <c r="AB25" s="154"/>
      <c r="AC25" s="180">
        <f ca="1">(TblConstr[[#This Row],[Tot Smi]]+TblConstr[[#This Row],[Dest Smi]])/(TblConstr[[#This Row],[Land]]-TblExplore[[#This Row],[Land Bonus]]*20)</f>
        <v>0</v>
      </c>
      <c r="AD25" s="137"/>
      <c r="AE25" s="246">
        <f>TblMili[[#This Row],[Hour]]</f>
        <v>22</v>
      </c>
      <c r="AF25" s="138">
        <f ca="1">TblExplore[[#This Row],[Time]]</f>
        <v>45815.874999999949</v>
      </c>
      <c r="AO25" s="420">
        <f ca="1">ROUND(IF(AND(TblMagic[[#This Row],[Active DnD]]&lt;12,TblMagic[[#This Row],[Active DnD]]&gt;5),OFFSET(TblPop[[#This Row],[Draft Growth]],-1,0)*0.375,0),0)</f>
        <v>0</v>
      </c>
      <c r="AP25" s="142"/>
      <c r="AQ25" s="94">
        <f ca="1">TblProd[[#This Row],[Platinum]]</f>
        <v>79855</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260</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c r="A26" s="137">
        <f>TblRezone[[#This Row],[Hour]]</f>
        <v>23</v>
      </c>
      <c r="B26" s="246">
        <f ca="1">SUM(TblMili[[#This Row],[Unit 1]:[Archmages]])+SUM(OFFSET(TblMili[[#This Row],[Train Unit 1]],-8,0):TblMili[[#This Row],[Train Unit 2]]) + SUM(OFFSET(TblMili[[#This Row],[Train Unit 3]],-11,0):TblMili[[#This Row],[Train AM]]) + TblMili[[#This Row],[Draftees]]</f>
        <v>265</v>
      </c>
      <c r="C26" s="157">
        <f ca="1">TblPop[[#This Row],[Military%]]</f>
        <v>0.34460338101430427</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265</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265</v>
      </c>
      <c r="X26" s="247">
        <f ca="1">TblConstr[[#This Row],[Land]]</f>
        <v>50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265</v>
      </c>
      <c r="AB26" s="154"/>
      <c r="AC26" s="180">
        <f ca="1">(TblConstr[[#This Row],[Tot Smi]]+TblConstr[[#This Row],[Dest Smi]])/(TblConstr[[#This Row],[Land]]-TblExplore[[#This Row],[Land Bonus]]*20)</f>
        <v>0</v>
      </c>
      <c r="AD26" s="137"/>
      <c r="AE26" s="246">
        <f>TblMili[[#This Row],[Hour]]</f>
        <v>23</v>
      </c>
      <c r="AF26" s="138">
        <f ca="1">TblExplore[[#This Row],[Time]]</f>
        <v>45815.916666666613</v>
      </c>
      <c r="AO26" s="420">
        <f ca="1">ROUND(IF(AND(TblMagic[[#This Row],[Active DnD]]&lt;12,TblMagic[[#This Row],[Active DnD]]&gt;5),OFFSET(TblPop[[#This Row],[Draft Growth]],-1,0)*0.375,0),0)</f>
        <v>0</v>
      </c>
      <c r="AP26" s="142"/>
      <c r="AQ26" s="94">
        <f ca="1">TblProd[[#This Row],[Platinum]]</f>
        <v>81229</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265</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c r="A27" s="137">
        <f>TblRezone[[#This Row],[Hour]]</f>
        <v>24</v>
      </c>
      <c r="B27" s="246">
        <f ca="1">SUM(TblMili[[#This Row],[Unit 1]:[Archmages]])+SUM(OFFSET(TblMili[[#This Row],[Train Unit 1]],-8,0):TblMili[[#This Row],[Train Unit 2]]) + SUM(OFFSET(TblMili[[#This Row],[Train Unit 3]],-11,0):TblMili[[#This Row],[Train AM]]) + TblMili[[#This Row],[Draftees]]</f>
        <v>270</v>
      </c>
      <c r="C27" s="157">
        <f ca="1">TblPop[[#This Row],[Military%]]</f>
        <v>0.35110533159947982</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270</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270</v>
      </c>
      <c r="X27" s="247">
        <f ca="1">TblConstr[[#This Row],[Land]]</f>
        <v>50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270</v>
      </c>
      <c r="AB27" s="154"/>
      <c r="AC27" s="180">
        <f ca="1">(TblConstr[[#This Row],[Tot Smi]]+TblConstr[[#This Row],[Dest Smi]])/(TblConstr[[#This Row],[Land]]-TblExplore[[#This Row],[Land Bonus]]*20)</f>
        <v>0</v>
      </c>
      <c r="AD27" s="137"/>
      <c r="AE27" s="246">
        <f>TblMili[[#This Row],[Hour]]</f>
        <v>24</v>
      </c>
      <c r="AF27" s="138">
        <f ca="1">TblExplore[[#This Row],[Time]]</f>
        <v>45815.958333333278</v>
      </c>
      <c r="AO27" s="420">
        <f ca="1">ROUND(IF(AND(TblMagic[[#This Row],[Active DnD]]&lt;12,TblMagic[[#This Row],[Active DnD]]&gt;5),OFFSET(TblPop[[#This Row],[Draft Growth]],-1,0)*0.375,0),0)</f>
        <v>0</v>
      </c>
      <c r="AP27" s="142"/>
      <c r="AQ27" s="94">
        <f ca="1">TblProd[[#This Row],[Platinum]]</f>
        <v>82589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270</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c r="A28" s="137">
        <f>TblRezone[[#This Row],[Hour]]</f>
        <v>25</v>
      </c>
      <c r="B28" s="246">
        <f ca="1">SUM(TblMili[[#This Row],[Unit 1]:[Archmages]])+SUM(OFFSET(TblMili[[#This Row],[Train Unit 1]],-8,0):TblMili[[#This Row],[Train Unit 2]]) + SUM(OFFSET(TblMili[[#This Row],[Train Unit 3]],-11,0):TblMili[[#This Row],[Train AM]]) + TblMili[[#This Row],[Draftees]]</f>
        <v>275</v>
      </c>
      <c r="C28" s="157">
        <f ca="1">TblPop[[#This Row],[Military%]]</f>
        <v>0.35760728218465537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275</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275</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275</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83936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275</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c r="A29" s="137">
        <f>TblRezone[[#This Row],[Hour]]</f>
        <v>26</v>
      </c>
      <c r="B29" s="246">
        <f ca="1">SUM(TblMili[[#This Row],[Unit 1]:[Archmages]])+SUM(OFFSET(TblMili[[#This Row],[Train Unit 1]],-8,0):TblMili[[#This Row],[Train Unit 2]]) + SUM(OFFSET(TblMili[[#This Row],[Train Unit 3]],-11,0):TblMili[[#This Row],[Train AM]]) + TblMili[[#This Row],[Draftees]]</f>
        <v>280</v>
      </c>
      <c r="C29" s="157">
        <f ca="1">TblPop[[#This Row],[Military%]]</f>
        <v>0.36410923276983093</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280</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280</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280</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85269</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280</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c r="A30" s="137">
        <f>TblRezone[[#This Row],[Hour]]</f>
        <v>27</v>
      </c>
      <c r="B30" s="246">
        <f ca="1">SUM(TblMili[[#This Row],[Unit 1]:[Archmages]])+SUM(OFFSET(TblMili[[#This Row],[Train Unit 1]],-8,0):TblMili[[#This Row],[Train Unit 2]]) + SUM(OFFSET(TblMili[[#This Row],[Train Unit 3]],-11,0):TblMili[[#This Row],[Train AM]]) + TblMili[[#This Row],[Draftees]]</f>
        <v>285</v>
      </c>
      <c r="C30" s="157">
        <f ca="1">TblPop[[#This Row],[Military%]]</f>
        <v>0.37061118335500648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285</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285</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285</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86589</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285</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c r="A31" s="137">
        <f>TblRezone[[#This Row],[Hour]]</f>
        <v>28</v>
      </c>
      <c r="B31" s="246">
        <f ca="1">SUM(TblMili[[#This Row],[Unit 1]:[Archmages]])+SUM(OFFSET(TblMili[[#This Row],[Train Unit 1]],-8,0):TblMili[[#This Row],[Train Unit 2]]) + SUM(OFFSET(TblMili[[#This Row],[Train Unit 3]],-11,0):TblMili[[#This Row],[Train AM]]) + TblMili[[#This Row],[Draftees]]</f>
        <v>290</v>
      </c>
      <c r="C31" s="157">
        <f ca="1">TblPop[[#This Row],[Military%]]</f>
        <v>0.37711313394018203</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290</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290</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87895</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290</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c r="A32" s="137">
        <f>TblRezone[[#This Row],[Hour]]</f>
        <v>29</v>
      </c>
      <c r="B32" s="246">
        <f ca="1">SUM(TblMili[[#This Row],[Unit 1]:[Archmages]])+SUM(OFFSET(TblMili[[#This Row],[Train Unit 1]],-8,0):TblMili[[#This Row],[Train Unit 2]]) + SUM(OFFSET(TblMili[[#This Row],[Train Unit 3]],-11,0):TblMili[[#This Row],[Train AM]]) + TblMili[[#This Row],[Draftees]]</f>
        <v>295</v>
      </c>
      <c r="C32" s="157">
        <f ca="1">TblPop[[#This Row],[Military%]]</f>
        <v>0.38361508452535759</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295</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295</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295</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89188</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295</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c r="A33" s="137">
        <f>TblRezone[[#This Row],[Hour]]</f>
        <v>30</v>
      </c>
      <c r="B33" s="246">
        <f ca="1">SUM(TblMili[[#This Row],[Unit 1]:[Archmages]])+SUM(OFFSET(TblMili[[#This Row],[Train Unit 1]],-8,0):TblMili[[#This Row],[Train Unit 2]]) + SUM(OFFSET(TblMili[[#This Row],[Train Unit 3]],-11,0):TblMili[[#This Row],[Train AM]]) + TblMili[[#This Row],[Draftees]]</f>
        <v>300</v>
      </c>
      <c r="C33" s="157">
        <f ca="1">TblPop[[#This Row],[Military%]]</f>
        <v>0.39011703511053314</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300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300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300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90467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300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c r="A34" s="137">
        <f>TblRezone[[#This Row],[Hour]]</f>
        <v>31</v>
      </c>
      <c r="B34" s="246">
        <f ca="1">SUM(TblMili[[#This Row],[Unit 1]:[Archmages]])+SUM(OFFSET(TblMili[[#This Row],[Train Unit 1]],-8,0):TblMili[[#This Row],[Train Unit 2]]) + SUM(OFFSET(TblMili[[#This Row],[Train Unit 3]],-11,0):TblMili[[#This Row],[Train AM]]) + TblMili[[#This Row],[Draftees]]</f>
        <v>305</v>
      </c>
      <c r="C34" s="157">
        <f ca="1">TblPop[[#This Row],[Military%]]</f>
        <v>0.39661898569570869</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305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305</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91733</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305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c r="A35" s="137">
        <f>TblRezone[[#This Row],[Hour]]</f>
        <v>32</v>
      </c>
      <c r="B35" s="246">
        <f ca="1">SUM(TblMili[[#This Row],[Unit 1]:[Archmages]])+SUM(OFFSET(TblMili[[#This Row],[Train Unit 1]],-8,0):TblMili[[#This Row],[Train Unit 2]]) + SUM(OFFSET(TblMili[[#This Row],[Train Unit 3]],-11,0):TblMili[[#This Row],[Train AM]]) + TblMili[[#This Row],[Draftees]]</f>
        <v>310</v>
      </c>
      <c r="C35" s="157">
        <f ca="1">TblPop[[#This Row],[Military%]]</f>
        <v>0.40312093628088425</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310</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310</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92985</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310</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c r="A36" s="137">
        <f>TblRezone[[#This Row],[Hour]]</f>
        <v>33</v>
      </c>
      <c r="B36" s="246">
        <f ca="1">SUM(TblMili[[#This Row],[Unit 1]:[Archmages]])+SUM(OFFSET(TblMili[[#This Row],[Train Unit 1]],-8,0):TblMili[[#This Row],[Train Unit 2]]) + SUM(OFFSET(TblMili[[#This Row],[Train Unit 3]],-11,0):TblMili[[#This Row],[Train AM]]) + TblMili[[#This Row],[Draftees]]</f>
        <v>315</v>
      </c>
      <c r="C36" s="157">
        <f ca="1">TblPop[[#This Row],[Military%]]</f>
        <v>0.4096228868660598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315</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315</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94224</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315</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c r="A37" s="137">
        <f>TblRezone[[#This Row],[Hour]]</f>
        <v>34</v>
      </c>
      <c r="B37" s="246">
        <f ca="1">SUM(TblMili[[#This Row],[Unit 1]:[Archmages]])+SUM(OFFSET(TblMili[[#This Row],[Train Unit 1]],-8,0):TblMili[[#This Row],[Train Unit 2]]) + SUM(OFFSET(TblMili[[#This Row],[Train Unit 3]],-11,0):TblMili[[#This Row],[Train AM]]) + TblMili[[#This Row],[Draftees]]</f>
        <v>320</v>
      </c>
      <c r="C37" s="157">
        <f ca="1">TblPop[[#This Row],[Military%]]</f>
        <v>0.41612483745123535</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320</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320</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95449</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320</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c r="A38" s="137">
        <f>TblRezone[[#This Row],[Hour]]</f>
        <v>35</v>
      </c>
      <c r="B38" s="246">
        <f ca="1">SUM(TblMili[[#This Row],[Unit 1]:[Archmages]])+SUM(OFFSET(TblMili[[#This Row],[Train Unit 1]],-8,0):TblMili[[#This Row],[Train Unit 2]]) + SUM(OFFSET(TblMili[[#This Row],[Train Unit 3]],-11,0):TblMili[[#This Row],[Train AM]]) + TblMili[[#This Row],[Draftees]]</f>
        <v>324</v>
      </c>
      <c r="C38" s="157">
        <f ca="1">TblPop[[#This Row],[Military%]]</f>
        <v>0.42132639791937582</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324</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324</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96661</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324</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c r="A39" s="137">
        <f>TblRezone[[#This Row],[Hour]]</f>
        <v>36</v>
      </c>
      <c r="B39" s="246">
        <f ca="1">SUM(TblMili[[#This Row],[Unit 1]:[Archmages]])+SUM(OFFSET(TblMili[[#This Row],[Train Unit 1]],-8,0):TblMili[[#This Row],[Train Unit 2]]) + SUM(OFFSET(TblMili[[#This Row],[Train Unit 3]],-11,0):TblMili[[#This Row],[Train AM]]) + TblMili[[#This Row],[Draftees]]</f>
        <v>328</v>
      </c>
      <c r="C39" s="157">
        <f ca="1">TblPop[[#This Row],[Military%]]</f>
        <v>0.42652795838751628</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328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328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97862</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328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c r="A40" s="144">
        <f>TblRezone[[#This Row],[Hour]]</f>
        <v>37</v>
      </c>
      <c r="B40" s="258">
        <f ca="1">SUM(TblMili[[#This Row],[Unit 1]:[Archmages]])+SUM(OFFSET(TblMili[[#This Row],[Train Unit 1]],-8,0):TblMili[[#This Row],[Train Unit 2]]) + SUM(OFFSET(TblMili[[#This Row],[Train Unit 3]],-11,0):TblMili[[#This Row],[Train AM]]) + TblMili[[#This Row],[Draftees]]</f>
        <v>332</v>
      </c>
      <c r="C40" s="165">
        <f ca="1">TblPop[[#This Row],[Military%]]</f>
        <v>0.43172951885565669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1250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332</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332</v>
      </c>
      <c r="X40" s="448">
        <f ca="1">TblConstr[[#This Row],[Land]]</f>
        <v>50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40" s="162"/>
      <c r="AC40" s="436">
        <f ca="1">(TblConstr[[#This Row],[Tot Smi]]+TblConstr[[#This Row],[Dest Smi]])/(TblConstr[[#This Row],[Land]]-TblExplore[[#This Row],[Land Bonus]]*20)</f>
        <v>0</v>
      </c>
      <c r="AD40" s="144"/>
      <c r="AE40" s="258">
        <f>TblMili[[#This Row],[Hour]]</f>
        <v>37</v>
      </c>
      <c r="AF40" s="145">
        <f ca="1">TblExplore[[#This Row],[Time]]</f>
        <v>45816.499999999913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99052</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45816.499999999913</v>
      </c>
      <c r="AW40" s="35">
        <f ca="1">TblMili[[#This Row],[Draftees]]</f>
        <v>332</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0.6</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2.9999999999999996</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2.9999999999999996</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0.80000000000000071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9"/>
      <c r="DH40" s="453">
        <f ca="1">(TblMili[[#This Row],[Wizards]]+2*TblMili[[#This Row],[Archmages]])/TblConstr[[#This Row],[Land]]</f>
        <v>0</v>
      </c>
      <c r="DI40" s="453">
        <f ca="1">TblMili[[#This Row],[Raw (2)]]*(1+race_wizard_strength+IF(TblMili[[#This Row],[Hour]]&gt;72,tech_magical_weaponry_wiz*TblTech[[#This Row],[3-5]],0))</f>
        <v>0</v>
      </c>
    </row>
    <row r="41" spans="1:113">
      <c r="A41" s="137">
        <f>TblRezone[[#This Row],[Hour]]</f>
        <v>38</v>
      </c>
      <c r="B41" s="246">
        <f ca="1">SUM(TblMili[[#This Row],[Unit 1]:[Archmages]])+SUM(OFFSET(TblMili[[#This Row],[Train Unit 1]],-8,0):TblMili[[#This Row],[Train Unit 2]]) + SUM(OFFSET(TblMili[[#This Row],[Train Unit 3]],-11,0):TblMili[[#This Row],[Train AM]]) + TblMili[[#This Row],[Draftees]]</f>
        <v>336</v>
      </c>
      <c r="C41" s="157">
        <f ca="1">TblPop[[#This Row],[Military%]]</f>
        <v>0.43693107932379716</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336</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336</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100231</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336</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c r="A42" s="137">
        <f>TblRezone[[#This Row],[Hour]]</f>
        <v>39</v>
      </c>
      <c r="B42" s="246">
        <f ca="1">SUM(TblMili[[#This Row],[Unit 1]:[Archmages]])+SUM(OFFSET(TblMili[[#This Row],[Train Unit 1]],-8,0):TblMili[[#This Row],[Train Unit 2]]) + SUM(OFFSET(TblMili[[#This Row],[Train Unit 3]],-11,0):TblMili[[#This Row],[Train AM]]) + TblMili[[#This Row],[Draftees]]</f>
        <v>340</v>
      </c>
      <c r="C42" s="157">
        <f ca="1">TblPop[[#This Row],[Military%]]</f>
        <v>0.44213263979193757</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340</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340</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101400</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340</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c r="A43" s="137">
        <f>TblRezone[[#This Row],[Hour]]</f>
        <v>40</v>
      </c>
      <c r="B43" s="246">
        <f ca="1">SUM(TblMili[[#This Row],[Unit 1]:[Archmages]])+SUM(OFFSET(TblMili[[#This Row],[Train Unit 1]],-8,0):TblMili[[#This Row],[Train Unit 2]]) + SUM(OFFSET(TblMili[[#This Row],[Train Unit 3]],-11,0):TblMili[[#This Row],[Train AM]]) + TblMili[[#This Row],[Draftees]]</f>
        <v>344</v>
      </c>
      <c r="C43" s="157">
        <f ca="1">TblPop[[#This Row],[Military%]]</f>
        <v>0.44733420026007803</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344</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344</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102558</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344</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c r="A44" s="137">
        <f>TblRezone[[#This Row],[Hour]]</f>
        <v>41</v>
      </c>
      <c r="B44" s="246">
        <f ca="1">SUM(TblMili[[#This Row],[Unit 1]:[Archmages]])+SUM(OFFSET(TblMili[[#This Row],[Train Unit 1]],-8,0):TblMili[[#This Row],[Train Unit 2]]) + SUM(OFFSET(TblMili[[#This Row],[Train Unit 3]],-11,0):TblMili[[#This Row],[Train AM]]) + TblMili[[#This Row],[Draftees]]</f>
        <v>348</v>
      </c>
      <c r="C44" s="157">
        <f ca="1">TblPop[[#This Row],[Military%]]</f>
        <v>0.45253576072821844</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348</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348</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103705</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348</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c r="A45" s="137">
        <f>TblRezone[[#This Row],[Hour]]</f>
        <v>42</v>
      </c>
      <c r="B45" s="246">
        <f ca="1">SUM(TblMili[[#This Row],[Unit 1]:[Archmages]])+SUM(OFFSET(TblMili[[#This Row],[Train Unit 1]],-8,0):TblMili[[#This Row],[Train Unit 2]]) + SUM(OFFSET(TblMili[[#This Row],[Train Unit 3]],-11,0):TblMili[[#This Row],[Train AM]]) + TblMili[[#This Row],[Draftees]]</f>
        <v>352</v>
      </c>
      <c r="C45" s="157">
        <f ca="1">TblPop[[#This Row],[Military%]]</f>
        <v>0.4577373211963589</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352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352</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104841</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352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c r="A46" s="137">
        <f>TblRezone[[#This Row],[Hour]]</f>
        <v>43</v>
      </c>
      <c r="B46" s="246">
        <f ca="1">SUM(TblMili[[#This Row],[Unit 1]:[Archmages]])+SUM(OFFSET(TblMili[[#This Row],[Train Unit 1]],-8,0):TblMili[[#This Row],[Train Unit 2]]) + SUM(OFFSET(TblMili[[#This Row],[Train Unit 3]],-11,0):TblMili[[#This Row],[Train AM]]) + TblMili[[#This Row],[Draftees]]</f>
        <v>356</v>
      </c>
      <c r="C46" s="157">
        <f ca="1">TblPop[[#This Row],[Military%]]</f>
        <v>0.46293888166449937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356</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356</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105966</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356</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c r="A47" s="137">
        <f>TblRezone[[#This Row],[Hour]]</f>
        <v>44</v>
      </c>
      <c r="B47" s="246">
        <f ca="1">SUM(TblMili[[#This Row],[Unit 1]:[Archmages]])+SUM(OFFSET(TblMili[[#This Row],[Train Unit 1]],-8,0):TblMili[[#This Row],[Train Unit 2]]) + SUM(OFFSET(TblMili[[#This Row],[Train Unit 3]],-11,0):TblMili[[#This Row],[Train AM]]) + TblMili[[#This Row],[Draftees]]</f>
        <v>360</v>
      </c>
      <c r="C47" s="157">
        <f ca="1">TblPop[[#This Row],[Military%]]</f>
        <v>0.46814044213263978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360</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360</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107081</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360</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c r="A48" s="137">
        <f>TblRezone[[#This Row],[Hour]]</f>
        <v>45</v>
      </c>
      <c r="B48" s="246">
        <f ca="1">SUM(TblMili[[#This Row],[Unit 1]:[Archmages]])+SUM(OFFSET(TblMili[[#This Row],[Train Unit 1]],-8,0):TblMili[[#This Row],[Train Unit 2]]) + SUM(OFFSET(TblMili[[#This Row],[Train Unit 3]],-11,0):TblMili[[#This Row],[Train AM]]) + TblMili[[#This Row],[Draftees]]</f>
        <v>364</v>
      </c>
      <c r="C48" s="157">
        <f ca="1">TblPop[[#This Row],[Military%]]</f>
        <v>0.47334200260078024</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364</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364</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108185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364</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c r="A49" s="137">
        <f>TblRezone[[#This Row],[Hour]]</f>
        <v>46</v>
      </c>
      <c r="B49" s="246">
        <f ca="1">SUM(TblMili[[#This Row],[Unit 1]:[Archmages]])+SUM(OFFSET(TblMili[[#This Row],[Train Unit 1]],-8,0):TblMili[[#This Row],[Train Unit 2]]) + SUM(OFFSET(TblMili[[#This Row],[Train Unit 3]],-11,0):TblMili[[#This Row],[Train AM]]) + TblMili[[#This Row],[Draftees]]</f>
        <v>368</v>
      </c>
      <c r="C49" s="157">
        <f ca="1">TblPop[[#This Row],[Military%]]</f>
        <v>0.47854356306892065</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368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368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109278</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368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c r="A50" s="137">
        <f>TblRezone[[#This Row],[Hour]]</f>
        <v>47</v>
      </c>
      <c r="B50" s="246">
        <f ca="1">SUM(TblMili[[#This Row],[Unit 1]:[Archmages]])+SUM(OFFSET(TblMili[[#This Row],[Train Unit 1]],-8,0):TblMili[[#This Row],[Train Unit 2]]) + SUM(OFFSET(TblMili[[#This Row],[Train Unit 3]],-11,0):TblMili[[#This Row],[Train AM]]) + TblMili[[#This Row],[Draftees]]</f>
        <v>372</v>
      </c>
      <c r="C50" s="157">
        <f ca="1">TblPop[[#This Row],[Military%]]</f>
        <v>0.48374512353706112</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372</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372</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110360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372</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c r="A51" s="137">
        <f>TblRezone[[#This Row],[Hour]]</f>
        <v>48</v>
      </c>
      <c r="B51" s="246">
        <f ca="1">SUM(TblMili[[#This Row],[Unit 1]:[Archmages]])+SUM(OFFSET(TblMili[[#This Row],[Train Unit 1]],-8,0):TblMili[[#This Row],[Train Unit 2]]) + SUM(OFFSET(TblMili[[#This Row],[Train Unit 3]],-11,0):TblMili[[#This Row],[Train AM]]) + TblMili[[#This Row],[Draftees]]</f>
        <v>376</v>
      </c>
      <c r="C51" s="157">
        <f ca="1">TblPop[[#This Row],[Military%]]</f>
        <v>0.48894668400520158</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376</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376</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111431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376</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c r="A52" s="137">
        <f>TblRezone[[#This Row],[Hour]]</f>
        <v>49</v>
      </c>
      <c r="B52" s="246">
        <f ca="1">SUM(TblMili[[#This Row],[Unit 1]:[Archmages]])+SUM(OFFSET(TblMili[[#This Row],[Train Unit 1]],-8,0):TblMili[[#This Row],[Train Unit 2]]) + SUM(OFFSET(TblMili[[#This Row],[Train Unit 3]],-11,0):TblMili[[#This Row],[Train AM]]) + TblMili[[#This Row],[Draftees]]</f>
        <v>380</v>
      </c>
      <c r="C52" s="157">
        <f ca="1">TblPop[[#This Row],[Military%]]</f>
        <v>0.49414824447334199</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1250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380</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380</v>
      </c>
      <c r="X52" s="247">
        <f ca="1">TblConstr[[#This Row],[Land]]</f>
        <v>50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52" s="154"/>
      <c r="AC52" s="180">
        <f ca="1">(TblConstr[[#This Row],[Tot Smi]]+TblConstr[[#This Row],[Dest Smi]])/(TblConstr[[#This Row],[Land]]-TblExplore[[#This Row],[Land Bonus]]*20)</f>
        <v>0</v>
      </c>
      <c r="AD52" s="256"/>
      <c r="AE52" s="257">
        <f>TblMili[[#This Row],[Hour]]</f>
        <v>49</v>
      </c>
      <c r="AF52" s="138">
        <f ca="1">TblExplore[[#This Row],[Time]]</f>
        <v>45816.999999999884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112492</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45816.999999999884</v>
      </c>
      <c r="AW52" s="94">
        <f ca="1">TblMili[[#This Row],[Draftees]]</f>
        <v>380</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0.6</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2.9999999999999996</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2.9999999999999996</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0.80000000000000071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2"/>
      <c r="DH52" s="254">
        <f ca="1">(TblMili[[#This Row],[Wizards]]+2*TblMili[[#This Row],[Archmages]])/TblConstr[[#This Row],[Land]]</f>
        <v>0</v>
      </c>
      <c r="DI52" s="254">
        <f ca="1">TblMili[[#This Row],[Raw (2)]]*(1+race_wizard_strength+IF(TblMili[[#This Row],[Hour]]&gt;72,tech_magical_weaponry_wiz*TblTech[[#This Row],[3-5]],0))</f>
        <v>0</v>
      </c>
    </row>
    <row r="53" spans="1:113">
      <c r="A53" s="137">
        <f>TblRezone[[#This Row],[Hour]]</f>
        <v>50</v>
      </c>
      <c r="B53" s="246">
        <f ca="1">SUM(TblMili[[#This Row],[Unit 1]:[Archmages]])+SUM(OFFSET(TblMili[[#This Row],[Train Unit 1]],-8,0):TblMili[[#This Row],[Train Unit 2]]) + SUM(OFFSET(TblMili[[#This Row],[Train Unit 3]],-11,0):TblMili[[#This Row],[Train AM]]) + TblMili[[#This Row],[Draftees]]</f>
        <v>384</v>
      </c>
      <c r="C53" s="157">
        <f ca="1">TblPop[[#This Row],[Military%]]</f>
        <v>0.49934980494148246</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384</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384</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113542</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384</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c r="A54" s="137">
        <f>TblRezone[[#This Row],[Hour]]</f>
        <v>51</v>
      </c>
      <c r="B54" s="246">
        <f ca="1">SUM(TblMili[[#This Row],[Unit 1]:[Archmages]])+SUM(OFFSET(TblMili[[#This Row],[Train Unit 1]],-8,0):TblMili[[#This Row],[Train Unit 2]]) + SUM(OFFSET(TblMili[[#This Row],[Train Unit 3]],-11,0):TblMili[[#This Row],[Train AM]]) + TblMili[[#This Row],[Draftees]]</f>
        <v>388</v>
      </c>
      <c r="C54" s="157">
        <f ca="1">TblPop[[#This Row],[Military%]]</f>
        <v>0.50455136540962287</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388</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388</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114581</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388</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c r="A55" s="137">
        <f>TblRezone[[#This Row],[Hour]]</f>
        <v>52</v>
      </c>
      <c r="B55" s="246">
        <f ca="1">SUM(TblMili[[#This Row],[Unit 1]:[Archmages]])+SUM(OFFSET(TblMili[[#This Row],[Train Unit 1]],-8,0):TblMili[[#This Row],[Train Unit 2]]) + SUM(OFFSET(TblMili[[#This Row],[Train Unit 3]],-11,0):TblMili[[#This Row],[Train AM]]) + TblMili[[#This Row],[Draftees]]</f>
        <v>392</v>
      </c>
      <c r="C55" s="157">
        <f ca="1">TblPop[[#This Row],[Military%]]</f>
        <v>0.50975292587776333</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392</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392</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115609</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392</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c r="A56" s="137">
        <f>TblRezone[[#This Row],[Hour]]</f>
        <v>53</v>
      </c>
      <c r="B56" s="246">
        <f ca="1">SUM(TblMili[[#This Row],[Unit 1]:[Archmages]])+SUM(OFFSET(TblMili[[#This Row],[Train Unit 1]],-8,0):TblMili[[#This Row],[Train Unit 2]]) + SUM(OFFSET(TblMili[[#This Row],[Train Unit 3]],-11,0):TblMili[[#This Row],[Train AM]]) + TblMili[[#This Row],[Draftees]]</f>
        <v>396</v>
      </c>
      <c r="C56" s="157">
        <f ca="1">TblPop[[#This Row],[Military%]]</f>
        <v>0.51495448634590379</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396</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396</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116626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396</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c r="A57" s="137">
        <f>TblRezone[[#This Row],[Hour]]</f>
        <v>54</v>
      </c>
      <c r="B57" s="246">
        <f ca="1">SUM(TblMili[[#This Row],[Unit 1]:[Archmages]])+SUM(OFFSET(TblMili[[#This Row],[Train Unit 1]],-8,0):TblMili[[#This Row],[Train Unit 2]]) + SUM(OFFSET(TblMili[[#This Row],[Train Unit 3]],-11,0):TblMili[[#This Row],[Train AM]]) + TblMili[[#This Row],[Draftees]]</f>
        <v>400</v>
      </c>
      <c r="C57" s="157">
        <f ca="1">TblPop[[#This Row],[Military%]]</f>
        <v>0.52015604681404426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400</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400</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117633</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400</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c r="A58" s="137">
        <f>TblRezone[[#This Row],[Hour]]</f>
        <v>55</v>
      </c>
      <c r="B58" s="246">
        <f ca="1">SUM(TblMili[[#This Row],[Unit 1]:[Archmages]])+SUM(OFFSET(TblMili[[#This Row],[Train Unit 1]],-8,0):TblMili[[#This Row],[Train Unit 2]]) + SUM(OFFSET(TblMili[[#This Row],[Train Unit 3]],-11,0):TblMili[[#This Row],[Train AM]]) + TblMili[[#This Row],[Draftees]]</f>
        <v>404</v>
      </c>
      <c r="C58" s="157">
        <f ca="1">TblPop[[#This Row],[Military%]]</f>
        <v>0.52535760728218461</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404</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404</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118629</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404</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c r="A59" s="137">
        <f>TblRezone[[#This Row],[Hour]]</f>
        <v>56</v>
      </c>
      <c r="B59" s="246">
        <f ca="1">SUM(TblMili[[#This Row],[Unit 1]:[Archmages]])+SUM(OFFSET(TblMili[[#This Row],[Train Unit 1]],-8,0):TblMili[[#This Row],[Train Unit 2]]) + SUM(OFFSET(TblMili[[#This Row],[Train Unit 3]],-11,0):TblMili[[#This Row],[Train AM]]) + TblMili[[#This Row],[Draftees]]</f>
        <v>408</v>
      </c>
      <c r="C59" s="157">
        <f ca="1">TblPop[[#This Row],[Military%]]</f>
        <v>0.53055916775032508</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408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408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119614</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408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c r="A60" s="137">
        <f>TblRezone[[#This Row],[Hour]]</f>
        <v>57</v>
      </c>
      <c r="B60" s="246">
        <f ca="1">SUM(TblMili[[#This Row],[Unit 1]:[Archmages]])+SUM(OFFSET(TblMili[[#This Row],[Train Unit 1]],-8,0):TblMili[[#This Row],[Train Unit 2]]) + SUM(OFFSET(TblMili[[#This Row],[Train Unit 3]],-11,0):TblMili[[#This Row],[Train AM]]) + TblMili[[#This Row],[Draftees]]</f>
        <v>412</v>
      </c>
      <c r="C60" s="157">
        <f ca="1">TblPop[[#This Row],[Military%]]</f>
        <v>0.53576072821846554</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412</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412</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120588</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412</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c r="A61" s="137">
        <f>TblRezone[[#This Row],[Hour]]</f>
        <v>58</v>
      </c>
      <c r="B61" s="246">
        <f ca="1">SUM(TblMili[[#This Row],[Unit 1]:[Archmages]])+SUM(OFFSET(TblMili[[#This Row],[Train Unit 1]],-8,0):TblMili[[#This Row],[Train Unit 2]]) + SUM(OFFSET(TblMili[[#This Row],[Train Unit 3]],-11,0):TblMili[[#This Row],[Train AM]]) + TblMili[[#This Row],[Draftees]]</f>
        <v>416</v>
      </c>
      <c r="C61" s="157">
        <f ca="1">TblPop[[#This Row],[Military%]]</f>
        <v>0.54096228868660601</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416</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416</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121551</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416</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c r="A62" s="137">
        <f>TblRezone[[#This Row],[Hour]]</f>
        <v>59</v>
      </c>
      <c r="B62" s="246">
        <f ca="1">SUM(TblMili[[#This Row],[Unit 1]:[Archmages]])+SUM(OFFSET(TblMili[[#This Row],[Train Unit 1]],-8,0):TblMili[[#This Row],[Train Unit 2]]) + SUM(OFFSET(TblMili[[#This Row],[Train Unit 3]],-11,0):TblMili[[#This Row],[Train AM]]) + TblMili[[#This Row],[Draftees]]</f>
        <v>420</v>
      </c>
      <c r="C62" s="157">
        <f ca="1">TblPop[[#This Row],[Military%]]</f>
        <v>0.54616384915474647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420</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420</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122504</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420</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c r="A63" s="137">
        <f>TblRezone[[#This Row],[Hour]]</f>
        <v>60</v>
      </c>
      <c r="B63" s="246">
        <f ca="1">SUM(TblMili[[#This Row],[Unit 1]:[Archmages]])+SUM(OFFSET(TblMili[[#This Row],[Train Unit 1]],-8,0):TblMili[[#This Row],[Train Unit 2]]) + SUM(OFFSET(TblMili[[#This Row],[Train Unit 3]],-11,0):TblMili[[#This Row],[Train AM]]) + TblMili[[#This Row],[Draftees]]</f>
        <v>423</v>
      </c>
      <c r="C63" s="157">
        <f ca="1">TblPop[[#This Row],[Military%]]</f>
        <v>0.55006501950585174</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423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423</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123446</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423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c r="A64" s="137">
        <f>TblRezone[[#This Row],[Hour]]</f>
        <v>61</v>
      </c>
      <c r="B64" s="246">
        <f ca="1">SUM(TblMili[[#This Row],[Unit 1]:[Archmages]])+SUM(OFFSET(TblMili[[#This Row],[Train Unit 1]],-8,0):TblMili[[#This Row],[Train Unit 2]]) + SUM(OFFSET(TblMili[[#This Row],[Train Unit 3]],-11,0):TblMili[[#This Row],[Train AM]]) + TblMili[[#This Row],[Draftees]]</f>
        <v>426</v>
      </c>
      <c r="C64" s="157">
        <f ca="1">TblPop[[#This Row],[Military%]]</f>
        <v>0.55396618985695711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426</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426</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124380</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426</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c r="A65" s="137">
        <f>TblRezone[[#This Row],[Hour]]</f>
        <v>62</v>
      </c>
      <c r="B65" s="246">
        <f ca="1">SUM(TblMili[[#This Row],[Unit 1]:[Archmages]])+SUM(OFFSET(TblMili[[#This Row],[Train Unit 1]],-8,0):TblMili[[#This Row],[Train Unit 2]]) + SUM(OFFSET(TblMili[[#This Row],[Train Unit 3]],-11,0):TblMili[[#This Row],[Train AM]]) + TblMili[[#This Row],[Draftees]]</f>
        <v>429</v>
      </c>
      <c r="C65" s="157">
        <f ca="1">TblPop[[#This Row],[Military%]]</f>
        <v>0.55786736020806238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429</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429</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125306</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429</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c r="A66" s="137">
        <f>TblRezone[[#This Row],[Hour]]</f>
        <v>63</v>
      </c>
      <c r="B66" s="246">
        <f ca="1">SUM(TblMili[[#This Row],[Unit 1]:[Archmages]])+SUM(OFFSET(TblMili[[#This Row],[Train Unit 1]],-8,0):TblMili[[#This Row],[Train Unit 2]]) + SUM(OFFSET(TblMili[[#This Row],[Train Unit 3]],-11,0):TblMili[[#This Row],[Train AM]]) + TblMili[[#This Row],[Draftees]]</f>
        <v>432</v>
      </c>
      <c r="C66" s="157">
        <f ca="1">TblPop[[#This Row],[Military%]]</f>
        <v>0.56176853055916776</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432</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432</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126224</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432</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c r="A67" s="137">
        <f>TblRezone[[#This Row],[Hour]]</f>
        <v>64</v>
      </c>
      <c r="B67" s="246">
        <f ca="1">SUM(TblMili[[#This Row],[Unit 1]:[Archmages]])+SUM(OFFSET(TblMili[[#This Row],[Train Unit 1]],-8,0):TblMili[[#This Row],[Train Unit 2]]) + SUM(OFFSET(TblMili[[#This Row],[Train Unit 3]],-11,0):TblMili[[#This Row],[Train AM]]) + TblMili[[#This Row],[Draftees]]</f>
        <v>435</v>
      </c>
      <c r="C67" s="157">
        <f ca="1">TblPop[[#This Row],[Military%]]</f>
        <v>0.56566970091027313</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435</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435</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127133</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435</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c r="A68" s="137">
        <f>TblRezone[[#This Row],[Hour]]</f>
        <v>65</v>
      </c>
      <c r="B68" s="246">
        <f ca="1">SUM(TblMili[[#This Row],[Unit 1]:[Archmages]])+SUM(OFFSET(TblMili[[#This Row],[Train Unit 1]],-8,0):TblMili[[#This Row],[Train Unit 2]]) + SUM(OFFSET(TblMili[[#This Row],[Train Unit 3]],-11,0):TblMili[[#This Row],[Train AM]]) + TblMili[[#This Row],[Draftees]]</f>
        <v>438</v>
      </c>
      <c r="C68" s="157">
        <f ca="1">TblPop[[#This Row],[Military%]]</f>
        <v>0.5695708712613784</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438</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438</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128034</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438</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c r="A69" s="137">
        <f>TblRezone[[#This Row],[Hour]]</f>
        <v>66</v>
      </c>
      <c r="B69" s="246">
        <f ca="1">SUM(TblMili[[#This Row],[Unit 1]:[Archmages]])+SUM(OFFSET(TblMili[[#This Row],[Train Unit 1]],-8,0):TblMili[[#This Row],[Train Unit 2]]) + SUM(OFFSET(TblMili[[#This Row],[Train Unit 3]],-11,0):TblMili[[#This Row],[Train AM]]) + TblMili[[#This Row],[Draftees]]</f>
        <v>441</v>
      </c>
      <c r="C69" s="157">
        <f ca="1">TblPop[[#This Row],[Military%]]</f>
        <v>0.57347204161248377</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441</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441</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128927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441</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c r="A70" s="137">
        <f>TblRezone[[#This Row],[Hour]]</f>
        <v>67</v>
      </c>
      <c r="B70" s="246">
        <f ca="1">SUM(TblMili[[#This Row],[Unit 1]:[Archmages]])+SUM(OFFSET(TblMili[[#This Row],[Train Unit 1]],-8,0):TblMili[[#This Row],[Train Unit 2]]) + SUM(OFFSET(TblMili[[#This Row],[Train Unit 3]],-11,0):TblMili[[#This Row],[Train AM]]) + TblMili[[#This Row],[Draftees]]</f>
        <v>444</v>
      </c>
      <c r="C70" s="157">
        <f ca="1">TblPop[[#This Row],[Military%]]</f>
        <v>0.57737321196358904</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444</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444</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129812</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444</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c r="A71" s="137">
        <f>TblRezone[[#This Row],[Hour]]</f>
        <v>68</v>
      </c>
      <c r="B71" s="246">
        <f ca="1">SUM(TblMili[[#This Row],[Unit 1]:[Archmages]])+SUM(OFFSET(TblMili[[#This Row],[Train Unit 1]],-8,0):TblMili[[#This Row],[Train Unit 2]]) + SUM(OFFSET(TblMili[[#This Row],[Train Unit 3]],-11,0):TblMili[[#This Row],[Train AM]]) + TblMili[[#This Row],[Draftees]]</f>
        <v>447</v>
      </c>
      <c r="C71" s="157">
        <f ca="1">TblPop[[#This Row],[Military%]]</f>
        <v>0.58127438231469442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447</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447</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130689</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447</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c r="A72" s="137">
        <f>TblRezone[[#This Row],[Hour]]</f>
        <v>69</v>
      </c>
      <c r="B72" s="246">
        <f ca="1">SUM(TblMili[[#This Row],[Unit 1]:[Archmages]])+SUM(OFFSET(TblMili[[#This Row],[Train Unit 1]],-8,0):TblMili[[#This Row],[Train Unit 2]]) + SUM(OFFSET(TblMili[[#This Row],[Train Unit 3]],-11,0):TblMili[[#This Row],[Train AM]]) + TblMili[[#This Row],[Draftees]]</f>
        <v>450</v>
      </c>
      <c r="C72" s="157">
        <f ca="1">TblPop[[#This Row],[Military%]]</f>
        <v>0.58517555266579979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450</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450</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131558</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450</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c r="A73" s="137">
        <f>TblRezone[[#This Row],[Hour]]</f>
        <v>70</v>
      </c>
      <c r="B73" s="246">
        <f ca="1">SUM(TblMili[[#This Row],[Unit 1]:[Archmages]])+SUM(OFFSET(TblMili[[#This Row],[Train Unit 1]],-8,0):TblMili[[#This Row],[Train Unit 2]]) + SUM(OFFSET(TblMili[[#This Row],[Train Unit 3]],-11,0):TblMili[[#This Row],[Train AM]]) + TblMili[[#This Row],[Draftees]]</f>
        <v>453</v>
      </c>
      <c r="C73" s="157">
        <f ca="1">TblPop[[#This Row],[Military%]]</f>
        <v>0.58907672301690506</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453</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453</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132419</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453</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c r="A74" s="137">
        <f>TblRezone[[#This Row],[Hour]]</f>
        <v>71</v>
      </c>
      <c r="B74" s="246">
        <f ca="1">SUM(TblMili[[#This Row],[Unit 1]:[Archmages]])+SUM(OFFSET(TblMili[[#This Row],[Train Unit 1]],-8,0):TblMili[[#This Row],[Train Unit 2]]) + SUM(OFFSET(TblMili[[#This Row],[Train Unit 3]],-11,0):TblMili[[#This Row],[Train AM]]) + TblMili[[#This Row],[Draftees]]</f>
        <v>456</v>
      </c>
      <c r="C74" s="157">
        <f ca="1">TblPop[[#This Row],[Military%]]</f>
        <v>0.59297789336801043</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456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456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133272</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456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c r="A75" s="137">
        <f>TblRezone[[#This Row],[Hour]]</f>
        <v>72</v>
      </c>
      <c r="B75" s="246">
        <f ca="1">SUM(TblMili[[#This Row],[Unit 1]:[Archmages]])+SUM(OFFSET(TblMili[[#This Row],[Train Unit 1]],-8,0):TblMili[[#This Row],[Train Unit 2]]) + SUM(OFFSET(TblMili[[#This Row],[Train Unit 3]],-11,0):TblMili[[#This Row],[Train AM]]) + TblMili[[#This Row],[Draftees]]</f>
        <v>459</v>
      </c>
      <c r="C75" s="157">
        <f ca="1">TblPop[[#This Row],[Military%]]</f>
        <v>0.5968790637191157</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459</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459</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134117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459</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c r="A76" s="137">
        <f>TblRezone[[#This Row],[Hour]]</f>
        <v>73</v>
      </c>
      <c r="B76" s="246">
        <f ca="1">SUM(TblMili[[#This Row],[Unit 1]:[Archmages]])+SUM(OFFSET(TblMili[[#This Row],[Train Unit 1]],-8,0):TblMili[[#This Row],[Train Unit 2]]) + SUM(OFFSET(TblMili[[#This Row],[Train Unit 3]],-11,0):TblMili[[#This Row],[Train AM]]) + TblMili[[#This Row],[Draftees]]</f>
        <v>462</v>
      </c>
      <c r="C76" s="440">
        <f ca="1">TblPop[[#This Row],[Military%]]</f>
        <v>0.60078023407022108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462</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462</v>
      </c>
      <c r="X76" s="441">
        <f ca="1">TblConstr[[#This Row],[Land]]</f>
        <v>50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134954</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462</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0.6</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2.9999999999999996</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2.9999999999999996</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0.80000000000000071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7">
        <f ca="1">(TblMili[[#This Row],[Wizards]]+2*TblMili[[#This Row],[Archmages]])/TblConstr[[#This Row],[Land]]</f>
        <v>0</v>
      </c>
      <c r="DI76" s="447">
        <f ca="1">TblMili[[#This Row],[Raw (2)]]*(1+race_wizard_strength+IF(TblMili[[#This Row],[Hour]]&gt;72,tech_magical_weaponry_wiz*TblTech[[#This Row],[3-5]],0))</f>
        <v>0</v>
      </c>
    </row>
    <row r="77" spans="1:113">
      <c r="A77" s="137">
        <f>TblRezone[[#This Row],[Hour]]</f>
        <v>74</v>
      </c>
      <c r="B77" s="246">
        <f ca="1">SUM(TblMili[[#This Row],[Unit 1]:[Archmages]])+SUM(OFFSET(TblMili[[#This Row],[Train Unit 1]],-8,0):TblMili[[#This Row],[Train Unit 2]]) + SUM(OFFSET(TblMili[[#This Row],[Train Unit 3]],-11,0):TblMili[[#This Row],[Train AM]]) + TblMili[[#This Row],[Draftees]]</f>
        <v>465</v>
      </c>
      <c r="C77" s="157">
        <f ca="1">TblPop[[#This Row],[Military%]]</f>
        <v>0.60468140442132645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465</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465</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135782</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465</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c r="A78" s="137">
        <f>TblRezone[[#This Row],[Hour]]</f>
        <v>75</v>
      </c>
      <c r="B78" s="246">
        <f ca="1">SUM(TblMili[[#This Row],[Unit 1]:[Archmages]])+SUM(OFFSET(TblMili[[#This Row],[Train Unit 1]],-8,0):TblMili[[#This Row],[Train Unit 2]]) + SUM(OFFSET(TblMili[[#This Row],[Train Unit 3]],-11,0):TblMili[[#This Row],[Train AM]]) + TblMili[[#This Row],[Draftees]]</f>
        <v>468</v>
      </c>
      <c r="C78" s="157">
        <f ca="1">TblPop[[#This Row],[Military%]]</f>
        <v>0.60858257477243172</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468</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468</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136602</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468</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c r="A79" s="137">
        <f>TblRezone[[#This Row],[Hour]]</f>
        <v>76</v>
      </c>
      <c r="B79" s="246">
        <f ca="1">SUM(TblMili[[#This Row],[Unit 1]:[Archmages]])+SUM(OFFSET(TblMili[[#This Row],[Train Unit 1]],-8,0):TblMili[[#This Row],[Train Unit 2]]) + SUM(OFFSET(TblMili[[#This Row],[Train Unit 3]],-11,0):TblMili[[#This Row],[Train AM]]) + TblMili[[#This Row],[Draftees]]</f>
        <v>471</v>
      </c>
      <c r="C79" s="157">
        <f ca="1">TblPop[[#This Row],[Military%]]</f>
        <v>0.61248374512353709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471</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471</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137414</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471</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c r="A80" s="137">
        <f>TblRezone[[#This Row],[Hour]]</f>
        <v>77</v>
      </c>
      <c r="B80" s="246">
        <f ca="1">SUM(TblMili[[#This Row],[Unit 1]:[Archmages]])+SUM(OFFSET(TblMili[[#This Row],[Train Unit 1]],-8,0):TblMili[[#This Row],[Train Unit 2]]) + SUM(OFFSET(TblMili[[#This Row],[Train Unit 3]],-11,0):TblMili[[#This Row],[Train AM]]) + TblMili[[#This Row],[Draftees]]</f>
        <v>474</v>
      </c>
      <c r="C80" s="157">
        <f ca="1">TblPop[[#This Row],[Military%]]</f>
        <v>0.61638491547464236</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474</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474</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138218</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474</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c r="A81" s="137">
        <f>TblRezone[[#This Row],[Hour]]</f>
        <v>78</v>
      </c>
      <c r="B81" s="246">
        <f ca="1">SUM(TblMili[[#This Row],[Unit 1]:[Archmages]])+SUM(OFFSET(TblMili[[#This Row],[Train Unit 1]],-8,0):TblMili[[#This Row],[Train Unit 2]]) + SUM(OFFSET(TblMili[[#This Row],[Train Unit 3]],-11,0):TblMili[[#This Row],[Train AM]]) + TblMili[[#This Row],[Draftees]]</f>
        <v>477</v>
      </c>
      <c r="C81" s="157">
        <f ca="1">TblPop[[#This Row],[Military%]]</f>
        <v>0.62028608582574774</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477</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477</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139014</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477</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c r="A82" s="137">
        <f>TblRezone[[#This Row],[Hour]]</f>
        <v>79</v>
      </c>
      <c r="B82" s="246">
        <f ca="1">SUM(TblMili[[#This Row],[Unit 1]:[Archmages]])+SUM(OFFSET(TblMili[[#This Row],[Train Unit 1]],-8,0):TblMili[[#This Row],[Train Unit 2]]) + SUM(OFFSET(TblMili[[#This Row],[Train Unit 3]],-11,0):TblMili[[#This Row],[Train AM]]) + TblMili[[#This Row],[Draftees]]</f>
        <v>480</v>
      </c>
      <c r="C82" s="157">
        <f ca="1">TblPop[[#This Row],[Military%]]</f>
        <v>0.62418725617685311</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480</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480</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139802</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480</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c r="A83" s="137">
        <f>TblRezone[[#This Row],[Hour]]</f>
        <v>80</v>
      </c>
      <c r="B83" s="246">
        <f ca="1">SUM(TblMili[[#This Row],[Unit 1]:[Archmages]])+SUM(OFFSET(TblMili[[#This Row],[Train Unit 1]],-8,0):TblMili[[#This Row],[Train Unit 2]]) + SUM(OFFSET(TblMili[[#This Row],[Train Unit 3]],-11,0):TblMili[[#This Row],[Train AM]]) + TblMili[[#This Row],[Draftees]]</f>
        <v>483</v>
      </c>
      <c r="C83" s="157">
        <f ca="1">TblPop[[#This Row],[Military%]]</f>
        <v>0.62808842652795838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483</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483</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140582</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483</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c r="A84" s="137">
        <f>TblRezone[[#This Row],[Hour]]</f>
        <v>81</v>
      </c>
      <c r="B84" s="246">
        <f ca="1">SUM(TblMili[[#This Row],[Unit 1]:[Archmages]])+SUM(OFFSET(TblMili[[#This Row],[Train Unit 1]],-8,0):TblMili[[#This Row],[Train Unit 2]]) + SUM(OFFSET(TblMili[[#This Row],[Train Unit 3]],-11,0):TblMili[[#This Row],[Train AM]]) + TblMili[[#This Row],[Draftees]]</f>
        <v>486</v>
      </c>
      <c r="C84" s="157">
        <f ca="1">TblPop[[#This Row],[Military%]]</f>
        <v>0.63198959687906375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486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486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141354</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486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c r="A85" s="137">
        <f>TblRezone[[#This Row],[Hour]]</f>
        <v>82</v>
      </c>
      <c r="B85" s="246">
        <f ca="1">SUM(TblMili[[#This Row],[Unit 1]:[Archmages]])+SUM(OFFSET(TblMili[[#This Row],[Train Unit 1]],-8,0):TblMili[[#This Row],[Train Unit 2]]) + SUM(OFFSET(TblMili[[#This Row],[Train Unit 3]],-11,0):TblMili[[#This Row],[Train AM]]) + TblMili[[#This Row],[Draftees]]</f>
        <v>489</v>
      </c>
      <c r="C85" s="157">
        <f ca="1">TblPop[[#This Row],[Military%]]</f>
        <v>0.63589076723016902</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489</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489</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142118</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489</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c r="A86" s="137">
        <f>TblRezone[[#This Row],[Hour]]</f>
        <v>83</v>
      </c>
      <c r="B86" s="246">
        <f ca="1">SUM(TblMili[[#This Row],[Unit 1]:[Archmages]])+SUM(OFFSET(TblMili[[#This Row],[Train Unit 1]],-8,0):TblMili[[#This Row],[Train Unit 2]]) + SUM(OFFSET(TblMili[[#This Row],[Train Unit 3]],-11,0):TblMili[[#This Row],[Train AM]]) + TblMili[[#This Row],[Draftees]]</f>
        <v>492</v>
      </c>
      <c r="C86" s="157">
        <f ca="1">TblPop[[#This Row],[Military%]]</f>
        <v>0.63979193758127439</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492</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492</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142874</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492</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c r="A87" s="137">
        <f>TblRezone[[#This Row],[Hour]]</f>
        <v>84</v>
      </c>
      <c r="B87" s="246">
        <f ca="1">SUM(TblMili[[#This Row],[Unit 1]:[Archmages]])+SUM(OFFSET(TblMili[[#This Row],[Train Unit 1]],-8,0):TblMili[[#This Row],[Train Unit 2]]) + SUM(OFFSET(TblMili[[#This Row],[Train Unit 3]],-11,0):TblMili[[#This Row],[Train AM]]) + TblMili[[#This Row],[Draftees]]</f>
        <v>495</v>
      </c>
      <c r="C87" s="157">
        <f ca="1">TblPop[[#This Row],[Military%]]</f>
        <v>0.64369310793237966</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495</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495</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143621</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495</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c r="A88" s="137">
        <f>TblRezone[[#This Row],[Hour]]</f>
        <v>85</v>
      </c>
      <c r="B88" s="246">
        <f ca="1">SUM(TblMili[[#This Row],[Unit 1]:[Archmages]])+SUM(OFFSET(TblMili[[#This Row],[Train Unit 1]],-8,0):TblMili[[#This Row],[Train Unit 2]]) + SUM(OFFSET(TblMili[[#This Row],[Train Unit 3]],-11,0):TblMili[[#This Row],[Train AM]]) + TblMili[[#This Row],[Draftees]]</f>
        <v>498</v>
      </c>
      <c r="C88" s="157">
        <f ca="1">TblPop[[#This Row],[Military%]]</f>
        <v>0.64759427828348504</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498</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498</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144360</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498</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c r="A89" s="137">
        <f>TblRezone[[#This Row],[Hour]]</f>
        <v>86</v>
      </c>
      <c r="B89" s="246">
        <f ca="1">SUM(TblMili[[#This Row],[Unit 1]:[Archmages]])+SUM(OFFSET(TblMili[[#This Row],[Train Unit 1]],-8,0):TblMili[[#This Row],[Train Unit 2]]) + SUM(OFFSET(TblMili[[#This Row],[Train Unit 3]],-11,0):TblMili[[#This Row],[Train AM]]) + TblMili[[#This Row],[Draftees]]</f>
        <v>501</v>
      </c>
      <c r="C89" s="157">
        <f ca="1">TblPop[[#This Row],[Military%]]</f>
        <v>0.65149544863459041</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501</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501</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145091</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501</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c r="A90" s="137">
        <f>TblRezone[[#This Row],[Hour]]</f>
        <v>87</v>
      </c>
      <c r="B90" s="246">
        <f ca="1">SUM(TblMili[[#This Row],[Unit 1]:[Archmages]])+SUM(OFFSET(TblMili[[#This Row],[Train Unit 1]],-8,0):TblMili[[#This Row],[Train Unit 2]]) + SUM(OFFSET(TblMili[[#This Row],[Train Unit 3]],-11,0):TblMili[[#This Row],[Train AM]]) + TblMili[[#This Row],[Draftees]]</f>
        <v>504</v>
      </c>
      <c r="C90" s="157">
        <f ca="1">TblPop[[#This Row],[Military%]]</f>
        <v>0.65539661898569568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504</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504</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145814</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504</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c r="A91" s="137">
        <f>TblRezone[[#This Row],[Hour]]</f>
        <v>88</v>
      </c>
      <c r="B91" s="246">
        <f ca="1">SUM(TblMili[[#This Row],[Unit 1]:[Archmages]])+SUM(OFFSET(TblMili[[#This Row],[Train Unit 1]],-8,0):TblMili[[#This Row],[Train Unit 2]]) + SUM(OFFSET(TblMili[[#This Row],[Train Unit 3]],-11,0):TblMili[[#This Row],[Train AM]]) + TblMili[[#This Row],[Draftees]]</f>
        <v>507</v>
      </c>
      <c r="C91" s="157">
        <f ca="1">TblPop[[#This Row],[Military%]]</f>
        <v>0.65929778933680105</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507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507</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146529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507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c r="A92" s="137">
        <f>TblRezone[[#This Row],[Hour]]</f>
        <v>89</v>
      </c>
      <c r="B92" s="246">
        <f ca="1">SUM(TblMili[[#This Row],[Unit 1]:[Archmages]])+SUM(OFFSET(TblMili[[#This Row],[Train Unit 1]],-8,0):TblMili[[#This Row],[Train Unit 2]]) + SUM(OFFSET(TblMili[[#This Row],[Train Unit 3]],-11,0):TblMili[[#This Row],[Train AM]]) + TblMili[[#This Row],[Draftees]]</f>
        <v>510</v>
      </c>
      <c r="C92" s="157">
        <f ca="1">TblPop[[#This Row],[Military%]]</f>
        <v>0.66319895968790632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510</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510</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147236</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510</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c r="A93" s="137">
        <f>TblRezone[[#This Row],[Hour]]</f>
        <v>90</v>
      </c>
      <c r="B93" s="246">
        <f ca="1">SUM(TblMili[[#This Row],[Unit 1]:[Archmages]])+SUM(OFFSET(TblMili[[#This Row],[Train Unit 1]],-8,0):TblMili[[#This Row],[Train Unit 2]]) + SUM(OFFSET(TblMili[[#This Row],[Train Unit 3]],-11,0):TblMili[[#This Row],[Train AM]]) + TblMili[[#This Row],[Draftees]]</f>
        <v>513</v>
      </c>
      <c r="C93" s="157">
        <f ca="1">TblPop[[#This Row],[Military%]]</f>
        <v>0.6671001300390117</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513</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513</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147935</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513</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c r="A94" s="137">
        <f>TblRezone[[#This Row],[Hour]]</f>
        <v>91</v>
      </c>
      <c r="B94" s="246">
        <f ca="1">SUM(TblMili[[#This Row],[Unit 1]:[Archmages]])+SUM(OFFSET(TblMili[[#This Row],[Train Unit 1]],-8,0):TblMili[[#This Row],[Train Unit 2]]) + SUM(OFFSET(TblMili[[#This Row],[Train Unit 3]],-11,0):TblMili[[#This Row],[Train AM]]) + TblMili[[#This Row],[Draftees]]</f>
        <v>516</v>
      </c>
      <c r="C94" s="157">
        <f ca="1">TblPop[[#This Row],[Military%]]</f>
        <v>0.67100130039011707</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516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516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148626</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516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c r="A95" s="137">
        <f>TblRezone[[#This Row],[Hour]]</f>
        <v>92</v>
      </c>
      <c r="B95" s="246">
        <f ca="1">SUM(TblMili[[#This Row],[Unit 1]:[Archmages]])+SUM(OFFSET(TblMili[[#This Row],[Train Unit 1]],-8,0):TblMili[[#This Row],[Train Unit 2]]) + SUM(OFFSET(TblMili[[#This Row],[Train Unit 3]],-11,0):TblMili[[#This Row],[Train AM]]) + TblMili[[#This Row],[Draftees]]</f>
        <v>519</v>
      </c>
      <c r="C95" s="157">
        <f ca="1">TblPop[[#This Row],[Military%]]</f>
        <v>0.67490247074122234</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519</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519</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149309</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519</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c r="A96" s="137">
        <f>TblRezone[[#This Row],[Hour]]</f>
        <v>93</v>
      </c>
      <c r="B96" s="246">
        <f ca="1">SUM(TblMili[[#This Row],[Unit 1]:[Archmages]])+SUM(OFFSET(TblMili[[#This Row],[Train Unit 1]],-8,0):TblMili[[#This Row],[Train Unit 2]]) + SUM(OFFSET(TblMili[[#This Row],[Train Unit 3]],-11,0):TblMili[[#This Row],[Train AM]]) + TblMili[[#This Row],[Draftees]]</f>
        <v>522</v>
      </c>
      <c r="C96" s="157">
        <f ca="1">TblPop[[#This Row],[Military%]]</f>
        <v>0.67880364109232771</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522</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522</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149984</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522</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c r="A97" s="137">
        <f>TblRezone[[#This Row],[Hour]]</f>
        <v>94</v>
      </c>
      <c r="B97" s="246">
        <f ca="1">SUM(TblMili[[#This Row],[Unit 1]:[Archmages]])+SUM(OFFSET(TblMili[[#This Row],[Train Unit 1]],-8,0):TblMili[[#This Row],[Train Unit 2]]) + SUM(OFFSET(TblMili[[#This Row],[Train Unit 3]],-11,0):TblMili[[#This Row],[Train AM]]) + TblMili[[#This Row],[Draftees]]</f>
        <v>524</v>
      </c>
      <c r="C97" s="157">
        <f ca="1">TblPop[[#This Row],[Military%]]</f>
        <v>0.68140442132639789</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524</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524</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150650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524</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c r="A98" s="137">
        <f>TblRezone[[#This Row],[Hour]]</f>
        <v>95</v>
      </c>
      <c r="B98" s="246">
        <f ca="1">SUM(TblMili[[#This Row],[Unit 1]:[Archmages]])+SUM(OFFSET(TblMili[[#This Row],[Train Unit 1]],-8,0):TblMili[[#This Row],[Train Unit 2]]) + SUM(OFFSET(TblMili[[#This Row],[Train Unit 3]],-11,0):TblMili[[#This Row],[Train AM]]) + TblMili[[#This Row],[Draftees]]</f>
        <v>526</v>
      </c>
      <c r="C98" s="157">
        <f ca="1">TblPop[[#This Row],[Military%]]</f>
        <v>0.68400520156046818</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526</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526</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151311</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526</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c r="A99" s="137">
        <f>TblRezone[[#This Row],[Hour]]</f>
        <v>96</v>
      </c>
      <c r="B99" s="246">
        <f ca="1">SUM(TblMili[[#This Row],[Unit 1]:[Archmages]])+SUM(OFFSET(TblMili[[#This Row],[Train Unit 1]],-8,0):TblMili[[#This Row],[Train Unit 2]]) + SUM(OFFSET(TblMili[[#This Row],[Train Unit 3]],-11,0):TblMili[[#This Row],[Train AM]]) + TblMili[[#This Row],[Draftees]]</f>
        <v>528</v>
      </c>
      <c r="C99" s="157">
        <f ca="1">TblPop[[#This Row],[Military%]]</f>
        <v>0.68660598179453836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528</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528</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151967</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528</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c r="A100" s="137">
        <f>TblRezone[[#This Row],[Hour]]</f>
        <v>97</v>
      </c>
      <c r="B100" s="246">
        <f ca="1">SUM(TblMili[[#This Row],[Unit 1]:[Archmages]])+SUM(OFFSET(TblMili[[#This Row],[Train Unit 1]],-8,0):TblMili[[#This Row],[Train Unit 2]]) + SUM(OFFSET(TblMili[[#This Row],[Train Unit 3]],-11,0):TblMili[[#This Row],[Train AM]]) + TblMili[[#This Row],[Draftees]]</f>
        <v>530</v>
      </c>
      <c r="C100" s="157">
        <f ca="1">TblPop[[#This Row],[Military%]]</f>
        <v>0.68920676202860853</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530</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530</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152617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530</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c r="A101" s="137">
        <f>TblRezone[[#This Row],[Hour]]</f>
        <v>98</v>
      </c>
      <c r="B101" s="246">
        <f ca="1">SUM(TblMili[[#This Row],[Unit 1]:[Archmages]])+SUM(OFFSET(TblMili[[#This Row],[Train Unit 1]],-8,0):TblMili[[#This Row],[Train Unit 2]]) + SUM(OFFSET(TblMili[[#This Row],[Train Unit 3]],-11,0):TblMili[[#This Row],[Train AM]]) + TblMili[[#This Row],[Draftees]]</f>
        <v>532</v>
      </c>
      <c r="C101" s="157">
        <f ca="1">TblPop[[#This Row],[Military%]]</f>
        <v>0.69180754226267882</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532</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532</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153262</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532</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c r="A102" s="137">
        <f>TblRezone[[#This Row],[Hour]]</f>
        <v>99</v>
      </c>
      <c r="B102" s="246">
        <f ca="1">SUM(TblMili[[#This Row],[Unit 1]:[Archmages]])+SUM(OFFSET(TblMili[[#This Row],[Train Unit 1]],-8,0):TblMili[[#This Row],[Train Unit 2]]) + SUM(OFFSET(TblMili[[#This Row],[Train Unit 3]],-11,0):TblMili[[#This Row],[Train AM]]) + TblMili[[#This Row],[Draftees]]</f>
        <v>534</v>
      </c>
      <c r="C102" s="157">
        <f ca="1">TblPop[[#This Row],[Military%]]</f>
        <v>0.694408322496749</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534</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534</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153901</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534</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c r="A103" s="137">
        <f>TblRezone[[#This Row],[Hour]]</f>
        <v>100</v>
      </c>
      <c r="B103" s="246">
        <f ca="1">SUM(TblMili[[#This Row],[Unit 1]:[Archmages]])+SUM(OFFSET(TblMili[[#This Row],[Train Unit 1]],-8,0):TblMili[[#This Row],[Train Unit 2]]) + SUM(OFFSET(TblMili[[#This Row],[Train Unit 3]],-11,0):TblMili[[#This Row],[Train AM]]) + TblMili[[#This Row],[Draftees]]</f>
        <v>536</v>
      </c>
      <c r="C103" s="157">
        <f ca="1">TblPop[[#This Row],[Military%]]</f>
        <v>0.69700910273081929</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536</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536</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154535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536</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c r="A104" s="137">
        <f>TblRezone[[#This Row],[Hour]]</f>
        <v>101</v>
      </c>
      <c r="B104" s="246">
        <f ca="1">SUM(TblMili[[#This Row],[Unit 1]:[Archmages]])+SUM(OFFSET(TblMili[[#This Row],[Train Unit 1]],-8,0):TblMili[[#This Row],[Train Unit 2]]) + SUM(OFFSET(TblMili[[#This Row],[Train Unit 3]],-11,0):TblMili[[#This Row],[Train AM]]) + TblMili[[#This Row],[Draftees]]</f>
        <v>538</v>
      </c>
      <c r="C104" s="157">
        <f ca="1">TblPop[[#This Row],[Military%]]</f>
        <v>0.69960988296488946</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538</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538</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155164</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538</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c r="A105" s="137">
        <f>TblRezone[[#This Row],[Hour]]</f>
        <v>102</v>
      </c>
      <c r="B105" s="246">
        <f ca="1">SUM(TblMili[[#This Row],[Unit 1]:[Archmages]])+SUM(OFFSET(TblMili[[#This Row],[Train Unit 1]],-8,0):TblMili[[#This Row],[Train Unit 2]]) + SUM(OFFSET(TblMili[[#This Row],[Train Unit 3]],-11,0):TblMili[[#This Row],[Train AM]]) + TblMili[[#This Row],[Draftees]]</f>
        <v>540</v>
      </c>
      <c r="C105" s="157">
        <f ca="1">TblPop[[#This Row],[Military%]]</f>
        <v>0.70221066319895964</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540</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540</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155787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540</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c r="A106" s="137">
        <f>TblRezone[[#This Row],[Hour]]</f>
        <v>103</v>
      </c>
      <c r="B106" s="246">
        <f ca="1">SUM(TblMili[[#This Row],[Unit 1]:[Archmages]])+SUM(OFFSET(TblMili[[#This Row],[Train Unit 1]],-8,0):TblMili[[#This Row],[Train Unit 2]]) + SUM(OFFSET(TblMili[[#This Row],[Train Unit 3]],-11,0):TblMili[[#This Row],[Train AM]]) + TblMili[[#This Row],[Draftees]]</f>
        <v>542</v>
      </c>
      <c r="C106" s="157">
        <f ca="1">TblPop[[#This Row],[Military%]]</f>
        <v>0.70481144343302993</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542</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542</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156405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542</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c r="A107" s="137">
        <f>TblRezone[[#This Row],[Hour]]</f>
        <v>104</v>
      </c>
      <c r="B107" s="246">
        <f ca="1">SUM(TblMili[[#This Row],[Unit 1]:[Archmages]])+SUM(OFFSET(TblMili[[#This Row],[Train Unit 1]],-8,0):TblMili[[#This Row],[Train Unit 2]]) + SUM(OFFSET(TblMili[[#This Row],[Train Unit 3]],-11,0):TblMili[[#This Row],[Train AM]]) + TblMili[[#This Row],[Draftees]]</f>
        <v>544</v>
      </c>
      <c r="C107" s="157">
        <f ca="1">TblPop[[#This Row],[Military%]]</f>
        <v>0.7074122236671001</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544</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544</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157017</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544</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c r="A108" s="137">
        <f>TblRezone[[#This Row],[Hour]]</f>
        <v>105</v>
      </c>
      <c r="B108" s="246">
        <f ca="1">SUM(TblMili[[#This Row],[Unit 1]:[Archmages]])+SUM(OFFSET(TblMili[[#This Row],[Train Unit 1]],-8,0):TblMili[[#This Row],[Train Unit 2]]) + SUM(OFFSET(TblMili[[#This Row],[Train Unit 3]],-11,0):TblMili[[#This Row],[Train AM]]) + TblMili[[#This Row],[Draftees]]</f>
        <v>546</v>
      </c>
      <c r="C108" s="157">
        <f ca="1">TblPop[[#This Row],[Military%]]</f>
        <v>0.71001300390117039</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546</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546</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157624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546</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c r="A109" s="137">
        <f>TblRezone[[#This Row],[Hour]]</f>
        <v>106</v>
      </c>
      <c r="B109" s="246">
        <f ca="1">SUM(TblMili[[#This Row],[Unit 1]:[Archmages]])+SUM(OFFSET(TblMili[[#This Row],[Train Unit 1]],-8,0):TblMili[[#This Row],[Train Unit 2]]) + SUM(OFFSET(TblMili[[#This Row],[Train Unit 3]],-11,0):TblMili[[#This Row],[Train AM]]) + TblMili[[#This Row],[Draftees]]</f>
        <v>548</v>
      </c>
      <c r="C109" s="157">
        <f ca="1">TblPop[[#This Row],[Military%]]</f>
        <v>0.71261378413524057</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548</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548</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158226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548</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c r="A110" s="137">
        <f>TblRezone[[#This Row],[Hour]]</f>
        <v>107</v>
      </c>
      <c r="B110" s="246">
        <f ca="1">SUM(TblMili[[#This Row],[Unit 1]:[Archmages]])+SUM(OFFSET(TblMili[[#This Row],[Train Unit 1]],-8,0):TblMili[[#This Row],[Train Unit 2]]) + SUM(OFFSET(TblMili[[#This Row],[Train Unit 3]],-11,0):TblMili[[#This Row],[Train AM]]) + TblMili[[#This Row],[Draftees]]</f>
        <v>550</v>
      </c>
      <c r="C110" s="157">
        <f ca="1">TblPop[[#This Row],[Military%]]</f>
        <v>0.71521456436931075</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550</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550</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158822</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550</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c r="A111" s="137">
        <f>TblRezone[[#This Row],[Hour]]</f>
        <v>108</v>
      </c>
      <c r="B111" s="246">
        <f ca="1">SUM(TblMili[[#This Row],[Unit 1]:[Archmages]])+SUM(OFFSET(TblMili[[#This Row],[Train Unit 1]],-8,0):TblMili[[#This Row],[Train Unit 2]]) + SUM(OFFSET(TblMili[[#This Row],[Train Unit 3]],-11,0):TblMili[[#This Row],[Train AM]]) + TblMili[[#This Row],[Draftees]]</f>
        <v>552</v>
      </c>
      <c r="C111" s="157">
        <f ca="1">TblPop[[#This Row],[Military%]]</f>
        <v>0.71781534460338103</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552</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552</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159413</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552</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c r="A112" s="137">
        <f>TblRezone[[#This Row],[Hour]]</f>
        <v>109</v>
      </c>
      <c r="B112" s="246">
        <f ca="1">SUM(TblMili[[#This Row],[Unit 1]:[Archmages]])+SUM(OFFSET(TblMili[[#This Row],[Train Unit 1]],-8,0):TblMili[[#This Row],[Train Unit 2]]) + SUM(OFFSET(TblMili[[#This Row],[Train Unit 3]],-11,0):TblMili[[#This Row],[Train AM]]) + TblMili[[#This Row],[Draftees]]</f>
        <v>554</v>
      </c>
      <c r="C112" s="157">
        <f ca="1">TblPop[[#This Row],[Military%]]</f>
        <v>0.72041612483745121</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554</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554</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159998</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554</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c r="A113" s="137">
        <f>TblRezone[[#This Row],[Hour]]</f>
        <v>110</v>
      </c>
      <c r="B113" s="246">
        <f ca="1">SUM(TblMili[[#This Row],[Unit 1]:[Archmages]])+SUM(OFFSET(TblMili[[#This Row],[Train Unit 1]],-8,0):TblMili[[#This Row],[Train Unit 2]]) + SUM(OFFSET(TblMili[[#This Row],[Train Unit 3]],-11,0):TblMili[[#This Row],[Train AM]]) + TblMili[[#This Row],[Draftees]]</f>
        <v>556</v>
      </c>
      <c r="C113" s="157">
        <f ca="1">TblPop[[#This Row],[Military%]]</f>
        <v>0.7230169050715215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556</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556</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160578</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556</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c r="A114" s="137">
        <f>TblRezone[[#This Row],[Hour]]</f>
        <v>111</v>
      </c>
      <c r="B114" s="246">
        <f ca="1">SUM(TblMili[[#This Row],[Unit 1]:[Archmages]])+SUM(OFFSET(TblMili[[#This Row],[Train Unit 1]],-8,0):TblMili[[#This Row],[Train Unit 2]]) + SUM(OFFSET(TblMili[[#This Row],[Train Unit 3]],-11,0):TblMili[[#This Row],[Train AM]]) + TblMili[[#This Row],[Draftees]]</f>
        <v>558</v>
      </c>
      <c r="C114" s="157">
        <f ca="1">TblPop[[#This Row],[Military%]]</f>
        <v>0.72561768530559168</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558</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558</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161153</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558</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c r="A115" s="137">
        <f>TblRezone[[#This Row],[Hour]]</f>
        <v>112</v>
      </c>
      <c r="B115" s="246">
        <f ca="1">SUM(TblMili[[#This Row],[Unit 1]:[Archmages]])+SUM(OFFSET(TblMili[[#This Row],[Train Unit 1]],-8,0):TblMili[[#This Row],[Train Unit 2]]) + SUM(OFFSET(TblMili[[#This Row],[Train Unit 3]],-11,0):TblMili[[#This Row],[Train AM]]) + TblMili[[#This Row],[Draftees]]</f>
        <v>560</v>
      </c>
      <c r="C115" s="157">
        <f ca="1">TblPop[[#This Row],[Military%]]</f>
        <v>0.72821846553966185</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560</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560</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161722</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560</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c r="A116" s="137">
        <f>TblRezone[[#This Row],[Hour]]</f>
        <v>113</v>
      </c>
      <c r="B116" s="246">
        <f ca="1">SUM(TblMili[[#This Row],[Unit 1]:[Archmages]])+SUM(OFFSET(TblMili[[#This Row],[Train Unit 1]],-8,0):TblMili[[#This Row],[Train Unit 2]]) + SUM(OFFSET(TblMili[[#This Row],[Train Unit 3]],-11,0):TblMili[[#This Row],[Train AM]]) + TblMili[[#This Row],[Draftees]]</f>
        <v>562</v>
      </c>
      <c r="C116" s="157">
        <f ca="1">TblPop[[#This Row],[Military%]]</f>
        <v>0.73081924577373214</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562</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562</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162286</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562</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c r="A117" s="137">
        <f>TblRezone[[#This Row],[Hour]]</f>
        <v>114</v>
      </c>
      <c r="B117" s="246">
        <f ca="1">SUM(TblMili[[#This Row],[Unit 1]:[Archmages]])+SUM(OFFSET(TblMili[[#This Row],[Train Unit 1]],-8,0):TblMili[[#This Row],[Train Unit 2]]) + SUM(OFFSET(TblMili[[#This Row],[Train Unit 3]],-11,0):TblMili[[#This Row],[Train AM]]) + TblMili[[#This Row],[Draftees]]</f>
        <v>564</v>
      </c>
      <c r="C117" s="157">
        <f ca="1">TblPop[[#This Row],[Military%]]</f>
        <v>0.73342002600780232</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564</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564</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162844</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564</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c r="A118" s="137">
        <f>TblRezone[[#This Row],[Hour]]</f>
        <v>115</v>
      </c>
      <c r="B118" s="246">
        <f ca="1">SUM(TblMili[[#This Row],[Unit 1]:[Archmages]])+SUM(OFFSET(TblMili[[#This Row],[Train Unit 1]],-8,0):TblMili[[#This Row],[Train Unit 2]]) + SUM(OFFSET(TblMili[[#This Row],[Train Unit 3]],-11,0):TblMili[[#This Row],[Train AM]]) + TblMili[[#This Row],[Draftees]]</f>
        <v>566</v>
      </c>
      <c r="C118" s="157">
        <f ca="1">TblPop[[#This Row],[Military%]]</f>
        <v>0.7360208062418726</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566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566</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163397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566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c r="A119" s="137">
        <f>TblRezone[[#This Row],[Hour]]</f>
        <v>116</v>
      </c>
      <c r="B119" s="246">
        <f ca="1">SUM(TblMili[[#This Row],[Unit 1]:[Archmages]])+SUM(OFFSET(TblMili[[#This Row],[Train Unit 1]],-8,0):TblMili[[#This Row],[Train Unit 2]]) + SUM(OFFSET(TblMili[[#This Row],[Train Unit 3]],-11,0):TblMili[[#This Row],[Train AM]]) + TblMili[[#This Row],[Draftees]]</f>
        <v>568</v>
      </c>
      <c r="C119" s="157">
        <f ca="1">TblPop[[#This Row],[Military%]]</f>
        <v>0.73862158647594278</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568</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568</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163945</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568</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c r="A120" s="137">
        <f>TblRezone[[#This Row],[Hour]]</f>
        <v>117</v>
      </c>
      <c r="B120" s="246">
        <f ca="1">SUM(TblMili[[#This Row],[Unit 1]:[Archmages]])+SUM(OFFSET(TblMili[[#This Row],[Train Unit 1]],-8,0):TblMili[[#This Row],[Train Unit 2]]) + SUM(OFFSET(TblMili[[#This Row],[Train Unit 3]],-11,0):TblMili[[#This Row],[Train AM]]) + TblMili[[#This Row],[Draftees]]</f>
        <v>570</v>
      </c>
      <c r="C120" s="157">
        <f ca="1">TblPop[[#This Row],[Military%]]</f>
        <v>0.74122236671001296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570</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570</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164487</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570</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c r="A121" s="137">
        <f>TblRezone[[#This Row],[Hour]]</f>
        <v>118</v>
      </c>
      <c r="B121" s="246">
        <f ca="1">SUM(TblMili[[#This Row],[Unit 1]:[Archmages]])+SUM(OFFSET(TblMili[[#This Row],[Train Unit 1]],-8,0):TblMili[[#This Row],[Train Unit 2]]) + SUM(OFFSET(TblMili[[#This Row],[Train Unit 3]],-11,0):TblMili[[#This Row],[Train AM]]) + TblMili[[#This Row],[Draftees]]</f>
        <v>572</v>
      </c>
      <c r="C121" s="157">
        <f ca="1">TblPop[[#This Row],[Military%]]</f>
        <v>0.74382314694408325</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572</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572</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165024</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572</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c r="A122" s="137">
        <f>TblRezone[[#This Row],[Hour]]</f>
        <v>119</v>
      </c>
      <c r="B122" s="246">
        <f ca="1">SUM(TblMili[[#This Row],[Unit 1]:[Archmages]])+SUM(OFFSET(TblMili[[#This Row],[Train Unit 1]],-8,0):TblMili[[#This Row],[Train Unit 2]]) + SUM(OFFSET(TblMili[[#This Row],[Train Unit 3]],-11,0):TblMili[[#This Row],[Train AM]]) + TblMili[[#This Row],[Draftees]]</f>
        <v>574</v>
      </c>
      <c r="C122" s="157">
        <f ca="1">TblPop[[#This Row],[Military%]]</f>
        <v>0.74642392717815342</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574</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574</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165555</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574</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c r="A123" s="137">
        <f>TblRezone[[#This Row],[Hour]]</f>
        <v>120</v>
      </c>
      <c r="B123" s="246">
        <f ca="1">SUM(TblMili[[#This Row],[Unit 1]:[Archmages]])+SUM(OFFSET(TblMili[[#This Row],[Train Unit 1]],-8,0):TblMili[[#This Row],[Train Unit 2]]) + SUM(OFFSET(TblMili[[#This Row],[Train Unit 3]],-11,0):TblMili[[#This Row],[Train AM]]) + TblMili[[#This Row],[Draftees]]</f>
        <v>576</v>
      </c>
      <c r="C123" s="157">
        <f ca="1">TblPop[[#This Row],[Military%]]</f>
        <v>0.74902470741222371</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576</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576</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166081</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576</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c r="A124" s="137">
        <f>TblRezone[[#This Row],[Hour]]</f>
        <v>121</v>
      </c>
      <c r="B124" s="246">
        <f ca="1">SUM(TblMili[[#This Row],[Unit 1]:[Archmages]])+SUM(OFFSET(TblMili[[#This Row],[Train Unit 1]],-8,0):TblMili[[#This Row],[Train Unit 2]]) + SUM(OFFSET(TblMili[[#This Row],[Train Unit 3]],-11,0):TblMili[[#This Row],[Train AM]]) + TblMili[[#This Row],[Draftees]]</f>
        <v>578</v>
      </c>
      <c r="C124" s="157">
        <f ca="1">TblPop[[#This Row],[Military%]]</f>
        <v>0.75162548764629389</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578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578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166602</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578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c r="A125" s="137">
        <f>TblRezone[[#This Row],[Hour]]</f>
        <v>122</v>
      </c>
      <c r="B125" s="246">
        <f ca="1">SUM(TblMili[[#This Row],[Unit 1]:[Archmages]])+SUM(OFFSET(TblMili[[#This Row],[Train Unit 1]],-8,0):TblMili[[#This Row],[Train Unit 2]]) + SUM(OFFSET(TblMili[[#This Row],[Train Unit 3]],-11,0):TblMili[[#This Row],[Train AM]]) + TblMili[[#This Row],[Draftees]]</f>
        <v>580</v>
      </c>
      <c r="C125" s="157">
        <f ca="1">TblPop[[#This Row],[Military%]]</f>
        <v>0.75422626788036407</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580</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580</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167117</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580</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c r="A126" s="137">
        <f>TblRezone[[#This Row],[Hour]]</f>
        <v>123</v>
      </c>
      <c r="B126" s="246">
        <f ca="1">SUM(TblMili[[#This Row],[Unit 1]:[Archmages]])+SUM(OFFSET(TblMili[[#This Row],[Train Unit 1]],-8,0):TblMili[[#This Row],[Train Unit 2]]) + SUM(OFFSET(TblMili[[#This Row],[Train Unit 3]],-11,0):TblMili[[#This Row],[Train AM]]) + TblMili[[#This Row],[Draftees]]</f>
        <v>582</v>
      </c>
      <c r="C126" s="157">
        <f ca="1">TblPop[[#This Row],[Military%]]</f>
        <v>0.75682704811443435</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582</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582</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167627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582</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c r="A127" s="137">
        <f>TblRezone[[#This Row],[Hour]]</f>
        <v>124</v>
      </c>
      <c r="B127" s="246">
        <f ca="1">SUM(TblMili[[#This Row],[Unit 1]:[Archmages]])+SUM(OFFSET(TblMili[[#This Row],[Train Unit 1]],-8,0):TblMili[[#This Row],[Train Unit 2]]) + SUM(OFFSET(TblMili[[#This Row],[Train Unit 3]],-11,0):TblMili[[#This Row],[Train AM]]) + TblMili[[#This Row],[Draftees]]</f>
        <v>584</v>
      </c>
      <c r="C127" s="157">
        <f ca="1">TblPop[[#This Row],[Military%]]</f>
        <v>0.75942782834850453</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584</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584</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168131</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584</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c r="A128" s="137">
        <f>TblRezone[[#This Row],[Hour]]</f>
        <v>125</v>
      </c>
      <c r="B128" s="246">
        <f ca="1">SUM(TblMili[[#This Row],[Unit 1]:[Archmages]])+SUM(OFFSET(TblMili[[#This Row],[Train Unit 1]],-8,0):TblMili[[#This Row],[Train Unit 2]]) + SUM(OFFSET(TblMili[[#This Row],[Train Unit 3]],-11,0):TblMili[[#This Row],[Train AM]]) + TblMili[[#This Row],[Draftees]]</f>
        <v>586</v>
      </c>
      <c r="C128" s="157">
        <f ca="1">TblPop[[#This Row],[Military%]]</f>
        <v>0.76202860858257482</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586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586</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168630</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586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c r="A129" s="137">
        <f>TblRezone[[#This Row],[Hour]]</f>
        <v>126</v>
      </c>
      <c r="B129" s="246">
        <f ca="1">SUM(TblMili[[#This Row],[Unit 1]:[Archmages]])+SUM(OFFSET(TblMili[[#This Row],[Train Unit 1]],-8,0):TblMili[[#This Row],[Train Unit 2]]) + SUM(OFFSET(TblMili[[#This Row],[Train Unit 3]],-11,0):TblMili[[#This Row],[Train AM]]) + TblMili[[#This Row],[Draftees]]</f>
        <v>588</v>
      </c>
      <c r="C129" s="157">
        <f ca="1">TblPop[[#This Row],[Military%]]</f>
        <v>0.76462938881664499</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588</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588</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169124</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588</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c r="A130" s="137">
        <f>TblRezone[[#This Row],[Hour]]</f>
        <v>127</v>
      </c>
      <c r="B130" s="246">
        <f ca="1">SUM(TblMili[[#This Row],[Unit 1]:[Archmages]])+SUM(OFFSET(TblMili[[#This Row],[Train Unit 1]],-8,0):TblMili[[#This Row],[Train Unit 2]]) + SUM(OFFSET(TblMili[[#This Row],[Train Unit 3]],-11,0):TblMili[[#This Row],[Train AM]]) + TblMili[[#This Row],[Draftees]]</f>
        <v>590</v>
      </c>
      <c r="C130" s="157">
        <f ca="1">TblPop[[#This Row],[Military%]]</f>
        <v>0.76723016905071517</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590</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590</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169612</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590</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c r="A131" s="137">
        <f>TblRezone[[#This Row],[Hour]]</f>
        <v>128</v>
      </c>
      <c r="B131" s="246">
        <f ca="1">SUM(TblMili[[#This Row],[Unit 1]:[Archmages]])+SUM(OFFSET(TblMili[[#This Row],[Train Unit 1]],-8,0):TblMili[[#This Row],[Train Unit 2]]) + SUM(OFFSET(TblMili[[#This Row],[Train Unit 3]],-11,0):TblMili[[#This Row],[Train AM]]) + TblMili[[#This Row],[Draftees]]</f>
        <v>592</v>
      </c>
      <c r="C131" s="157">
        <f ca="1">TblPop[[#This Row],[Military%]]</f>
        <v>0.76983094928478546</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592</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592</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170095</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592</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c r="A132" s="137">
        <f>TblRezone[[#This Row],[Hour]]</f>
        <v>129</v>
      </c>
      <c r="B132" s="246">
        <f ca="1">SUM(TblMili[[#This Row],[Unit 1]:[Archmages]])+SUM(OFFSET(TblMili[[#This Row],[Train Unit 1]],-8,0):TblMili[[#This Row],[Train Unit 2]]) + SUM(OFFSET(TblMili[[#This Row],[Train Unit 3]],-11,0):TblMili[[#This Row],[Train AM]]) + TblMili[[#This Row],[Draftees]]</f>
        <v>594</v>
      </c>
      <c r="C132" s="157">
        <f ca="1">TblPop[[#This Row],[Military%]]</f>
        <v>0.77243172951885564</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594</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594</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170572</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594</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c r="A133" s="137">
        <f>TblRezone[[#This Row],[Hour]]</f>
        <v>130</v>
      </c>
      <c r="B133" s="246">
        <f ca="1">SUM(TblMili[[#This Row],[Unit 1]:[Archmages]])+SUM(OFFSET(TblMili[[#This Row],[Train Unit 1]],-8,0):TblMili[[#This Row],[Train Unit 2]]) + SUM(OFFSET(TblMili[[#This Row],[Train Unit 3]],-11,0):TblMili[[#This Row],[Train AM]]) + TblMili[[#This Row],[Draftees]]</f>
        <v>596</v>
      </c>
      <c r="C133" s="157">
        <f ca="1">TblPop[[#This Row],[Military%]]</f>
        <v>0.77503250975292592</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596</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596</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171044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596</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c r="A134" s="137">
        <f>TblRezone[[#This Row],[Hour]]</f>
        <v>131</v>
      </c>
      <c r="B134" s="246">
        <f ca="1">SUM(TblMili[[#This Row],[Unit 1]:[Archmages]])+SUM(OFFSET(TblMili[[#This Row],[Train Unit 1]],-8,0):TblMili[[#This Row],[Train Unit 2]]) + SUM(OFFSET(TblMili[[#This Row],[Train Unit 3]],-11,0):TblMili[[#This Row],[Train AM]]) + TblMili[[#This Row],[Draftees]]</f>
        <v>598</v>
      </c>
      <c r="C134" s="157">
        <f ca="1">TblPop[[#This Row],[Military%]]</f>
        <v>0.7776332899869961</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598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598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171511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598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c r="A135" s="137">
        <f>TblRezone[[#This Row],[Hour]]</f>
        <v>132</v>
      </c>
      <c r="B135" s="246">
        <f ca="1">SUM(TblMili[[#This Row],[Unit 1]:[Archmages]])+SUM(OFFSET(TblMili[[#This Row],[Train Unit 1]],-8,0):TblMili[[#This Row],[Train Unit 2]]) + SUM(OFFSET(TblMili[[#This Row],[Train Unit 3]],-11,0):TblMili[[#This Row],[Train AM]]) + TblMili[[#This Row],[Draftees]]</f>
        <v>600</v>
      </c>
      <c r="C135" s="157">
        <f ca="1">TblPop[[#This Row],[Military%]]</f>
        <v>0.78023407022106628</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600</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600</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171972</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600</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c r="A136" s="137">
        <f>TblRezone[[#This Row],[Hour]]</f>
        <v>133</v>
      </c>
      <c r="B136" s="246">
        <f ca="1">SUM(TblMili[[#This Row],[Unit 1]:[Archmages]])+SUM(OFFSET(TblMili[[#This Row],[Train Unit 1]],-8,0):TblMili[[#This Row],[Train Unit 2]]) + SUM(OFFSET(TblMili[[#This Row],[Train Unit 3]],-11,0):TblMili[[#This Row],[Train AM]]) + TblMili[[#This Row],[Draftees]]</f>
        <v>602</v>
      </c>
      <c r="C136" s="157">
        <f ca="1">TblPop[[#This Row],[Military%]]</f>
        <v>0.78283485045513657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602</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602</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172428</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602</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c r="AJ137" s="45">
        <v>100</v>
      </c>
    </row>
    <row r="139" spans="1:113">
      <c r="AF139" s="45">
        <f ca="1">SUM(E136:L136)</f>
        <v>0</v>
      </c>
    </row>
    <row r="1269" spans="2:3">
      <c r="B1269" s="530" t="s">
        <v>314</v>
      </c>
      <c r="C1269" s="530"/>
    </row>
    <row r="1270" spans="2:3">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c r="A4" s="137">
        <f>TblRezone[[#This Row],[Hour]]</f>
        <v>1</v>
      </c>
      <c r="B4" s="154">
        <f ca="1">TblConstr[[#This Row],[Land]]</f>
        <v>50</v>
      </c>
      <c r="C4" s="94">
        <f ca="1">TblProd[[#This Row],[Mana]]</f>
        <v>0</v>
      </c>
      <c r="D4" s="397">
        <f>1-TblMagic[[#This Row],[Wiz str cost]]</f>
        <v>1</v>
      </c>
      <c r="E4" s="159">
        <f>Imps!L4</f>
        <v>45815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c r="A40" s="144">
        <f>TblRezone[[#This Row],[Hour]]</f>
        <v>37</v>
      </c>
      <c r="B40" s="162">
        <f ca="1">TblConstr[[#This Row],[Land]]</f>
        <v>50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45816.499999999913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c r="A52" s="137">
        <f>TblRezone[[#This Row],[Hour]]</f>
        <v>49</v>
      </c>
      <c r="B52" s="154">
        <f ca="1">TblConstr[[#This Row],[Land]]</f>
        <v>50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45816.999999999884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c r="A76" s="137">
        <f>TblRezone[[#This Row],[Hour]]</f>
        <v>73</v>
      </c>
      <c r="B76" s="154">
        <f ca="1">TblConstr[[#This Row],[Land]]</f>
        <v>50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45817.999999999825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c r="C1269" s="530" t="s">
        <v>314</v>
      </c>
      <c r="D1269" s="486"/>
    </row>
    <row r="1270" spans="3:4">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c r="F1" s="265">
        <f ca="1">(INDIRECT("D" &amp; (INDIRECT("A4")+2)) &gt;= INDIRECT("E" &amp; (INDIRECT("A5")+2)))*1</f>
        <v>1</v>
      </c>
    </row>
    <row r="2" spans="1:79" ht="15.7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45815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45815.041666666664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45815.083333333328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45815.124999999993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45815.166666666657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45815.208333333321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45815.249999999985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45815.29166666665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45815.333333333314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45815.374999999978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c r="A16" s="214">
        <f ca="1">TblConstr[[#This Row],[Land]]</f>
        <v>50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c r="A17" s="214">
        <f ca="1">TblConstr[[#This Row],[Land]]</f>
        <v>50</v>
      </c>
      <c r="B17" s="142"/>
      <c r="C17" s="94">
        <f ca="1">TblProd[[#This Row],[Platinum]]</f>
        <v>68376</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c r="A18" s="214">
        <f ca="1">TblConstr[[#This Row],[Land]]</f>
        <v>50</v>
      </c>
      <c r="B18" s="142"/>
      <c r="C18" s="94">
        <f ca="1">TblProd[[#This Row],[Platinum]]</f>
        <v>69861</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c r="A19" s="214">
        <f ca="1">TblConstr[[#This Row],[Land]]</f>
        <v>50</v>
      </c>
      <c r="B19" s="142"/>
      <c r="C19" s="94">
        <f ca="1">TblProd[[#This Row],[Platinum]]</f>
        <v>71329</v>
      </c>
      <c r="D19" s="94">
        <f ca="1">TblProd[[#This Row],[Lumber]]</f>
        <v>26894</v>
      </c>
      <c r="E19" s="94">
        <f ca="1">TblProd[[#This Row],[Ore]]</f>
        <v>0</v>
      </c>
      <c r="F19" s="94">
        <f ca="1">TblProd[[#This Row],[Gems]]</f>
        <v>0</v>
      </c>
      <c r="G19" s="154"/>
      <c r="H19" s="94">
        <f ca="1">TblMili[[#This Row],[Draftees]]</f>
        <v>230</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c r="A20" s="214">
        <f ca="1">TblConstr[[#This Row],[Land]]</f>
        <v>50</v>
      </c>
      <c r="B20" s="142"/>
      <c r="C20" s="94">
        <f ca="1">TblProd[[#This Row],[Platinum]]</f>
        <v>72784</v>
      </c>
      <c r="D20" s="94">
        <f ca="1">TblProd[[#This Row],[Lumber]]</f>
        <v>27625</v>
      </c>
      <c r="E20" s="94">
        <f ca="1">TblProd[[#This Row],[Ore]]</f>
        <v>0</v>
      </c>
      <c r="F20" s="94">
        <f ca="1">TblProd[[#This Row],[Gems]]</f>
        <v>0</v>
      </c>
      <c r="G20" s="154"/>
      <c r="H20" s="94">
        <f ca="1">TblMili[[#This Row],[Draftees]]</f>
        <v>235</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c r="A21" s="214">
        <f ca="1">TblConstr[[#This Row],[Land]]</f>
        <v>50</v>
      </c>
      <c r="B21" s="142"/>
      <c r="C21" s="94">
        <f ca="1">TblProd[[#This Row],[Platinum]]</f>
        <v>74225</v>
      </c>
      <c r="D21" s="94">
        <f ca="1">TblProd[[#This Row],[Lumber]]</f>
        <v>28349</v>
      </c>
      <c r="E21" s="94">
        <f ca="1">TblProd[[#This Row],[Ore]]</f>
        <v>0</v>
      </c>
      <c r="F21" s="94">
        <f ca="1">TblProd[[#This Row],[Gems]]</f>
        <v>0</v>
      </c>
      <c r="G21" s="154"/>
      <c r="H21" s="94">
        <f ca="1">TblMili[[#This Row],[Draftees]]</f>
        <v>240</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c r="A22" s="214">
        <f ca="1">TblConstr[[#This Row],[Land]]</f>
        <v>50</v>
      </c>
      <c r="B22" s="142"/>
      <c r="C22" s="94">
        <f ca="1">TblProd[[#This Row],[Platinum]]</f>
        <v>75653</v>
      </c>
      <c r="D22" s="94">
        <f ca="1">TblProd[[#This Row],[Lumber]]</f>
        <v>29066</v>
      </c>
      <c r="E22" s="94">
        <f ca="1">TblProd[[#This Row],[Ore]]</f>
        <v>0</v>
      </c>
      <c r="F22" s="94">
        <f ca="1">TblProd[[#This Row],[Gems]]</f>
        <v>0</v>
      </c>
      <c r="G22" s="154"/>
      <c r="H22" s="94">
        <f ca="1">TblMili[[#This Row],[Draftees]]</f>
        <v>245</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c r="A23" s="214">
        <f ca="1">TblConstr[[#This Row],[Land]]</f>
        <v>50</v>
      </c>
      <c r="B23" s="142"/>
      <c r="C23" s="94">
        <f ca="1">TblProd[[#This Row],[Platinum]]</f>
        <v>77067</v>
      </c>
      <c r="D23" s="94">
        <f ca="1">TblProd[[#This Row],[Lumber]]</f>
        <v>29775</v>
      </c>
      <c r="E23" s="94">
        <f ca="1">TblProd[[#This Row],[Ore]]</f>
        <v>0</v>
      </c>
      <c r="F23" s="94">
        <f ca="1">TblProd[[#This Row],[Gems]]</f>
        <v>0</v>
      </c>
      <c r="G23" s="154"/>
      <c r="H23" s="94">
        <f ca="1">TblMili[[#This Row],[Draftees]]</f>
        <v>250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c r="A24" s="214">
        <f ca="1">TblConstr[[#This Row],[Land]]</f>
        <v>50</v>
      </c>
      <c r="B24" s="142"/>
      <c r="C24" s="94">
        <f ca="1">TblProd[[#This Row],[Platinum]]</f>
        <v>78468</v>
      </c>
      <c r="D24" s="94">
        <f ca="1">TblProd[[#This Row],[Lumber]]</f>
        <v>30477</v>
      </c>
      <c r="E24" s="94">
        <f ca="1">TblProd[[#This Row],[Ore]]</f>
        <v>0</v>
      </c>
      <c r="F24" s="94">
        <f ca="1">TblProd[[#This Row],[Gems]]</f>
        <v>0</v>
      </c>
      <c r="G24" s="154"/>
      <c r="H24" s="94">
        <f ca="1">TblMili[[#This Row],[Draftees]]</f>
        <v>255</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c r="A25" s="214">
        <f ca="1">TblConstr[[#This Row],[Land]]</f>
        <v>50</v>
      </c>
      <c r="B25" s="142"/>
      <c r="C25" s="94">
        <f ca="1">TblProd[[#This Row],[Platinum]]</f>
        <v>79855</v>
      </c>
      <c r="D25" s="94">
        <f ca="1">TblProd[[#This Row],[Lumber]]</f>
        <v>31172</v>
      </c>
      <c r="E25" s="94">
        <f ca="1">TblProd[[#This Row],[Ore]]</f>
        <v>0</v>
      </c>
      <c r="F25" s="94">
        <f ca="1">TblProd[[#This Row],[Gems]]</f>
        <v>0</v>
      </c>
      <c r="G25" s="154"/>
      <c r="H25" s="94">
        <f ca="1">TblMili[[#This Row],[Draftees]]</f>
        <v>260</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c r="A26" s="214">
        <f ca="1">TblConstr[[#This Row],[Land]]</f>
        <v>50</v>
      </c>
      <c r="B26" s="142"/>
      <c r="C26" s="94">
        <f ca="1">TblProd[[#This Row],[Platinum]]</f>
        <v>81229</v>
      </c>
      <c r="D26" s="94">
        <f ca="1">TblProd[[#This Row],[Lumber]]</f>
        <v>31860</v>
      </c>
      <c r="E26" s="94">
        <f ca="1">TblProd[[#This Row],[Ore]]</f>
        <v>0</v>
      </c>
      <c r="F26" s="94">
        <f ca="1">TblProd[[#This Row],[Gems]]</f>
        <v>0</v>
      </c>
      <c r="G26" s="154"/>
      <c r="H26" s="94">
        <f ca="1">TblMili[[#This Row],[Draftees]]</f>
        <v>265</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c r="A27" s="214">
        <f ca="1">TblConstr[[#This Row],[Land]]</f>
        <v>50</v>
      </c>
      <c r="B27" s="142"/>
      <c r="C27" s="94">
        <f ca="1">TblProd[[#This Row],[Platinum]]</f>
        <v>82589</v>
      </c>
      <c r="D27" s="94">
        <f ca="1">TblProd[[#This Row],[Lumber]]</f>
        <v>32541</v>
      </c>
      <c r="E27" s="94">
        <f ca="1">TblProd[[#This Row],[Ore]]</f>
        <v>0</v>
      </c>
      <c r="F27" s="94">
        <f ca="1">TblProd[[#This Row],[Gems]]</f>
        <v>0</v>
      </c>
      <c r="G27" s="154"/>
      <c r="H27" s="94">
        <f ca="1">TblMili[[#This Row],[Draftees]]</f>
        <v>270</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c r="A28" s="214">
        <f ca="1">TblConstr[[#This Row],[Land]]</f>
        <v>50</v>
      </c>
      <c r="B28" s="142"/>
      <c r="C28" s="94">
        <f ca="1">TblProd[[#This Row],[Platinum]]</f>
        <v>83936</v>
      </c>
      <c r="D28" s="94">
        <f ca="1">TblProd[[#This Row],[Lumber]]</f>
        <v>33216</v>
      </c>
      <c r="E28" s="94">
        <f ca="1">TblProd[[#This Row],[Ore]]</f>
        <v>0</v>
      </c>
      <c r="F28" s="94">
        <f ca="1">TblProd[[#This Row],[Gems]]</f>
        <v>0</v>
      </c>
      <c r="G28" s="154"/>
      <c r="H28" s="94">
        <f ca="1">TblMili[[#This Row],[Draftees]]</f>
        <v>275</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c r="A29" s="214">
        <f ca="1">TblConstr[[#This Row],[Land]]</f>
        <v>50</v>
      </c>
      <c r="B29" s="142"/>
      <c r="C29" s="94">
        <f ca="1">TblProd[[#This Row],[Platinum]]</f>
        <v>85269</v>
      </c>
      <c r="D29" s="94">
        <f ca="1">TblProd[[#This Row],[Lumber]]</f>
        <v>33884</v>
      </c>
      <c r="E29" s="94">
        <f ca="1">TblProd[[#This Row],[Ore]]</f>
        <v>0</v>
      </c>
      <c r="F29" s="94">
        <f ca="1">TblProd[[#This Row],[Gems]]</f>
        <v>0</v>
      </c>
      <c r="G29" s="154"/>
      <c r="H29" s="94">
        <f ca="1">TblMili[[#This Row],[Draftees]]</f>
        <v>280</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c r="A30" s="214">
        <f ca="1">TblConstr[[#This Row],[Land]]</f>
        <v>50</v>
      </c>
      <c r="B30" s="142"/>
      <c r="C30" s="94">
        <f ca="1">TblProd[[#This Row],[Platinum]]</f>
        <v>86589</v>
      </c>
      <c r="D30" s="94">
        <f ca="1">TblProd[[#This Row],[Lumber]]</f>
        <v>34545</v>
      </c>
      <c r="E30" s="94">
        <f ca="1">TblProd[[#This Row],[Ore]]</f>
        <v>0</v>
      </c>
      <c r="F30" s="94">
        <f ca="1">TblProd[[#This Row],[Gems]]</f>
        <v>0</v>
      </c>
      <c r="G30" s="154"/>
      <c r="H30" s="94">
        <f ca="1">TblMili[[#This Row],[Draftees]]</f>
        <v>285</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c r="A31" s="214">
        <f ca="1">TblConstr[[#This Row],[Land]]</f>
        <v>50</v>
      </c>
      <c r="B31" s="142"/>
      <c r="C31" s="94">
        <f ca="1">TblProd[[#This Row],[Platinum]]</f>
        <v>87895</v>
      </c>
      <c r="D31" s="94">
        <f ca="1">TblProd[[#This Row],[Lumber]]</f>
        <v>35200</v>
      </c>
      <c r="E31" s="94">
        <f ca="1">TblProd[[#This Row],[Ore]]</f>
        <v>0</v>
      </c>
      <c r="F31" s="94">
        <f ca="1">TblProd[[#This Row],[Gems]]</f>
        <v>0</v>
      </c>
      <c r="G31" s="154"/>
      <c r="H31" s="94">
        <f ca="1">TblMili[[#This Row],[Draftees]]</f>
        <v>290</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c r="A32" s="214">
        <f ca="1">TblConstr[[#This Row],[Land]]</f>
        <v>50</v>
      </c>
      <c r="B32" s="142"/>
      <c r="C32" s="94">
        <f ca="1">TblProd[[#This Row],[Platinum]]</f>
        <v>89188</v>
      </c>
      <c r="D32" s="94">
        <f ca="1">TblProd[[#This Row],[Lumber]]</f>
        <v>35848</v>
      </c>
      <c r="E32" s="94">
        <f ca="1">TblProd[[#This Row],[Ore]]</f>
        <v>0</v>
      </c>
      <c r="F32" s="94">
        <f ca="1">TblProd[[#This Row],[Gems]]</f>
        <v>0</v>
      </c>
      <c r="G32" s="154"/>
      <c r="H32" s="94">
        <f ca="1">TblMili[[#This Row],[Draftees]]</f>
        <v>295</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c r="A33" s="214">
        <f ca="1">TblConstr[[#This Row],[Land]]</f>
        <v>50</v>
      </c>
      <c r="B33" s="142"/>
      <c r="C33" s="94">
        <f ca="1">TblProd[[#This Row],[Platinum]]</f>
        <v>90467</v>
      </c>
      <c r="D33" s="94">
        <f ca="1">TblProd[[#This Row],[Lumber]]</f>
        <v>36490</v>
      </c>
      <c r="E33" s="94">
        <f ca="1">TblProd[[#This Row],[Ore]]</f>
        <v>0</v>
      </c>
      <c r="F33" s="94">
        <f ca="1">TblProd[[#This Row],[Gems]]</f>
        <v>0</v>
      </c>
      <c r="G33" s="154"/>
      <c r="H33" s="94">
        <f ca="1">TblMili[[#This Row],[Draftees]]</f>
        <v>300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c r="A34" s="214">
        <f ca="1">TblConstr[[#This Row],[Land]]</f>
        <v>50</v>
      </c>
      <c r="B34" s="142"/>
      <c r="C34" s="94">
        <f ca="1">TblProd[[#This Row],[Platinum]]</f>
        <v>91733</v>
      </c>
      <c r="D34" s="94">
        <f ca="1">TblProd[[#This Row],[Lumber]]</f>
        <v>37125</v>
      </c>
      <c r="E34" s="94">
        <f ca="1">TblProd[[#This Row],[Ore]]</f>
        <v>0</v>
      </c>
      <c r="F34" s="94">
        <f ca="1">TblProd[[#This Row],[Gems]]</f>
        <v>0</v>
      </c>
      <c r="G34" s="154"/>
      <c r="H34" s="94">
        <f ca="1">TblMili[[#This Row],[Draftees]]</f>
        <v>305</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c r="A35" s="214">
        <f ca="1">TblConstr[[#This Row],[Land]]</f>
        <v>50</v>
      </c>
      <c r="B35" s="142"/>
      <c r="C35" s="94">
        <f ca="1">TblProd[[#This Row],[Platinum]]</f>
        <v>92985</v>
      </c>
      <c r="D35" s="94">
        <f ca="1">TblProd[[#This Row],[Lumber]]</f>
        <v>37754</v>
      </c>
      <c r="E35" s="94">
        <f ca="1">TblProd[[#This Row],[Ore]]</f>
        <v>0</v>
      </c>
      <c r="F35" s="94">
        <f ca="1">TblProd[[#This Row],[Gems]]</f>
        <v>0</v>
      </c>
      <c r="G35" s="154"/>
      <c r="H35" s="94">
        <f ca="1">TblMili[[#This Row],[Draftees]]</f>
        <v>310</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c r="A36" s="214">
        <f ca="1">TblConstr[[#This Row],[Land]]</f>
        <v>50</v>
      </c>
      <c r="B36" s="142"/>
      <c r="C36" s="94">
        <f ca="1">TblProd[[#This Row],[Platinum]]</f>
        <v>94224</v>
      </c>
      <c r="D36" s="94">
        <f ca="1">TblProd[[#This Row],[Lumber]]</f>
        <v>38376</v>
      </c>
      <c r="E36" s="94">
        <f ca="1">TblProd[[#This Row],[Ore]]</f>
        <v>0</v>
      </c>
      <c r="F36" s="94">
        <f ca="1">TblProd[[#This Row],[Gems]]</f>
        <v>0</v>
      </c>
      <c r="G36" s="154"/>
      <c r="H36" s="94">
        <f ca="1">TblMili[[#This Row],[Draftees]]</f>
        <v>315</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c r="A37" s="214">
        <f ca="1">TblConstr[[#This Row],[Land]]</f>
        <v>50</v>
      </c>
      <c r="B37" s="142"/>
      <c r="C37" s="94">
        <f ca="1">TblProd[[#This Row],[Platinum]]</f>
        <v>95449</v>
      </c>
      <c r="D37" s="94">
        <f ca="1">TblProd[[#This Row],[Lumber]]</f>
        <v>38992</v>
      </c>
      <c r="E37" s="94">
        <f ca="1">TblProd[[#This Row],[Ore]]</f>
        <v>0</v>
      </c>
      <c r="F37" s="94">
        <f ca="1">TblProd[[#This Row],[Gems]]</f>
        <v>0</v>
      </c>
      <c r="G37" s="154"/>
      <c r="H37" s="94">
        <f ca="1">TblMili[[#This Row],[Draftees]]</f>
        <v>320</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c r="A38" s="214">
        <f ca="1">TblConstr[[#This Row],[Land]]</f>
        <v>50</v>
      </c>
      <c r="B38" s="142"/>
      <c r="C38" s="94">
        <f ca="1">TblProd[[#This Row],[Platinum]]</f>
        <v>96661</v>
      </c>
      <c r="D38" s="94">
        <f ca="1">TblProd[[#This Row],[Lumber]]</f>
        <v>39602</v>
      </c>
      <c r="E38" s="94">
        <f ca="1">TblProd[[#This Row],[Ore]]</f>
        <v>0</v>
      </c>
      <c r="F38" s="94">
        <f ca="1">TblProd[[#This Row],[Gems]]</f>
        <v>0</v>
      </c>
      <c r="G38" s="154"/>
      <c r="H38" s="94">
        <f ca="1">TblMili[[#This Row],[Draftees]]</f>
        <v>324</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c r="A39" s="214">
        <f ca="1">TblConstr[[#This Row],[Land]]</f>
        <v>50</v>
      </c>
      <c r="B39" s="142"/>
      <c r="C39" s="94">
        <f ca="1">TblProd[[#This Row],[Platinum]]</f>
        <v>97862</v>
      </c>
      <c r="D39" s="94">
        <f ca="1">TblProd[[#This Row],[Lumber]]</f>
        <v>40206</v>
      </c>
      <c r="E39" s="94">
        <f ca="1">TblProd[[#This Row],[Ore]]</f>
        <v>0</v>
      </c>
      <c r="F39" s="94">
        <f ca="1">TblProd[[#This Row],[Gems]]</f>
        <v>0</v>
      </c>
      <c r="G39" s="154"/>
      <c r="H39" s="94">
        <f ca="1">TblMili[[#This Row],[Draftees]]</f>
        <v>328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s="5" customFormat="1">
      <c r="A40" s="230">
        <f ca="1">TblConstr[[#This Row],[Land]]</f>
        <v>50</v>
      </c>
      <c r="B40" s="149"/>
      <c r="C40" s="35">
        <f ca="1">TblProd[[#This Row],[Platinum]]</f>
        <v>99052</v>
      </c>
      <c r="D40" s="35">
        <f ca="1">TblProd[[#This Row],[Lumber]]</f>
        <v>40804</v>
      </c>
      <c r="E40" s="35">
        <f ca="1">TblProd[[#This Row],[Ore]]</f>
        <v>0</v>
      </c>
      <c r="F40" s="35">
        <f ca="1">TblProd[[#This Row],[Gems]]</f>
        <v>0</v>
      </c>
      <c r="G40" s="162"/>
      <c r="H40" s="35">
        <f ca="1">TblMili[[#This Row],[Draftees]]</f>
        <v>332</v>
      </c>
      <c r="I40" s="436">
        <f ca="1">TblPop[[#This Row],[Employment]]</f>
        <v>1</v>
      </c>
      <c r="J40" s="436">
        <f ca="1">TblPop[[#This Row],[Total]]/TblPop[[#This Row],[Net max]]</f>
        <v>1</v>
      </c>
      <c r="K40" s="298">
        <f>TblRezone[[#This Row],[Hour]]</f>
        <v>37</v>
      </c>
      <c r="L40" s="299">
        <f ca="1">TblImps[[#This Row],[Real time]]</f>
        <v>45816.499999999913</v>
      </c>
      <c r="M40" s="148">
        <f>IF(ISERROR(TblImps[[#This Row],[algorithm]]),0,TblImps[[#This Row],[algorithm]]*1)</f>
        <v>0</v>
      </c>
      <c r="N40" s="35">
        <f ca="1">TblImps[[#This Row],[Land]]</f>
        <v>50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45816.499999999913</v>
      </c>
      <c r="BZ40" s="460">
        <f ca="1">OFFSET(TblImps[[#This Row],[Servertime]],-1,0)+1/24</f>
        <v>45816.499999999913</v>
      </c>
      <c r="CA40" s="28"/>
      <c r="CB40" s="461"/>
      <c r="CC40" s="461"/>
      <c r="CD40" s="5" t="s">
        <v>526</v>
      </c>
    </row>
    <row r="41" spans="1:82">
      <c r="A41" s="214">
        <f ca="1">TblConstr[[#This Row],[Land]]</f>
        <v>50</v>
      </c>
      <c r="B41" s="142"/>
      <c r="C41" s="94">
        <f ca="1">TblProd[[#This Row],[Platinum]]</f>
        <v>100231</v>
      </c>
      <c r="D41" s="94">
        <f ca="1">TblProd[[#This Row],[Lumber]]</f>
        <v>41396</v>
      </c>
      <c r="E41" s="94">
        <f ca="1">TblProd[[#This Row],[Ore]]</f>
        <v>0</v>
      </c>
      <c r="F41" s="94">
        <f ca="1">TblProd[[#This Row],[Gems]]</f>
        <v>0</v>
      </c>
      <c r="G41" s="154"/>
      <c r="H41" s="94">
        <f ca="1">TblMili[[#This Row],[Draftees]]</f>
        <v>336</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c r="A42" s="214">
        <f ca="1">TblConstr[[#This Row],[Land]]</f>
        <v>50</v>
      </c>
      <c r="B42" s="142"/>
      <c r="C42" s="94">
        <f ca="1">TblProd[[#This Row],[Platinum]]</f>
        <v>101400</v>
      </c>
      <c r="D42" s="94">
        <f ca="1">TblProd[[#This Row],[Lumber]]</f>
        <v>41982</v>
      </c>
      <c r="E42" s="94">
        <f ca="1">TblProd[[#This Row],[Ore]]</f>
        <v>0</v>
      </c>
      <c r="F42" s="94">
        <f ca="1">TblProd[[#This Row],[Gems]]</f>
        <v>0</v>
      </c>
      <c r="G42" s="154"/>
      <c r="H42" s="94">
        <f ca="1">TblMili[[#This Row],[Draftees]]</f>
        <v>340</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c r="A43" s="214">
        <f ca="1">TblConstr[[#This Row],[Land]]</f>
        <v>50</v>
      </c>
      <c r="B43" s="142"/>
      <c r="C43" s="94">
        <f ca="1">TblProd[[#This Row],[Platinum]]</f>
        <v>102558</v>
      </c>
      <c r="D43" s="94">
        <f ca="1">TblProd[[#This Row],[Lumber]]</f>
        <v>42562</v>
      </c>
      <c r="E43" s="94">
        <f ca="1">TblProd[[#This Row],[Ore]]</f>
        <v>0</v>
      </c>
      <c r="F43" s="94">
        <f ca="1">TblProd[[#This Row],[Gems]]</f>
        <v>0</v>
      </c>
      <c r="G43" s="154"/>
      <c r="H43" s="94">
        <f ca="1">TblMili[[#This Row],[Draftees]]</f>
        <v>344</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c r="A44" s="214">
        <f ca="1">TblConstr[[#This Row],[Land]]</f>
        <v>50</v>
      </c>
      <c r="B44" s="142"/>
      <c r="C44" s="94">
        <f ca="1">TblProd[[#This Row],[Platinum]]</f>
        <v>103705</v>
      </c>
      <c r="D44" s="94">
        <f ca="1">TblProd[[#This Row],[Lumber]]</f>
        <v>43136</v>
      </c>
      <c r="E44" s="94">
        <f ca="1">TblProd[[#This Row],[Ore]]</f>
        <v>0</v>
      </c>
      <c r="F44" s="94">
        <f ca="1">TblProd[[#This Row],[Gems]]</f>
        <v>0</v>
      </c>
      <c r="G44" s="154"/>
      <c r="H44" s="94">
        <f ca="1">TblMili[[#This Row],[Draftees]]</f>
        <v>348</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c r="A45" s="214">
        <f ca="1">TblConstr[[#This Row],[Land]]</f>
        <v>50</v>
      </c>
      <c r="B45" s="142"/>
      <c r="C45" s="94">
        <f ca="1">TblProd[[#This Row],[Platinum]]</f>
        <v>104841</v>
      </c>
      <c r="D45" s="94">
        <f ca="1">TblProd[[#This Row],[Lumber]]</f>
        <v>43705</v>
      </c>
      <c r="E45" s="94">
        <f ca="1">TblProd[[#This Row],[Ore]]</f>
        <v>0</v>
      </c>
      <c r="F45" s="94">
        <f ca="1">TblProd[[#This Row],[Gems]]</f>
        <v>0</v>
      </c>
      <c r="G45" s="154"/>
      <c r="H45" s="94">
        <f ca="1">TblMili[[#This Row],[Draftees]]</f>
        <v>352</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c r="A46" s="214">
        <f ca="1">TblConstr[[#This Row],[Land]]</f>
        <v>50</v>
      </c>
      <c r="B46" s="142"/>
      <c r="C46" s="94">
        <f ca="1">TblProd[[#This Row],[Platinum]]</f>
        <v>105966</v>
      </c>
      <c r="D46" s="94">
        <f ca="1">TblProd[[#This Row],[Lumber]]</f>
        <v>44268</v>
      </c>
      <c r="E46" s="94">
        <f ca="1">TblProd[[#This Row],[Ore]]</f>
        <v>0</v>
      </c>
      <c r="F46" s="94">
        <f ca="1">TblProd[[#This Row],[Gems]]</f>
        <v>0</v>
      </c>
      <c r="G46" s="154"/>
      <c r="H46" s="94">
        <f ca="1">TblMili[[#This Row],[Draftees]]</f>
        <v>356</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c r="A47" s="214">
        <f ca="1">TblConstr[[#This Row],[Land]]</f>
        <v>50</v>
      </c>
      <c r="B47" s="142"/>
      <c r="C47" s="94">
        <f ca="1">TblProd[[#This Row],[Platinum]]</f>
        <v>107081</v>
      </c>
      <c r="D47" s="94">
        <f ca="1">TblProd[[#This Row],[Lumber]]</f>
        <v>44825</v>
      </c>
      <c r="E47" s="94">
        <f ca="1">TblProd[[#This Row],[Ore]]</f>
        <v>0</v>
      </c>
      <c r="F47" s="94">
        <f ca="1">TblProd[[#This Row],[Gems]]</f>
        <v>0</v>
      </c>
      <c r="G47" s="154"/>
      <c r="H47" s="94">
        <f ca="1">TblMili[[#This Row],[Draftees]]</f>
        <v>360</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c r="A48" s="214">
        <f ca="1">TblConstr[[#This Row],[Land]]</f>
        <v>50</v>
      </c>
      <c r="B48" s="142"/>
      <c r="C48" s="94">
        <f ca="1">TblProd[[#This Row],[Platinum]]</f>
        <v>108185</v>
      </c>
      <c r="D48" s="94">
        <f ca="1">TblProd[[#This Row],[Lumber]]</f>
        <v>45377</v>
      </c>
      <c r="E48" s="94">
        <f ca="1">TblProd[[#This Row],[Ore]]</f>
        <v>0</v>
      </c>
      <c r="F48" s="94">
        <f ca="1">TblProd[[#This Row],[Gems]]</f>
        <v>0</v>
      </c>
      <c r="G48" s="154"/>
      <c r="H48" s="94">
        <f ca="1">TblMili[[#This Row],[Draftees]]</f>
        <v>364</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c r="A49" s="214">
        <f ca="1">TblConstr[[#This Row],[Land]]</f>
        <v>50</v>
      </c>
      <c r="B49" s="142"/>
      <c r="C49" s="94">
        <f ca="1">TblProd[[#This Row],[Platinum]]</f>
        <v>109278</v>
      </c>
      <c r="D49" s="94">
        <f ca="1">TblProd[[#This Row],[Lumber]]</f>
        <v>45923</v>
      </c>
      <c r="E49" s="94">
        <f ca="1">TblProd[[#This Row],[Ore]]</f>
        <v>0</v>
      </c>
      <c r="F49" s="94">
        <f ca="1">TblProd[[#This Row],[Gems]]</f>
        <v>0</v>
      </c>
      <c r="G49" s="154"/>
      <c r="H49" s="94">
        <f ca="1">TblMili[[#This Row],[Draftees]]</f>
        <v>368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c r="A50" s="214">
        <f ca="1">TblConstr[[#This Row],[Land]]</f>
        <v>50</v>
      </c>
      <c r="B50" s="142"/>
      <c r="C50" s="94">
        <f ca="1">TblProd[[#This Row],[Platinum]]</f>
        <v>110360</v>
      </c>
      <c r="D50" s="94">
        <f ca="1">TblProd[[#This Row],[Lumber]]</f>
        <v>46464</v>
      </c>
      <c r="E50" s="94">
        <f ca="1">TblProd[[#This Row],[Ore]]</f>
        <v>0</v>
      </c>
      <c r="F50" s="94">
        <f ca="1">TblProd[[#This Row],[Gems]]</f>
        <v>0</v>
      </c>
      <c r="G50" s="154"/>
      <c r="H50" s="94">
        <f ca="1">TblMili[[#This Row],[Draftees]]</f>
        <v>372</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c r="A51" s="214">
        <f ca="1">TblConstr[[#This Row],[Land]]</f>
        <v>50</v>
      </c>
      <c r="B51" s="142"/>
      <c r="C51" s="94">
        <f ca="1">TblProd[[#This Row],[Platinum]]</f>
        <v>111431</v>
      </c>
      <c r="D51" s="94">
        <f ca="1">TblProd[[#This Row],[Lumber]]</f>
        <v>46999</v>
      </c>
      <c r="E51" s="94">
        <f ca="1">TblProd[[#This Row],[Ore]]</f>
        <v>0</v>
      </c>
      <c r="F51" s="94">
        <f ca="1">TblProd[[#This Row],[Gems]]</f>
        <v>0</v>
      </c>
      <c r="G51" s="154"/>
      <c r="H51" s="94">
        <f ca="1">TblMili[[#This Row],[Draftees]]</f>
        <v>376</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c r="A52" s="214">
        <f ca="1">TblConstr[[#This Row],[Land]]</f>
        <v>50</v>
      </c>
      <c r="B52" s="142"/>
      <c r="C52" s="94">
        <f ca="1">TblProd[[#This Row],[Platinum]]</f>
        <v>112492</v>
      </c>
      <c r="D52" s="94">
        <f ca="1">TblProd[[#This Row],[Lumber]]</f>
        <v>47529</v>
      </c>
      <c r="E52" s="94">
        <f ca="1">TblProd[[#This Row],[Ore]]</f>
        <v>0</v>
      </c>
      <c r="F52" s="94">
        <f ca="1">TblProd[[#This Row],[Gems]]</f>
        <v>0</v>
      </c>
      <c r="G52" s="154"/>
      <c r="H52" s="94">
        <f ca="1">TblMili[[#This Row],[Draftees]]</f>
        <v>380</v>
      </c>
      <c r="I52" s="180">
        <f ca="1">TblPop[[#This Row],[Employment]]</f>
        <v>1</v>
      </c>
      <c r="J52" s="180">
        <f ca="1">TblPop[[#This Row],[Total]]/TblPop[[#This Row],[Net max]]</f>
        <v>1</v>
      </c>
      <c r="K52" s="283">
        <f>TblRezone[[#This Row],[Hour]]</f>
        <v>49</v>
      </c>
      <c r="L52" s="284">
        <f ca="1">TblImps[[#This Row],[Real time]]</f>
        <v>45816.999999999884</v>
      </c>
      <c r="M52" s="61">
        <f>IF(ISERROR(TblImps[[#This Row],[algorithm]]),0,TblImps[[#This Row],[algorithm]]*1)</f>
        <v>0</v>
      </c>
      <c r="N52" s="94">
        <f ca="1">TblImps[[#This Row],[Land]]</f>
        <v>50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45816.999999999884</v>
      </c>
      <c r="BZ52" s="294">
        <f ca="1">OFFSET(TblImps[[#This Row],[Servertime]],-1,0)+1/24</f>
        <v>45816.999999999884</v>
      </c>
      <c r="CA52" s="57"/>
      <c r="CB52" s="292"/>
      <c r="CC52" s="292"/>
    </row>
    <row r="53" spans="1:81">
      <c r="A53" s="214">
        <f ca="1">TblConstr[[#This Row],[Land]]</f>
        <v>50</v>
      </c>
      <c r="B53" s="142"/>
      <c r="C53" s="94">
        <f ca="1">TblProd[[#This Row],[Platinum]]</f>
        <v>113542</v>
      </c>
      <c r="D53" s="94">
        <f ca="1">TblProd[[#This Row],[Lumber]]</f>
        <v>48054</v>
      </c>
      <c r="E53" s="94">
        <f ca="1">TblProd[[#This Row],[Ore]]</f>
        <v>0</v>
      </c>
      <c r="F53" s="94">
        <f ca="1">TblProd[[#This Row],[Gems]]</f>
        <v>0</v>
      </c>
      <c r="G53" s="154"/>
      <c r="H53" s="94">
        <f ca="1">TblMili[[#This Row],[Draftees]]</f>
        <v>384</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c r="A54" s="214">
        <f ca="1">TblConstr[[#This Row],[Land]]</f>
        <v>50</v>
      </c>
      <c r="B54" s="142"/>
      <c r="C54" s="94">
        <f ca="1">TblProd[[#This Row],[Platinum]]</f>
        <v>114581</v>
      </c>
      <c r="D54" s="94">
        <f ca="1">TblProd[[#This Row],[Lumber]]</f>
        <v>48573</v>
      </c>
      <c r="E54" s="94">
        <f ca="1">TblProd[[#This Row],[Ore]]</f>
        <v>0</v>
      </c>
      <c r="F54" s="94">
        <f ca="1">TblProd[[#This Row],[Gems]]</f>
        <v>0</v>
      </c>
      <c r="G54" s="154"/>
      <c r="H54" s="94">
        <f ca="1">TblMili[[#This Row],[Draftees]]</f>
        <v>388</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c r="A55" s="214">
        <f ca="1">TblConstr[[#This Row],[Land]]</f>
        <v>50</v>
      </c>
      <c r="B55" s="142"/>
      <c r="C55" s="94">
        <f ca="1">TblProd[[#This Row],[Platinum]]</f>
        <v>115609</v>
      </c>
      <c r="D55" s="94">
        <f ca="1">TblProd[[#This Row],[Lumber]]</f>
        <v>49087</v>
      </c>
      <c r="E55" s="94">
        <f ca="1">TblProd[[#This Row],[Ore]]</f>
        <v>0</v>
      </c>
      <c r="F55" s="94">
        <f ca="1">TblProd[[#This Row],[Gems]]</f>
        <v>0</v>
      </c>
      <c r="G55" s="154"/>
      <c r="H55" s="94">
        <f ca="1">TblMili[[#This Row],[Draftees]]</f>
        <v>392</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c r="A56" s="214">
        <f ca="1">TblConstr[[#This Row],[Land]]</f>
        <v>50</v>
      </c>
      <c r="B56" s="142"/>
      <c r="C56" s="94">
        <f ca="1">TblProd[[#This Row],[Platinum]]</f>
        <v>116626</v>
      </c>
      <c r="D56" s="94">
        <f ca="1">TblProd[[#This Row],[Lumber]]</f>
        <v>49596</v>
      </c>
      <c r="E56" s="94">
        <f ca="1">TblProd[[#This Row],[Ore]]</f>
        <v>0</v>
      </c>
      <c r="F56" s="94">
        <f ca="1">TblProd[[#This Row],[Gems]]</f>
        <v>0</v>
      </c>
      <c r="G56" s="154"/>
      <c r="H56" s="94">
        <f ca="1">TblMili[[#This Row],[Draftees]]</f>
        <v>396</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c r="A57" s="214">
        <f ca="1">TblConstr[[#This Row],[Land]]</f>
        <v>50</v>
      </c>
      <c r="B57" s="142"/>
      <c r="C57" s="94">
        <f ca="1">TblProd[[#This Row],[Platinum]]</f>
        <v>117633</v>
      </c>
      <c r="D57" s="94">
        <f ca="1">TblProd[[#This Row],[Lumber]]</f>
        <v>50100</v>
      </c>
      <c r="E57" s="94">
        <f ca="1">TblProd[[#This Row],[Ore]]</f>
        <v>0</v>
      </c>
      <c r="F57" s="94">
        <f ca="1">TblProd[[#This Row],[Gems]]</f>
        <v>0</v>
      </c>
      <c r="G57" s="154"/>
      <c r="H57" s="94">
        <f ca="1">TblMili[[#This Row],[Draftees]]</f>
        <v>400</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c r="A58" s="214">
        <f ca="1">TblConstr[[#This Row],[Land]]</f>
        <v>50</v>
      </c>
      <c r="B58" s="142"/>
      <c r="C58" s="94">
        <f ca="1">TblProd[[#This Row],[Platinum]]</f>
        <v>118629</v>
      </c>
      <c r="D58" s="94">
        <f ca="1">TblProd[[#This Row],[Lumber]]</f>
        <v>50599</v>
      </c>
      <c r="E58" s="94">
        <f ca="1">TblProd[[#This Row],[Ore]]</f>
        <v>0</v>
      </c>
      <c r="F58" s="94">
        <f ca="1">TblProd[[#This Row],[Gems]]</f>
        <v>0</v>
      </c>
      <c r="G58" s="154"/>
      <c r="H58" s="94">
        <f ca="1">TblMili[[#This Row],[Draftees]]</f>
        <v>404</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c r="A59" s="214">
        <f ca="1">TblConstr[[#This Row],[Land]]</f>
        <v>50</v>
      </c>
      <c r="B59" s="142"/>
      <c r="C59" s="94">
        <f ca="1">TblProd[[#This Row],[Platinum]]</f>
        <v>119614</v>
      </c>
      <c r="D59" s="94">
        <f ca="1">TblProd[[#This Row],[Lumber]]</f>
        <v>51093</v>
      </c>
      <c r="E59" s="94">
        <f ca="1">TblProd[[#This Row],[Ore]]</f>
        <v>0</v>
      </c>
      <c r="F59" s="94">
        <f ca="1">TblProd[[#This Row],[Gems]]</f>
        <v>0</v>
      </c>
      <c r="G59" s="154"/>
      <c r="H59" s="94">
        <f ca="1">TblMili[[#This Row],[Draftees]]</f>
        <v>408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c r="A60" s="214">
        <f ca="1">TblConstr[[#This Row],[Land]]</f>
        <v>50</v>
      </c>
      <c r="B60" s="142"/>
      <c r="C60" s="94">
        <f ca="1">TblProd[[#This Row],[Platinum]]</f>
        <v>120588</v>
      </c>
      <c r="D60" s="94">
        <f ca="1">TblProd[[#This Row],[Lumber]]</f>
        <v>51582</v>
      </c>
      <c r="E60" s="94">
        <f ca="1">TblProd[[#This Row],[Ore]]</f>
        <v>0</v>
      </c>
      <c r="F60" s="94">
        <f ca="1">TblProd[[#This Row],[Gems]]</f>
        <v>0</v>
      </c>
      <c r="G60" s="154"/>
      <c r="H60" s="94">
        <f ca="1">TblMili[[#This Row],[Draftees]]</f>
        <v>412</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c r="A61" s="214">
        <f ca="1">TblConstr[[#This Row],[Land]]</f>
        <v>50</v>
      </c>
      <c r="B61" s="142"/>
      <c r="C61" s="94">
        <f ca="1">TblProd[[#This Row],[Platinum]]</f>
        <v>121551</v>
      </c>
      <c r="D61" s="94">
        <f ca="1">TblProd[[#This Row],[Lumber]]</f>
        <v>52066</v>
      </c>
      <c r="E61" s="94">
        <f ca="1">TblProd[[#This Row],[Ore]]</f>
        <v>0</v>
      </c>
      <c r="F61" s="94">
        <f ca="1">TblProd[[#This Row],[Gems]]</f>
        <v>0</v>
      </c>
      <c r="G61" s="154"/>
      <c r="H61" s="94">
        <f ca="1">TblMili[[#This Row],[Draftees]]</f>
        <v>416</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c r="A62" s="214">
        <f ca="1">TblConstr[[#This Row],[Land]]</f>
        <v>50</v>
      </c>
      <c r="B62" s="142"/>
      <c r="C62" s="94">
        <f ca="1">TblProd[[#This Row],[Platinum]]</f>
        <v>122504</v>
      </c>
      <c r="D62" s="94">
        <f ca="1">TblProd[[#This Row],[Lumber]]</f>
        <v>52545</v>
      </c>
      <c r="E62" s="94">
        <f ca="1">TblProd[[#This Row],[Ore]]</f>
        <v>0</v>
      </c>
      <c r="F62" s="94">
        <f ca="1">TblProd[[#This Row],[Gems]]</f>
        <v>0</v>
      </c>
      <c r="G62" s="154"/>
      <c r="H62" s="94">
        <f ca="1">TblMili[[#This Row],[Draftees]]</f>
        <v>420</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c r="A63" s="214">
        <f ca="1">TblConstr[[#This Row],[Land]]</f>
        <v>50</v>
      </c>
      <c r="B63" s="142"/>
      <c r="C63" s="94">
        <f ca="1">TblProd[[#This Row],[Platinum]]</f>
        <v>123446</v>
      </c>
      <c r="D63" s="94">
        <f ca="1">TblProd[[#This Row],[Lumber]]</f>
        <v>53020</v>
      </c>
      <c r="E63" s="94">
        <f ca="1">TblProd[[#This Row],[Ore]]</f>
        <v>0</v>
      </c>
      <c r="F63" s="94">
        <f ca="1">TblProd[[#This Row],[Gems]]</f>
        <v>0</v>
      </c>
      <c r="G63" s="154"/>
      <c r="H63" s="94">
        <f ca="1">TblMili[[#This Row],[Draftees]]</f>
        <v>423</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c r="A64" s="214">
        <f ca="1">TblConstr[[#This Row],[Land]]</f>
        <v>50</v>
      </c>
      <c r="B64" s="142"/>
      <c r="C64" s="94">
        <f ca="1">TblProd[[#This Row],[Platinum]]</f>
        <v>124380</v>
      </c>
      <c r="D64" s="94">
        <f ca="1">TblProd[[#This Row],[Lumber]]</f>
        <v>53490</v>
      </c>
      <c r="E64" s="94">
        <f ca="1">TblProd[[#This Row],[Ore]]</f>
        <v>0</v>
      </c>
      <c r="F64" s="94">
        <f ca="1">TblProd[[#This Row],[Gems]]</f>
        <v>0</v>
      </c>
      <c r="G64" s="154"/>
      <c r="H64" s="94">
        <f ca="1">TblMili[[#This Row],[Draftees]]</f>
        <v>426</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c r="A65" s="214">
        <f ca="1">TblConstr[[#This Row],[Land]]</f>
        <v>50</v>
      </c>
      <c r="B65" s="142"/>
      <c r="C65" s="94">
        <f ca="1">TblProd[[#This Row],[Platinum]]</f>
        <v>125306</v>
      </c>
      <c r="D65" s="94">
        <f ca="1">TblProd[[#This Row],[Lumber]]</f>
        <v>53955</v>
      </c>
      <c r="E65" s="94">
        <f ca="1">TblProd[[#This Row],[Ore]]</f>
        <v>0</v>
      </c>
      <c r="F65" s="94">
        <f ca="1">TblProd[[#This Row],[Gems]]</f>
        <v>0</v>
      </c>
      <c r="G65" s="154"/>
      <c r="H65" s="94">
        <f ca="1">TblMili[[#This Row],[Draftees]]</f>
        <v>429</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c r="A66" s="214">
        <f ca="1">TblConstr[[#This Row],[Land]]</f>
        <v>50</v>
      </c>
      <c r="B66" s="142"/>
      <c r="C66" s="94">
        <f ca="1">TblProd[[#This Row],[Platinum]]</f>
        <v>126224</v>
      </c>
      <c r="D66" s="94">
        <f ca="1">TblProd[[#This Row],[Lumber]]</f>
        <v>54415</v>
      </c>
      <c r="E66" s="94">
        <f ca="1">TblProd[[#This Row],[Ore]]</f>
        <v>0</v>
      </c>
      <c r="F66" s="94">
        <f ca="1">TblProd[[#This Row],[Gems]]</f>
        <v>0</v>
      </c>
      <c r="G66" s="154"/>
      <c r="H66" s="94">
        <f ca="1">TblMili[[#This Row],[Draftees]]</f>
        <v>432</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c r="A67" s="214">
        <f ca="1">TblConstr[[#This Row],[Land]]</f>
        <v>50</v>
      </c>
      <c r="B67" s="142"/>
      <c r="C67" s="94">
        <f ca="1">TblProd[[#This Row],[Platinum]]</f>
        <v>127133</v>
      </c>
      <c r="D67" s="94">
        <f ca="1">TblProd[[#This Row],[Lumber]]</f>
        <v>54871</v>
      </c>
      <c r="E67" s="94">
        <f ca="1">TblProd[[#This Row],[Ore]]</f>
        <v>0</v>
      </c>
      <c r="F67" s="94">
        <f ca="1">TblProd[[#This Row],[Gems]]</f>
        <v>0</v>
      </c>
      <c r="G67" s="154"/>
      <c r="H67" s="94">
        <f ca="1">TblMili[[#This Row],[Draftees]]</f>
        <v>435</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c r="A68" s="214">
        <f ca="1">TblConstr[[#This Row],[Land]]</f>
        <v>50</v>
      </c>
      <c r="B68" s="142"/>
      <c r="C68" s="94">
        <f ca="1">TblProd[[#This Row],[Platinum]]</f>
        <v>128034</v>
      </c>
      <c r="D68" s="94">
        <f ca="1">TblProd[[#This Row],[Lumber]]</f>
        <v>55322</v>
      </c>
      <c r="E68" s="94">
        <f ca="1">TblProd[[#This Row],[Ore]]</f>
        <v>0</v>
      </c>
      <c r="F68" s="94">
        <f ca="1">TblProd[[#This Row],[Gems]]</f>
        <v>0</v>
      </c>
      <c r="G68" s="154"/>
      <c r="H68" s="94">
        <f ca="1">TblMili[[#This Row],[Draftees]]</f>
        <v>438</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c r="A69" s="214">
        <f ca="1">TblConstr[[#This Row],[Land]]</f>
        <v>50</v>
      </c>
      <c r="B69" s="142"/>
      <c r="C69" s="94">
        <f ca="1">TblProd[[#This Row],[Platinum]]</f>
        <v>128927</v>
      </c>
      <c r="D69" s="94">
        <f ca="1">TblProd[[#This Row],[Lumber]]</f>
        <v>55769</v>
      </c>
      <c r="E69" s="94">
        <f ca="1">TblProd[[#This Row],[Ore]]</f>
        <v>0</v>
      </c>
      <c r="F69" s="94">
        <f ca="1">TblProd[[#This Row],[Gems]]</f>
        <v>0</v>
      </c>
      <c r="G69" s="154"/>
      <c r="H69" s="94">
        <f ca="1">TblMili[[#This Row],[Draftees]]</f>
        <v>441</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c r="A70" s="214">
        <f ca="1">TblConstr[[#This Row],[Land]]</f>
        <v>50</v>
      </c>
      <c r="B70" s="142"/>
      <c r="C70" s="94">
        <f ca="1">TblProd[[#This Row],[Platinum]]</f>
        <v>129812</v>
      </c>
      <c r="D70" s="94">
        <f ca="1">TblProd[[#This Row],[Lumber]]</f>
        <v>56211</v>
      </c>
      <c r="E70" s="94">
        <f ca="1">TblProd[[#This Row],[Ore]]</f>
        <v>0</v>
      </c>
      <c r="F70" s="94">
        <f ca="1">TblProd[[#This Row],[Gems]]</f>
        <v>0</v>
      </c>
      <c r="G70" s="154"/>
      <c r="H70" s="94">
        <f ca="1">TblMili[[#This Row],[Draftees]]</f>
        <v>444</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c r="A71" s="214">
        <f ca="1">TblConstr[[#This Row],[Land]]</f>
        <v>50</v>
      </c>
      <c r="B71" s="142"/>
      <c r="C71" s="94">
        <f ca="1">TblProd[[#This Row],[Platinum]]</f>
        <v>130689</v>
      </c>
      <c r="D71" s="94">
        <f ca="1">TblProd[[#This Row],[Lumber]]</f>
        <v>56649</v>
      </c>
      <c r="E71" s="94">
        <f ca="1">TblProd[[#This Row],[Ore]]</f>
        <v>0</v>
      </c>
      <c r="F71" s="94">
        <f ca="1">TblProd[[#This Row],[Gems]]</f>
        <v>0</v>
      </c>
      <c r="G71" s="154"/>
      <c r="H71" s="94">
        <f ca="1">TblMili[[#This Row],[Draftees]]</f>
        <v>447</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c r="A72" s="214">
        <f ca="1">TblConstr[[#This Row],[Land]]</f>
        <v>50</v>
      </c>
      <c r="B72" s="142"/>
      <c r="C72" s="94">
        <f ca="1">TblProd[[#This Row],[Platinum]]</f>
        <v>131558</v>
      </c>
      <c r="D72" s="94">
        <f ca="1">TblProd[[#This Row],[Lumber]]</f>
        <v>57083</v>
      </c>
      <c r="E72" s="94">
        <f ca="1">TblProd[[#This Row],[Ore]]</f>
        <v>0</v>
      </c>
      <c r="F72" s="94">
        <f ca="1">TblProd[[#This Row],[Gems]]</f>
        <v>0</v>
      </c>
      <c r="G72" s="154"/>
      <c r="H72" s="94">
        <f ca="1">TblMili[[#This Row],[Draftees]]</f>
        <v>450</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c r="A73" s="214">
        <f ca="1">TblConstr[[#This Row],[Land]]</f>
        <v>50</v>
      </c>
      <c r="B73" s="142"/>
      <c r="C73" s="94">
        <f ca="1">TblProd[[#This Row],[Platinum]]</f>
        <v>132419</v>
      </c>
      <c r="D73" s="94">
        <f ca="1">TblProd[[#This Row],[Lumber]]</f>
        <v>57512</v>
      </c>
      <c r="E73" s="94">
        <f ca="1">TblProd[[#This Row],[Ore]]</f>
        <v>0</v>
      </c>
      <c r="F73" s="94">
        <f ca="1">TblProd[[#This Row],[Gems]]</f>
        <v>0</v>
      </c>
      <c r="G73" s="154"/>
      <c r="H73" s="94">
        <f ca="1">TblMili[[#This Row],[Draftees]]</f>
        <v>453</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c r="A74" s="214">
        <f ca="1">TblConstr[[#This Row],[Land]]</f>
        <v>50</v>
      </c>
      <c r="B74" s="142"/>
      <c r="C74" s="94">
        <f ca="1">TblProd[[#This Row],[Platinum]]</f>
        <v>133272</v>
      </c>
      <c r="D74" s="94">
        <f ca="1">TblProd[[#This Row],[Lumber]]</f>
        <v>57937</v>
      </c>
      <c r="E74" s="94">
        <f ca="1">TblProd[[#This Row],[Ore]]</f>
        <v>0</v>
      </c>
      <c r="F74" s="94">
        <f ca="1">TblProd[[#This Row],[Gems]]</f>
        <v>0</v>
      </c>
      <c r="G74" s="154"/>
      <c r="H74" s="94">
        <f ca="1">TblMili[[#This Row],[Draftees]]</f>
        <v>456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c r="A75" s="214">
        <f ca="1">TblConstr[[#This Row],[Land]]</f>
        <v>50</v>
      </c>
      <c r="B75" s="142"/>
      <c r="C75" s="94">
        <f ca="1">TblProd[[#This Row],[Platinum]]</f>
        <v>134117</v>
      </c>
      <c r="D75" s="94">
        <f ca="1">TblProd[[#This Row],[Lumber]]</f>
        <v>58358</v>
      </c>
      <c r="E75" s="94">
        <f ca="1">TblProd[[#This Row],[Ore]]</f>
        <v>0</v>
      </c>
      <c r="F75" s="94">
        <f ca="1">TblProd[[#This Row],[Gems]]</f>
        <v>0</v>
      </c>
      <c r="G75" s="154"/>
      <c r="H75" s="94">
        <f ca="1">TblMili[[#This Row],[Draftees]]</f>
        <v>459</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c r="A76" s="214">
        <f ca="1">TblConstr[[#This Row],[Land]]</f>
        <v>50</v>
      </c>
      <c r="B76" s="142"/>
      <c r="C76" s="430">
        <f ca="1">TblProd[[#This Row],[Platinum]]</f>
        <v>134954</v>
      </c>
      <c r="D76" s="430">
        <f ca="1">TblProd[[#This Row],[Lumber]]</f>
        <v>58774</v>
      </c>
      <c r="E76" s="430">
        <f ca="1">TblProd[[#This Row],[Ore]]</f>
        <v>0</v>
      </c>
      <c r="F76" s="430">
        <f ca="1">TblProd[[#This Row],[Gems]]</f>
        <v>0</v>
      </c>
      <c r="G76" s="154"/>
      <c r="H76" s="430">
        <f ca="1">TblMili[[#This Row],[Draftees]]</f>
        <v>462</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45817.999999999825</v>
      </c>
      <c r="BZ76" s="457">
        <f ca="1">OFFSET(TblImps[[#This Row],[Servertime]],-1,0)+1/24</f>
        <v>45817.999999999825</v>
      </c>
    </row>
    <row r="77" spans="1:84">
      <c r="A77" s="214">
        <f ca="1">TblConstr[[#This Row],[Land]]</f>
        <v>50</v>
      </c>
      <c r="B77" s="142"/>
      <c r="C77" s="94">
        <f ca="1">TblProd[[#This Row],[Platinum]]</f>
        <v>135782</v>
      </c>
      <c r="D77" s="94">
        <f ca="1">TblProd[[#This Row],[Lumber]]</f>
        <v>59186</v>
      </c>
      <c r="E77" s="94">
        <f ca="1">TblProd[[#This Row],[Ore]]</f>
        <v>0</v>
      </c>
      <c r="F77" s="94">
        <f ca="1">TblProd[[#This Row],[Gems]]</f>
        <v>0</v>
      </c>
      <c r="G77" s="154"/>
      <c r="H77" s="94">
        <f ca="1">TblMili[[#This Row],[Draftees]]</f>
        <v>465</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c r="A78" s="214">
        <f ca="1">TblConstr[[#This Row],[Land]]</f>
        <v>50</v>
      </c>
      <c r="B78" s="142"/>
      <c r="C78" s="94">
        <f ca="1">TblProd[[#This Row],[Platinum]]</f>
        <v>136602</v>
      </c>
      <c r="D78" s="94">
        <f ca="1">TblProd[[#This Row],[Lumber]]</f>
        <v>59594</v>
      </c>
      <c r="E78" s="94">
        <f ca="1">TblProd[[#This Row],[Ore]]</f>
        <v>0</v>
      </c>
      <c r="F78" s="94">
        <f ca="1">TblProd[[#This Row],[Gems]]</f>
        <v>0</v>
      </c>
      <c r="G78" s="154"/>
      <c r="H78" s="94">
        <f ca="1">TblMili[[#This Row],[Draftees]]</f>
        <v>468</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c r="A79" s="214">
        <f ca="1">TblConstr[[#This Row],[Land]]</f>
        <v>50</v>
      </c>
      <c r="B79" s="142"/>
      <c r="C79" s="94">
        <f ca="1">TblProd[[#This Row],[Platinum]]</f>
        <v>137414</v>
      </c>
      <c r="D79" s="94">
        <f ca="1">TblProd[[#This Row],[Lumber]]</f>
        <v>59998</v>
      </c>
      <c r="E79" s="94">
        <f ca="1">TblProd[[#This Row],[Ore]]</f>
        <v>0</v>
      </c>
      <c r="F79" s="94">
        <f ca="1">TblProd[[#This Row],[Gems]]</f>
        <v>0</v>
      </c>
      <c r="G79" s="154"/>
      <c r="H79" s="94">
        <f ca="1">TblMili[[#This Row],[Draftees]]</f>
        <v>471</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c r="A80" s="214">
        <f ca="1">TblConstr[[#This Row],[Land]]</f>
        <v>50</v>
      </c>
      <c r="B80" s="142"/>
      <c r="C80" s="94">
        <f ca="1">TblProd[[#This Row],[Platinum]]</f>
        <v>138218</v>
      </c>
      <c r="D80" s="94">
        <f ca="1">TblProd[[#This Row],[Lumber]]</f>
        <v>60398</v>
      </c>
      <c r="E80" s="94">
        <f ca="1">TblProd[[#This Row],[Ore]]</f>
        <v>0</v>
      </c>
      <c r="F80" s="94">
        <f ca="1">TblProd[[#This Row],[Gems]]</f>
        <v>0</v>
      </c>
      <c r="G80" s="154"/>
      <c r="H80" s="94">
        <f ca="1">TblMili[[#This Row],[Draftees]]</f>
        <v>474</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c r="A81" s="214">
        <f ca="1">TblConstr[[#This Row],[Land]]</f>
        <v>50</v>
      </c>
      <c r="B81" s="142"/>
      <c r="C81" s="94">
        <f ca="1">TblProd[[#This Row],[Platinum]]</f>
        <v>139014</v>
      </c>
      <c r="D81" s="94">
        <f ca="1">TblProd[[#This Row],[Lumber]]</f>
        <v>60794</v>
      </c>
      <c r="E81" s="94">
        <f ca="1">TblProd[[#This Row],[Ore]]</f>
        <v>0</v>
      </c>
      <c r="F81" s="94">
        <f ca="1">TblProd[[#This Row],[Gems]]</f>
        <v>0</v>
      </c>
      <c r="G81" s="154"/>
      <c r="H81" s="94">
        <f ca="1">TblMili[[#This Row],[Draftees]]</f>
        <v>477</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c r="A82" s="214">
        <f ca="1">TblConstr[[#This Row],[Land]]</f>
        <v>50</v>
      </c>
      <c r="B82" s="142"/>
      <c r="C82" s="94">
        <f ca="1">TblProd[[#This Row],[Platinum]]</f>
        <v>139802</v>
      </c>
      <c r="D82" s="94">
        <f ca="1">TblProd[[#This Row],[Lumber]]</f>
        <v>61186</v>
      </c>
      <c r="E82" s="94">
        <f ca="1">TblProd[[#This Row],[Ore]]</f>
        <v>0</v>
      </c>
      <c r="F82" s="94">
        <f ca="1">TblProd[[#This Row],[Gems]]</f>
        <v>0</v>
      </c>
      <c r="G82" s="154"/>
      <c r="H82" s="94">
        <f ca="1">TblMili[[#This Row],[Draftees]]</f>
        <v>480</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c r="A83" s="214">
        <f ca="1">TblConstr[[#This Row],[Land]]</f>
        <v>50</v>
      </c>
      <c r="B83" s="142"/>
      <c r="C83" s="94">
        <f ca="1">TblProd[[#This Row],[Platinum]]</f>
        <v>140582</v>
      </c>
      <c r="D83" s="94">
        <f ca="1">TblProd[[#This Row],[Lumber]]</f>
        <v>61574</v>
      </c>
      <c r="E83" s="94">
        <f ca="1">TblProd[[#This Row],[Ore]]</f>
        <v>0</v>
      </c>
      <c r="F83" s="94">
        <f ca="1">TblProd[[#This Row],[Gems]]</f>
        <v>0</v>
      </c>
      <c r="G83" s="154"/>
      <c r="H83" s="94">
        <f ca="1">TblMili[[#This Row],[Draftees]]</f>
        <v>483</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c r="A84" s="214">
        <f ca="1">TblConstr[[#This Row],[Land]]</f>
        <v>50</v>
      </c>
      <c r="B84" s="142"/>
      <c r="C84" s="94">
        <f ca="1">TblProd[[#This Row],[Platinum]]</f>
        <v>141354</v>
      </c>
      <c r="D84" s="94">
        <f ca="1">TblProd[[#This Row],[Lumber]]</f>
        <v>61958</v>
      </c>
      <c r="E84" s="94">
        <f ca="1">TblProd[[#This Row],[Ore]]</f>
        <v>0</v>
      </c>
      <c r="F84" s="94">
        <f ca="1">TblProd[[#This Row],[Gems]]</f>
        <v>0</v>
      </c>
      <c r="G84" s="154"/>
      <c r="H84" s="94">
        <f ca="1">TblMili[[#This Row],[Draftees]]</f>
        <v>486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c r="A85" s="214">
        <f ca="1">TblConstr[[#This Row],[Land]]</f>
        <v>50</v>
      </c>
      <c r="B85" s="142"/>
      <c r="C85" s="94">
        <f ca="1">TblProd[[#This Row],[Platinum]]</f>
        <v>142118</v>
      </c>
      <c r="D85" s="94">
        <f ca="1">TblProd[[#This Row],[Lumber]]</f>
        <v>62338</v>
      </c>
      <c r="E85" s="94">
        <f ca="1">TblProd[[#This Row],[Ore]]</f>
        <v>0</v>
      </c>
      <c r="F85" s="94">
        <f ca="1">TblProd[[#This Row],[Gems]]</f>
        <v>0</v>
      </c>
      <c r="G85" s="154"/>
      <c r="H85" s="94">
        <f ca="1">TblMili[[#This Row],[Draftees]]</f>
        <v>489</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c r="A86" s="214">
        <f ca="1">TblConstr[[#This Row],[Land]]</f>
        <v>50</v>
      </c>
      <c r="B86" s="142"/>
      <c r="C86" s="94">
        <f ca="1">TblProd[[#This Row],[Platinum]]</f>
        <v>142874</v>
      </c>
      <c r="D86" s="94">
        <f ca="1">TblProd[[#This Row],[Lumber]]</f>
        <v>62715</v>
      </c>
      <c r="E86" s="94">
        <f ca="1">TblProd[[#This Row],[Ore]]</f>
        <v>0</v>
      </c>
      <c r="F86" s="94">
        <f ca="1">TblProd[[#This Row],[Gems]]</f>
        <v>0</v>
      </c>
      <c r="G86" s="154"/>
      <c r="H86" s="94">
        <f ca="1">TblMili[[#This Row],[Draftees]]</f>
        <v>492</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c r="A87" s="214">
        <f ca="1">TblConstr[[#This Row],[Land]]</f>
        <v>50</v>
      </c>
      <c r="B87" s="142"/>
      <c r="C87" s="94">
        <f ca="1">TblProd[[#This Row],[Platinum]]</f>
        <v>143621</v>
      </c>
      <c r="D87" s="94">
        <f ca="1">TblProd[[#This Row],[Lumber]]</f>
        <v>63088</v>
      </c>
      <c r="E87" s="94">
        <f ca="1">TblProd[[#This Row],[Ore]]</f>
        <v>0</v>
      </c>
      <c r="F87" s="94">
        <f ca="1">TblProd[[#This Row],[Gems]]</f>
        <v>0</v>
      </c>
      <c r="G87" s="154"/>
      <c r="H87" s="94">
        <f ca="1">TblMili[[#This Row],[Draftees]]</f>
        <v>495</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c r="A88" s="214">
        <f ca="1">TblConstr[[#This Row],[Land]]</f>
        <v>50</v>
      </c>
      <c r="B88" s="142"/>
      <c r="C88" s="94">
        <f ca="1">TblProd[[#This Row],[Platinum]]</f>
        <v>144360</v>
      </c>
      <c r="D88" s="94">
        <f ca="1">TblProd[[#This Row],[Lumber]]</f>
        <v>63457</v>
      </c>
      <c r="E88" s="94">
        <f ca="1">TblProd[[#This Row],[Ore]]</f>
        <v>0</v>
      </c>
      <c r="F88" s="94">
        <f ca="1">TblProd[[#This Row],[Gems]]</f>
        <v>0</v>
      </c>
      <c r="G88" s="154"/>
      <c r="H88" s="94">
        <f ca="1">TblMili[[#This Row],[Draftees]]</f>
        <v>498</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c r="A89" s="214">
        <f ca="1">TblConstr[[#This Row],[Land]]</f>
        <v>50</v>
      </c>
      <c r="B89" s="142"/>
      <c r="C89" s="94">
        <f ca="1">TblProd[[#This Row],[Platinum]]</f>
        <v>145091</v>
      </c>
      <c r="D89" s="94">
        <f ca="1">TblProd[[#This Row],[Lumber]]</f>
        <v>63822</v>
      </c>
      <c r="E89" s="94">
        <f ca="1">TblProd[[#This Row],[Ore]]</f>
        <v>0</v>
      </c>
      <c r="F89" s="94">
        <f ca="1">TblProd[[#This Row],[Gems]]</f>
        <v>0</v>
      </c>
      <c r="G89" s="154"/>
      <c r="H89" s="94">
        <f ca="1">TblMili[[#This Row],[Draftees]]</f>
        <v>501</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c r="A90" s="214">
        <f ca="1">TblConstr[[#This Row],[Land]]</f>
        <v>50</v>
      </c>
      <c r="B90" s="142"/>
      <c r="C90" s="94">
        <f ca="1">TblProd[[#This Row],[Platinum]]</f>
        <v>145814</v>
      </c>
      <c r="D90" s="94">
        <f ca="1">TblProd[[#This Row],[Lumber]]</f>
        <v>64184</v>
      </c>
      <c r="E90" s="94">
        <f ca="1">TblProd[[#This Row],[Ore]]</f>
        <v>0</v>
      </c>
      <c r="F90" s="94">
        <f ca="1">TblProd[[#This Row],[Gems]]</f>
        <v>0</v>
      </c>
      <c r="G90" s="154"/>
      <c r="H90" s="94">
        <f ca="1">TblMili[[#This Row],[Draftees]]</f>
        <v>504</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c r="A91" s="214">
        <f ca="1">TblConstr[[#This Row],[Land]]</f>
        <v>50</v>
      </c>
      <c r="B91" s="142"/>
      <c r="C91" s="94">
        <f ca="1">TblProd[[#This Row],[Platinum]]</f>
        <v>146529</v>
      </c>
      <c r="D91" s="94">
        <f ca="1">TblProd[[#This Row],[Lumber]]</f>
        <v>64542</v>
      </c>
      <c r="E91" s="94">
        <f ca="1">TblProd[[#This Row],[Ore]]</f>
        <v>0</v>
      </c>
      <c r="F91" s="94">
        <f ca="1">TblProd[[#This Row],[Gems]]</f>
        <v>0</v>
      </c>
      <c r="G91" s="154"/>
      <c r="H91" s="94">
        <f ca="1">TblMili[[#This Row],[Draftees]]</f>
        <v>507</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c r="A92" s="214">
        <f ca="1">TblConstr[[#This Row],[Land]]</f>
        <v>50</v>
      </c>
      <c r="B92" s="142"/>
      <c r="C92" s="94">
        <f ca="1">TblProd[[#This Row],[Platinum]]</f>
        <v>147236</v>
      </c>
      <c r="D92" s="94">
        <f ca="1">TblProd[[#This Row],[Lumber]]</f>
        <v>64897</v>
      </c>
      <c r="E92" s="94">
        <f ca="1">TblProd[[#This Row],[Ore]]</f>
        <v>0</v>
      </c>
      <c r="F92" s="94">
        <f ca="1">TblProd[[#This Row],[Gems]]</f>
        <v>0</v>
      </c>
      <c r="G92" s="154"/>
      <c r="H92" s="94">
        <f ca="1">TblMili[[#This Row],[Draftees]]</f>
        <v>510</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c r="A93" s="214">
        <f ca="1">TblConstr[[#This Row],[Land]]</f>
        <v>50</v>
      </c>
      <c r="B93" s="142"/>
      <c r="C93" s="94">
        <f ca="1">TblProd[[#This Row],[Platinum]]</f>
        <v>147935</v>
      </c>
      <c r="D93" s="94">
        <f ca="1">TblProd[[#This Row],[Lumber]]</f>
        <v>65248</v>
      </c>
      <c r="E93" s="94">
        <f ca="1">TblProd[[#This Row],[Ore]]</f>
        <v>0</v>
      </c>
      <c r="F93" s="94">
        <f ca="1">TblProd[[#This Row],[Gems]]</f>
        <v>0</v>
      </c>
      <c r="G93" s="154"/>
      <c r="H93" s="94">
        <f ca="1">TblMili[[#This Row],[Draftees]]</f>
        <v>513</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c r="A94" s="214">
        <f ca="1">TblConstr[[#This Row],[Land]]</f>
        <v>50</v>
      </c>
      <c r="B94" s="142"/>
      <c r="C94" s="94">
        <f ca="1">TblProd[[#This Row],[Platinum]]</f>
        <v>148626</v>
      </c>
      <c r="D94" s="94">
        <f ca="1">TblProd[[#This Row],[Lumber]]</f>
        <v>65596</v>
      </c>
      <c r="E94" s="94">
        <f ca="1">TblProd[[#This Row],[Ore]]</f>
        <v>0</v>
      </c>
      <c r="F94" s="94">
        <f ca="1">TblProd[[#This Row],[Gems]]</f>
        <v>0</v>
      </c>
      <c r="G94" s="154"/>
      <c r="H94" s="94">
        <f ca="1">TblMili[[#This Row],[Draftees]]</f>
        <v>516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c r="A95" s="214">
        <f ca="1">TblConstr[[#This Row],[Land]]</f>
        <v>50</v>
      </c>
      <c r="B95" s="142"/>
      <c r="C95" s="94">
        <f ca="1">TblProd[[#This Row],[Platinum]]</f>
        <v>149309</v>
      </c>
      <c r="D95" s="94">
        <f ca="1">TblProd[[#This Row],[Lumber]]</f>
        <v>65940</v>
      </c>
      <c r="E95" s="94">
        <f ca="1">TblProd[[#This Row],[Ore]]</f>
        <v>0</v>
      </c>
      <c r="F95" s="94">
        <f ca="1">TblProd[[#This Row],[Gems]]</f>
        <v>0</v>
      </c>
      <c r="G95" s="154"/>
      <c r="H95" s="94">
        <f ca="1">TblMili[[#This Row],[Draftees]]</f>
        <v>519</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c r="A96" s="214">
        <f ca="1">TblConstr[[#This Row],[Land]]</f>
        <v>50</v>
      </c>
      <c r="B96" s="142"/>
      <c r="C96" s="94">
        <f ca="1">TblProd[[#This Row],[Platinum]]</f>
        <v>149984</v>
      </c>
      <c r="D96" s="94">
        <f ca="1">TblProd[[#This Row],[Lumber]]</f>
        <v>66281</v>
      </c>
      <c r="E96" s="94">
        <f ca="1">TblProd[[#This Row],[Ore]]</f>
        <v>0</v>
      </c>
      <c r="F96" s="94">
        <f ca="1">TblProd[[#This Row],[Gems]]</f>
        <v>0</v>
      </c>
      <c r="G96" s="154"/>
      <c r="H96" s="94">
        <f ca="1">TblMili[[#This Row],[Draftees]]</f>
        <v>522</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c r="A97" s="214">
        <f ca="1">TblConstr[[#This Row],[Land]]</f>
        <v>50</v>
      </c>
      <c r="B97" s="142"/>
      <c r="C97" s="94">
        <f ca="1">TblProd[[#This Row],[Platinum]]</f>
        <v>150650</v>
      </c>
      <c r="D97" s="94">
        <f ca="1">TblProd[[#This Row],[Lumber]]</f>
        <v>66618</v>
      </c>
      <c r="E97" s="94">
        <f ca="1">TblProd[[#This Row],[Ore]]</f>
        <v>0</v>
      </c>
      <c r="F97" s="94">
        <f ca="1">TblProd[[#This Row],[Gems]]</f>
        <v>0</v>
      </c>
      <c r="G97" s="154"/>
      <c r="H97" s="94">
        <f ca="1">TblMili[[#This Row],[Draftees]]</f>
        <v>524</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c r="A98" s="214">
        <f ca="1">TblConstr[[#This Row],[Land]]</f>
        <v>50</v>
      </c>
      <c r="B98" s="142"/>
      <c r="C98" s="94">
        <f ca="1">TblProd[[#This Row],[Platinum]]</f>
        <v>151311</v>
      </c>
      <c r="D98" s="94">
        <f ca="1">TblProd[[#This Row],[Lumber]]</f>
        <v>66952</v>
      </c>
      <c r="E98" s="94">
        <f ca="1">TblProd[[#This Row],[Ore]]</f>
        <v>0</v>
      </c>
      <c r="F98" s="94">
        <f ca="1">TblProd[[#This Row],[Gems]]</f>
        <v>0</v>
      </c>
      <c r="G98" s="154"/>
      <c r="H98" s="94">
        <f ca="1">TblMili[[#This Row],[Draftees]]</f>
        <v>526</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c r="A99" s="214">
        <f ca="1">TblConstr[[#This Row],[Land]]</f>
        <v>50</v>
      </c>
      <c r="B99" s="142"/>
      <c r="C99" s="94">
        <f ca="1">TblProd[[#This Row],[Platinum]]</f>
        <v>151967</v>
      </c>
      <c r="D99" s="94">
        <f ca="1">TblProd[[#This Row],[Lumber]]</f>
        <v>67282</v>
      </c>
      <c r="E99" s="94">
        <f ca="1">TblProd[[#This Row],[Ore]]</f>
        <v>0</v>
      </c>
      <c r="F99" s="94">
        <f ca="1">TblProd[[#This Row],[Gems]]</f>
        <v>0</v>
      </c>
      <c r="G99" s="154"/>
      <c r="H99" s="94">
        <f ca="1">TblMili[[#This Row],[Draftees]]</f>
        <v>528</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c r="A100" s="214">
        <f ca="1">TblConstr[[#This Row],[Land]]</f>
        <v>50</v>
      </c>
      <c r="B100" s="142"/>
      <c r="C100" s="94">
        <f ca="1">TblProd[[#This Row],[Platinum]]</f>
        <v>152617</v>
      </c>
      <c r="D100" s="94">
        <f ca="1">TblProd[[#This Row],[Lumber]]</f>
        <v>67609</v>
      </c>
      <c r="E100" s="94">
        <f ca="1">TblProd[[#This Row],[Ore]]</f>
        <v>0</v>
      </c>
      <c r="F100" s="94">
        <f ca="1">TblProd[[#This Row],[Gems]]</f>
        <v>0</v>
      </c>
      <c r="G100" s="154"/>
      <c r="H100" s="94">
        <f ca="1">TblMili[[#This Row],[Draftees]]</f>
        <v>530</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c r="A101" s="214">
        <f ca="1">TblConstr[[#This Row],[Land]]</f>
        <v>50</v>
      </c>
      <c r="B101" s="142"/>
      <c r="C101" s="94">
        <f ca="1">TblProd[[#This Row],[Platinum]]</f>
        <v>153262</v>
      </c>
      <c r="D101" s="94">
        <f ca="1">TblProd[[#This Row],[Lumber]]</f>
        <v>67933</v>
      </c>
      <c r="E101" s="94">
        <f ca="1">TblProd[[#This Row],[Ore]]</f>
        <v>0</v>
      </c>
      <c r="F101" s="94">
        <f ca="1">TblProd[[#This Row],[Gems]]</f>
        <v>0</v>
      </c>
      <c r="G101" s="154"/>
      <c r="H101" s="94">
        <f ca="1">TblMili[[#This Row],[Draftees]]</f>
        <v>532</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c r="A102" s="214">
        <f ca="1">TblConstr[[#This Row],[Land]]</f>
        <v>50</v>
      </c>
      <c r="B102" s="142"/>
      <c r="C102" s="94">
        <f ca="1">TblProd[[#This Row],[Platinum]]</f>
        <v>153901</v>
      </c>
      <c r="D102" s="94">
        <f ca="1">TblProd[[#This Row],[Lumber]]</f>
        <v>68254</v>
      </c>
      <c r="E102" s="94">
        <f ca="1">TblProd[[#This Row],[Ore]]</f>
        <v>0</v>
      </c>
      <c r="F102" s="94">
        <f ca="1">TblProd[[#This Row],[Gems]]</f>
        <v>0</v>
      </c>
      <c r="G102" s="154"/>
      <c r="H102" s="94">
        <f ca="1">TblMili[[#This Row],[Draftees]]</f>
        <v>534</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c r="A103" s="214">
        <f ca="1">TblConstr[[#This Row],[Land]]</f>
        <v>50</v>
      </c>
      <c r="B103" s="142"/>
      <c r="C103" s="94">
        <f ca="1">TblProd[[#This Row],[Platinum]]</f>
        <v>154535</v>
      </c>
      <c r="D103" s="94">
        <f ca="1">TblProd[[#This Row],[Lumber]]</f>
        <v>68571</v>
      </c>
      <c r="E103" s="94">
        <f ca="1">TblProd[[#This Row],[Ore]]</f>
        <v>0</v>
      </c>
      <c r="F103" s="94">
        <f ca="1">TblProd[[#This Row],[Gems]]</f>
        <v>0</v>
      </c>
      <c r="G103" s="154"/>
      <c r="H103" s="94">
        <f ca="1">TblMili[[#This Row],[Draftees]]</f>
        <v>536</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c r="A104" s="214">
        <f ca="1">TblConstr[[#This Row],[Land]]</f>
        <v>50</v>
      </c>
      <c r="B104" s="142"/>
      <c r="C104" s="94">
        <f ca="1">TblProd[[#This Row],[Platinum]]</f>
        <v>155164</v>
      </c>
      <c r="D104" s="94">
        <f ca="1">TblProd[[#This Row],[Lumber]]</f>
        <v>68885</v>
      </c>
      <c r="E104" s="94">
        <f ca="1">TblProd[[#This Row],[Ore]]</f>
        <v>0</v>
      </c>
      <c r="F104" s="94">
        <f ca="1">TblProd[[#This Row],[Gems]]</f>
        <v>0</v>
      </c>
      <c r="G104" s="154"/>
      <c r="H104" s="94">
        <f ca="1">TblMili[[#This Row],[Draftees]]</f>
        <v>538</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c r="A105" s="214">
        <f ca="1">TblConstr[[#This Row],[Land]]</f>
        <v>50</v>
      </c>
      <c r="B105" s="142"/>
      <c r="C105" s="94">
        <f ca="1">TblProd[[#This Row],[Platinum]]</f>
        <v>155787</v>
      </c>
      <c r="D105" s="94">
        <f ca="1">TblProd[[#This Row],[Lumber]]</f>
        <v>69196</v>
      </c>
      <c r="E105" s="94">
        <f ca="1">TblProd[[#This Row],[Ore]]</f>
        <v>0</v>
      </c>
      <c r="F105" s="94">
        <f ca="1">TblProd[[#This Row],[Gems]]</f>
        <v>0</v>
      </c>
      <c r="G105" s="154"/>
      <c r="H105" s="94">
        <f ca="1">TblMili[[#This Row],[Draftees]]</f>
        <v>540</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c r="A106" s="214">
        <f ca="1">TblConstr[[#This Row],[Land]]</f>
        <v>50</v>
      </c>
      <c r="B106" s="142"/>
      <c r="C106" s="94">
        <f ca="1">TblProd[[#This Row],[Platinum]]</f>
        <v>156405</v>
      </c>
      <c r="D106" s="94">
        <f ca="1">TblProd[[#This Row],[Lumber]]</f>
        <v>69504</v>
      </c>
      <c r="E106" s="94">
        <f ca="1">TblProd[[#This Row],[Ore]]</f>
        <v>0</v>
      </c>
      <c r="F106" s="94">
        <f ca="1">TblProd[[#This Row],[Gems]]</f>
        <v>0</v>
      </c>
      <c r="G106" s="154"/>
      <c r="H106" s="94">
        <f ca="1">TblMili[[#This Row],[Draftees]]</f>
        <v>542</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c r="A107" s="214">
        <f ca="1">TblConstr[[#This Row],[Land]]</f>
        <v>50</v>
      </c>
      <c r="B107" s="142"/>
      <c r="C107" s="94">
        <f ca="1">TblProd[[#This Row],[Platinum]]</f>
        <v>157017</v>
      </c>
      <c r="D107" s="94">
        <f ca="1">TblProd[[#This Row],[Lumber]]</f>
        <v>69809</v>
      </c>
      <c r="E107" s="94">
        <f ca="1">TblProd[[#This Row],[Ore]]</f>
        <v>0</v>
      </c>
      <c r="F107" s="94">
        <f ca="1">TblProd[[#This Row],[Gems]]</f>
        <v>0</v>
      </c>
      <c r="G107" s="154"/>
      <c r="H107" s="94">
        <f ca="1">TblMili[[#This Row],[Draftees]]</f>
        <v>544</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c r="A108" s="214">
        <f ca="1">TblConstr[[#This Row],[Land]]</f>
        <v>50</v>
      </c>
      <c r="B108" s="142"/>
      <c r="C108" s="94">
        <f ca="1">TblProd[[#This Row],[Platinum]]</f>
        <v>157624</v>
      </c>
      <c r="D108" s="94">
        <f ca="1">TblProd[[#This Row],[Lumber]]</f>
        <v>70111</v>
      </c>
      <c r="E108" s="94">
        <f ca="1">TblProd[[#This Row],[Ore]]</f>
        <v>0</v>
      </c>
      <c r="F108" s="94">
        <f ca="1">TblProd[[#This Row],[Gems]]</f>
        <v>0</v>
      </c>
      <c r="G108" s="154"/>
      <c r="H108" s="94">
        <f ca="1">TblMili[[#This Row],[Draftees]]</f>
        <v>546</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c r="A109" s="214">
        <f ca="1">TblConstr[[#This Row],[Land]]</f>
        <v>50</v>
      </c>
      <c r="B109" s="142"/>
      <c r="C109" s="94">
        <f ca="1">TblProd[[#This Row],[Platinum]]</f>
        <v>158226</v>
      </c>
      <c r="D109" s="94">
        <f ca="1">TblProd[[#This Row],[Lumber]]</f>
        <v>70410</v>
      </c>
      <c r="E109" s="94">
        <f ca="1">TblProd[[#This Row],[Ore]]</f>
        <v>0</v>
      </c>
      <c r="F109" s="94">
        <f ca="1">TblProd[[#This Row],[Gems]]</f>
        <v>0</v>
      </c>
      <c r="G109" s="154"/>
      <c r="H109" s="94">
        <f ca="1">TblMili[[#This Row],[Draftees]]</f>
        <v>548</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c r="A110" s="214">
        <f ca="1">TblConstr[[#This Row],[Land]]</f>
        <v>50</v>
      </c>
      <c r="B110" s="142"/>
      <c r="C110" s="94">
        <f ca="1">TblProd[[#This Row],[Platinum]]</f>
        <v>158822</v>
      </c>
      <c r="D110" s="94">
        <f ca="1">TblProd[[#This Row],[Lumber]]</f>
        <v>70706</v>
      </c>
      <c r="E110" s="94">
        <f ca="1">TblProd[[#This Row],[Ore]]</f>
        <v>0</v>
      </c>
      <c r="F110" s="94">
        <f ca="1">TblProd[[#This Row],[Gems]]</f>
        <v>0</v>
      </c>
      <c r="G110" s="154"/>
      <c r="H110" s="94">
        <f ca="1">TblMili[[#This Row],[Draftees]]</f>
        <v>550</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c r="A111" s="214">
        <f ca="1">TblConstr[[#This Row],[Land]]</f>
        <v>50</v>
      </c>
      <c r="B111" s="142"/>
      <c r="C111" s="94">
        <f ca="1">TblProd[[#This Row],[Platinum]]</f>
        <v>159413</v>
      </c>
      <c r="D111" s="94">
        <f ca="1">TblProd[[#This Row],[Lumber]]</f>
        <v>70999</v>
      </c>
      <c r="E111" s="94">
        <f ca="1">TblProd[[#This Row],[Ore]]</f>
        <v>0</v>
      </c>
      <c r="F111" s="94">
        <f ca="1">TblProd[[#This Row],[Gems]]</f>
        <v>0</v>
      </c>
      <c r="G111" s="154"/>
      <c r="H111" s="94">
        <f ca="1">TblMili[[#This Row],[Draftees]]</f>
        <v>552</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c r="A112" s="214">
        <f ca="1">TblConstr[[#This Row],[Land]]</f>
        <v>50</v>
      </c>
      <c r="B112" s="142"/>
      <c r="C112" s="94">
        <f ca="1">TblProd[[#This Row],[Platinum]]</f>
        <v>159998</v>
      </c>
      <c r="D112" s="94">
        <f ca="1">TblProd[[#This Row],[Lumber]]</f>
        <v>71289</v>
      </c>
      <c r="E112" s="94">
        <f ca="1">TblProd[[#This Row],[Ore]]</f>
        <v>0</v>
      </c>
      <c r="F112" s="94">
        <f ca="1">TblProd[[#This Row],[Gems]]</f>
        <v>0</v>
      </c>
      <c r="G112" s="154"/>
      <c r="H112" s="94">
        <f ca="1">TblMili[[#This Row],[Draftees]]</f>
        <v>554</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c r="A113" s="214">
        <f ca="1">TblConstr[[#This Row],[Land]]</f>
        <v>50</v>
      </c>
      <c r="B113" s="142"/>
      <c r="C113" s="94">
        <f ca="1">TblProd[[#This Row],[Platinum]]</f>
        <v>160578</v>
      </c>
      <c r="D113" s="94">
        <f ca="1">TblProd[[#This Row],[Lumber]]</f>
        <v>71576</v>
      </c>
      <c r="E113" s="94">
        <f ca="1">TblProd[[#This Row],[Ore]]</f>
        <v>0</v>
      </c>
      <c r="F113" s="94">
        <f ca="1">TblProd[[#This Row],[Gems]]</f>
        <v>0</v>
      </c>
      <c r="G113" s="154"/>
      <c r="H113" s="94">
        <f ca="1">TblMili[[#This Row],[Draftees]]</f>
        <v>556</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c r="A114" s="214">
        <f ca="1">TblConstr[[#This Row],[Land]]</f>
        <v>50</v>
      </c>
      <c r="B114" s="142"/>
      <c r="C114" s="94">
        <f ca="1">TblProd[[#This Row],[Platinum]]</f>
        <v>161153</v>
      </c>
      <c r="D114" s="94">
        <f ca="1">TblProd[[#This Row],[Lumber]]</f>
        <v>71860</v>
      </c>
      <c r="E114" s="94">
        <f ca="1">TblProd[[#This Row],[Ore]]</f>
        <v>0</v>
      </c>
      <c r="F114" s="94">
        <f ca="1">TblProd[[#This Row],[Gems]]</f>
        <v>0</v>
      </c>
      <c r="G114" s="154"/>
      <c r="H114" s="94">
        <f ca="1">TblMili[[#This Row],[Draftees]]</f>
        <v>558</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c r="A115" s="214">
        <f ca="1">TblConstr[[#This Row],[Land]]</f>
        <v>50</v>
      </c>
      <c r="B115" s="142"/>
      <c r="C115" s="94">
        <f ca="1">TblProd[[#This Row],[Platinum]]</f>
        <v>161722</v>
      </c>
      <c r="D115" s="94">
        <f ca="1">TblProd[[#This Row],[Lumber]]</f>
        <v>72141</v>
      </c>
      <c r="E115" s="94">
        <f ca="1">TblProd[[#This Row],[Ore]]</f>
        <v>0</v>
      </c>
      <c r="F115" s="94">
        <f ca="1">TblProd[[#This Row],[Gems]]</f>
        <v>0</v>
      </c>
      <c r="G115" s="154"/>
      <c r="H115" s="94">
        <f ca="1">TblMili[[#This Row],[Draftees]]</f>
        <v>560</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c r="A116" s="214">
        <f ca="1">TblConstr[[#This Row],[Land]]</f>
        <v>50</v>
      </c>
      <c r="B116" s="142"/>
      <c r="C116" s="94">
        <f ca="1">TblProd[[#This Row],[Platinum]]</f>
        <v>162286</v>
      </c>
      <c r="D116" s="94">
        <f ca="1">TblProd[[#This Row],[Lumber]]</f>
        <v>72420</v>
      </c>
      <c r="E116" s="94">
        <f ca="1">TblProd[[#This Row],[Ore]]</f>
        <v>0</v>
      </c>
      <c r="F116" s="94">
        <f ca="1">TblProd[[#This Row],[Gems]]</f>
        <v>0</v>
      </c>
      <c r="G116" s="154"/>
      <c r="H116" s="94">
        <f ca="1">TblMili[[#This Row],[Draftees]]</f>
        <v>562</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c r="A117" s="214">
        <f ca="1">TblConstr[[#This Row],[Land]]</f>
        <v>50</v>
      </c>
      <c r="B117" s="142"/>
      <c r="C117" s="94">
        <f ca="1">TblProd[[#This Row],[Platinum]]</f>
        <v>162844</v>
      </c>
      <c r="D117" s="94">
        <f ca="1">TblProd[[#This Row],[Lumber]]</f>
        <v>72696</v>
      </c>
      <c r="E117" s="94">
        <f ca="1">TblProd[[#This Row],[Ore]]</f>
        <v>0</v>
      </c>
      <c r="F117" s="94">
        <f ca="1">TblProd[[#This Row],[Gems]]</f>
        <v>0</v>
      </c>
      <c r="G117" s="154"/>
      <c r="H117" s="94">
        <f ca="1">TblMili[[#This Row],[Draftees]]</f>
        <v>564</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c r="A118" s="214">
        <f ca="1">TblConstr[[#This Row],[Land]]</f>
        <v>50</v>
      </c>
      <c r="B118" s="142"/>
      <c r="C118" s="94">
        <f ca="1">TblProd[[#This Row],[Platinum]]</f>
        <v>163397</v>
      </c>
      <c r="D118" s="94">
        <f ca="1">TblProd[[#This Row],[Lumber]]</f>
        <v>72969</v>
      </c>
      <c r="E118" s="94">
        <f ca="1">TblProd[[#This Row],[Ore]]</f>
        <v>0</v>
      </c>
      <c r="F118" s="94">
        <f ca="1">TblProd[[#This Row],[Gems]]</f>
        <v>0</v>
      </c>
      <c r="G118" s="154"/>
      <c r="H118" s="94">
        <f ca="1">TblMili[[#This Row],[Draftees]]</f>
        <v>566</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c r="A119" s="214">
        <f ca="1">TblConstr[[#This Row],[Land]]</f>
        <v>50</v>
      </c>
      <c r="B119" s="142"/>
      <c r="C119" s="94">
        <f ca="1">TblProd[[#This Row],[Platinum]]</f>
        <v>163945</v>
      </c>
      <c r="D119" s="94">
        <f ca="1">TblProd[[#This Row],[Lumber]]</f>
        <v>73239</v>
      </c>
      <c r="E119" s="94">
        <f ca="1">TblProd[[#This Row],[Ore]]</f>
        <v>0</v>
      </c>
      <c r="F119" s="94">
        <f ca="1">TblProd[[#This Row],[Gems]]</f>
        <v>0</v>
      </c>
      <c r="G119" s="154"/>
      <c r="H119" s="94">
        <f ca="1">TblMili[[#This Row],[Draftees]]</f>
        <v>568</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c r="A120" s="214">
        <f ca="1">TblConstr[[#This Row],[Land]]</f>
        <v>50</v>
      </c>
      <c r="B120" s="142"/>
      <c r="C120" s="94">
        <f ca="1">TblProd[[#This Row],[Platinum]]</f>
        <v>164487</v>
      </c>
      <c r="D120" s="94">
        <f ca="1">TblProd[[#This Row],[Lumber]]</f>
        <v>73507</v>
      </c>
      <c r="E120" s="94">
        <f ca="1">TblProd[[#This Row],[Ore]]</f>
        <v>0</v>
      </c>
      <c r="F120" s="94">
        <f ca="1">TblProd[[#This Row],[Gems]]</f>
        <v>0</v>
      </c>
      <c r="G120" s="154"/>
      <c r="H120" s="94">
        <f ca="1">TblMili[[#This Row],[Draftees]]</f>
        <v>570</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c r="A121" s="214">
        <f ca="1">TblConstr[[#This Row],[Land]]</f>
        <v>50</v>
      </c>
      <c r="B121" s="142"/>
      <c r="C121" s="94">
        <f ca="1">TblProd[[#This Row],[Platinum]]</f>
        <v>165024</v>
      </c>
      <c r="D121" s="94">
        <f ca="1">TblProd[[#This Row],[Lumber]]</f>
        <v>73772</v>
      </c>
      <c r="E121" s="94">
        <f ca="1">TblProd[[#This Row],[Ore]]</f>
        <v>0</v>
      </c>
      <c r="F121" s="94">
        <f ca="1">TblProd[[#This Row],[Gems]]</f>
        <v>0</v>
      </c>
      <c r="G121" s="154"/>
      <c r="H121" s="94">
        <f ca="1">TblMili[[#This Row],[Draftees]]</f>
        <v>572</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c r="A122" s="214">
        <f ca="1">TblConstr[[#This Row],[Land]]</f>
        <v>50</v>
      </c>
      <c r="B122" s="142"/>
      <c r="C122" s="94">
        <f ca="1">TblProd[[#This Row],[Platinum]]</f>
        <v>165555</v>
      </c>
      <c r="D122" s="94">
        <f ca="1">TblProd[[#This Row],[Lumber]]</f>
        <v>74034</v>
      </c>
      <c r="E122" s="94">
        <f ca="1">TblProd[[#This Row],[Ore]]</f>
        <v>0</v>
      </c>
      <c r="F122" s="94">
        <f ca="1">TblProd[[#This Row],[Gems]]</f>
        <v>0</v>
      </c>
      <c r="G122" s="154"/>
      <c r="H122" s="94">
        <f ca="1">TblMili[[#This Row],[Draftees]]</f>
        <v>574</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c r="A123" s="214">
        <f ca="1">TblConstr[[#This Row],[Land]]</f>
        <v>50</v>
      </c>
      <c r="B123" s="142"/>
      <c r="C123" s="94">
        <f ca="1">TblProd[[#This Row],[Platinum]]</f>
        <v>166081</v>
      </c>
      <c r="D123" s="94">
        <f ca="1">TblProd[[#This Row],[Lumber]]</f>
        <v>74294</v>
      </c>
      <c r="E123" s="94">
        <f ca="1">TblProd[[#This Row],[Ore]]</f>
        <v>0</v>
      </c>
      <c r="F123" s="94">
        <f ca="1">TblProd[[#This Row],[Gems]]</f>
        <v>0</v>
      </c>
      <c r="G123" s="154"/>
      <c r="H123" s="94">
        <f ca="1">TblMili[[#This Row],[Draftees]]</f>
        <v>576</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c r="A124" s="214">
        <f ca="1">TblConstr[[#This Row],[Land]]</f>
        <v>50</v>
      </c>
      <c r="B124" s="142"/>
      <c r="C124" s="94">
        <f ca="1">TblProd[[#This Row],[Platinum]]</f>
        <v>166602</v>
      </c>
      <c r="D124" s="94">
        <f ca="1">TblProd[[#This Row],[Lumber]]</f>
        <v>74551</v>
      </c>
      <c r="E124" s="94">
        <f ca="1">TblProd[[#This Row],[Ore]]</f>
        <v>0</v>
      </c>
      <c r="F124" s="94">
        <f ca="1">TblProd[[#This Row],[Gems]]</f>
        <v>0</v>
      </c>
      <c r="G124" s="154"/>
      <c r="H124" s="94">
        <f ca="1">TblMili[[#This Row],[Draftees]]</f>
        <v>578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c r="A125" s="214">
        <f ca="1">TblConstr[[#This Row],[Land]]</f>
        <v>50</v>
      </c>
      <c r="B125" s="142"/>
      <c r="C125" s="94">
        <f ca="1">TblProd[[#This Row],[Platinum]]</f>
        <v>167117</v>
      </c>
      <c r="D125" s="94">
        <f ca="1">TblProd[[#This Row],[Lumber]]</f>
        <v>74805</v>
      </c>
      <c r="E125" s="94">
        <f ca="1">TblProd[[#This Row],[Ore]]</f>
        <v>0</v>
      </c>
      <c r="F125" s="94">
        <f ca="1">TblProd[[#This Row],[Gems]]</f>
        <v>0</v>
      </c>
      <c r="G125" s="154"/>
      <c r="H125" s="94">
        <f ca="1">TblMili[[#This Row],[Draftees]]</f>
        <v>580</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c r="A126" s="214">
        <f ca="1">TblConstr[[#This Row],[Land]]</f>
        <v>50</v>
      </c>
      <c r="B126" s="142"/>
      <c r="C126" s="94">
        <f ca="1">TblProd[[#This Row],[Platinum]]</f>
        <v>167627</v>
      </c>
      <c r="D126" s="94">
        <f ca="1">TblProd[[#This Row],[Lumber]]</f>
        <v>75057</v>
      </c>
      <c r="E126" s="94">
        <f ca="1">TblProd[[#This Row],[Ore]]</f>
        <v>0</v>
      </c>
      <c r="F126" s="94">
        <f ca="1">TblProd[[#This Row],[Gems]]</f>
        <v>0</v>
      </c>
      <c r="G126" s="154"/>
      <c r="H126" s="94">
        <f ca="1">TblMili[[#This Row],[Draftees]]</f>
        <v>582</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c r="A127" s="214">
        <f ca="1">TblConstr[[#This Row],[Land]]</f>
        <v>50</v>
      </c>
      <c r="B127" s="142"/>
      <c r="C127" s="94">
        <f ca="1">TblProd[[#This Row],[Platinum]]</f>
        <v>168131</v>
      </c>
      <c r="D127" s="94">
        <f ca="1">TblProd[[#This Row],[Lumber]]</f>
        <v>75306</v>
      </c>
      <c r="E127" s="94">
        <f ca="1">TblProd[[#This Row],[Ore]]</f>
        <v>0</v>
      </c>
      <c r="F127" s="94">
        <f ca="1">TblProd[[#This Row],[Gems]]</f>
        <v>0</v>
      </c>
      <c r="G127" s="154"/>
      <c r="H127" s="94">
        <f ca="1">TblMili[[#This Row],[Draftees]]</f>
        <v>584</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c r="A128" s="214">
        <f ca="1">TblConstr[[#This Row],[Land]]</f>
        <v>50</v>
      </c>
      <c r="B128" s="142"/>
      <c r="C128" s="94">
        <f ca="1">TblProd[[#This Row],[Platinum]]</f>
        <v>168630</v>
      </c>
      <c r="D128" s="94">
        <f ca="1">TblProd[[#This Row],[Lumber]]</f>
        <v>75553</v>
      </c>
      <c r="E128" s="94">
        <f ca="1">TblProd[[#This Row],[Ore]]</f>
        <v>0</v>
      </c>
      <c r="F128" s="94">
        <f ca="1">TblProd[[#This Row],[Gems]]</f>
        <v>0</v>
      </c>
      <c r="G128" s="154"/>
      <c r="H128" s="94">
        <f ca="1">TblMili[[#This Row],[Draftees]]</f>
        <v>586</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c r="A129" s="214">
        <f ca="1">TblConstr[[#This Row],[Land]]</f>
        <v>50</v>
      </c>
      <c r="B129" s="142"/>
      <c r="C129" s="94">
        <f ca="1">TblProd[[#This Row],[Platinum]]</f>
        <v>169124</v>
      </c>
      <c r="D129" s="94">
        <f ca="1">TblProd[[#This Row],[Lumber]]</f>
        <v>75797</v>
      </c>
      <c r="E129" s="94">
        <f ca="1">TblProd[[#This Row],[Ore]]</f>
        <v>0</v>
      </c>
      <c r="F129" s="94">
        <f ca="1">TblProd[[#This Row],[Gems]]</f>
        <v>0</v>
      </c>
      <c r="G129" s="154"/>
      <c r="H129" s="94">
        <f ca="1">TblMili[[#This Row],[Draftees]]</f>
        <v>588</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c r="A130" s="214">
        <f ca="1">TblConstr[[#This Row],[Land]]</f>
        <v>50</v>
      </c>
      <c r="B130" s="142"/>
      <c r="C130" s="94">
        <f ca="1">TblProd[[#This Row],[Platinum]]</f>
        <v>169612</v>
      </c>
      <c r="D130" s="94">
        <f ca="1">TblProd[[#This Row],[Lumber]]</f>
        <v>76039</v>
      </c>
      <c r="E130" s="94">
        <f ca="1">TblProd[[#This Row],[Ore]]</f>
        <v>0</v>
      </c>
      <c r="F130" s="94">
        <f ca="1">TblProd[[#This Row],[Gems]]</f>
        <v>0</v>
      </c>
      <c r="G130" s="154"/>
      <c r="H130" s="94">
        <f ca="1">TblMili[[#This Row],[Draftees]]</f>
        <v>590</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c r="A131" s="214">
        <f ca="1">TblConstr[[#This Row],[Land]]</f>
        <v>50</v>
      </c>
      <c r="B131" s="142"/>
      <c r="C131" s="94">
        <f ca="1">TblProd[[#This Row],[Platinum]]</f>
        <v>170095</v>
      </c>
      <c r="D131" s="94">
        <f ca="1">TblProd[[#This Row],[Lumber]]</f>
        <v>76279</v>
      </c>
      <c r="E131" s="94">
        <f ca="1">TblProd[[#This Row],[Ore]]</f>
        <v>0</v>
      </c>
      <c r="F131" s="94">
        <f ca="1">TblProd[[#This Row],[Gems]]</f>
        <v>0</v>
      </c>
      <c r="G131" s="154"/>
      <c r="H131" s="94">
        <f ca="1">TblMili[[#This Row],[Draftees]]</f>
        <v>592</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c r="A132" s="214">
        <f ca="1">TblConstr[[#This Row],[Land]]</f>
        <v>50</v>
      </c>
      <c r="B132" s="142"/>
      <c r="C132" s="94">
        <f ca="1">TblProd[[#This Row],[Platinum]]</f>
        <v>170572</v>
      </c>
      <c r="D132" s="94">
        <f ca="1">TblProd[[#This Row],[Lumber]]</f>
        <v>76516</v>
      </c>
      <c r="E132" s="94">
        <f ca="1">TblProd[[#This Row],[Ore]]</f>
        <v>0</v>
      </c>
      <c r="F132" s="94">
        <f ca="1">TblProd[[#This Row],[Gems]]</f>
        <v>0</v>
      </c>
      <c r="G132" s="154"/>
      <c r="H132" s="94">
        <f ca="1">TblMili[[#This Row],[Draftees]]</f>
        <v>594</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c r="A133" s="214">
        <f ca="1">TblConstr[[#This Row],[Land]]</f>
        <v>50</v>
      </c>
      <c r="B133" s="142"/>
      <c r="C133" s="94">
        <f ca="1">TblProd[[#This Row],[Platinum]]</f>
        <v>171044</v>
      </c>
      <c r="D133" s="94">
        <f ca="1">TblProd[[#This Row],[Lumber]]</f>
        <v>76751</v>
      </c>
      <c r="E133" s="94">
        <f ca="1">TblProd[[#This Row],[Ore]]</f>
        <v>0</v>
      </c>
      <c r="F133" s="94">
        <f ca="1">TblProd[[#This Row],[Gems]]</f>
        <v>0</v>
      </c>
      <c r="G133" s="154"/>
      <c r="H133" s="94">
        <f ca="1">TblMili[[#This Row],[Draftees]]</f>
        <v>596</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c r="A134" s="214">
        <f ca="1">TblConstr[[#This Row],[Land]]</f>
        <v>50</v>
      </c>
      <c r="B134" s="142"/>
      <c r="C134" s="94">
        <f ca="1">TblProd[[#This Row],[Platinum]]</f>
        <v>171511</v>
      </c>
      <c r="D134" s="94">
        <f ca="1">TblProd[[#This Row],[Lumber]]</f>
        <v>76983</v>
      </c>
      <c r="E134" s="94">
        <f ca="1">TblProd[[#This Row],[Ore]]</f>
        <v>0</v>
      </c>
      <c r="F134" s="94">
        <f ca="1">TblProd[[#This Row],[Gems]]</f>
        <v>0</v>
      </c>
      <c r="G134" s="154"/>
      <c r="H134" s="94">
        <f ca="1">TblMili[[#This Row],[Draftees]]</f>
        <v>598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c r="A135" s="214">
        <f ca="1">TblConstr[[#This Row],[Land]]</f>
        <v>50</v>
      </c>
      <c r="B135" s="142"/>
      <c r="C135" s="94">
        <f ca="1">TblProd[[#This Row],[Platinum]]</f>
        <v>171972</v>
      </c>
      <c r="D135" s="94">
        <f ca="1">TblProd[[#This Row],[Lumber]]</f>
        <v>77213</v>
      </c>
      <c r="E135" s="94">
        <f ca="1">TblProd[[#This Row],[Ore]]</f>
        <v>0</v>
      </c>
      <c r="F135" s="94">
        <f ca="1">TblProd[[#This Row],[Gems]]</f>
        <v>0</v>
      </c>
      <c r="G135" s="154"/>
      <c r="H135" s="94">
        <f ca="1">TblMili[[#This Row],[Draftees]]</f>
        <v>600</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c r="A136" s="214">
        <f ca="1">TblConstr[[#This Row],[Land]]</f>
        <v>50</v>
      </c>
      <c r="B136" s="142"/>
      <c r="C136" s="94">
        <f ca="1">TblProd[[#This Row],[Platinum]]</f>
        <v>172428</v>
      </c>
      <c r="D136" s="94">
        <f ca="1">TblProd[[#This Row],[Lumber]]</f>
        <v>77441</v>
      </c>
      <c r="E136" s="94">
        <f ca="1">TblProd[[#This Row],[Ore]]</f>
        <v>0</v>
      </c>
      <c r="F136" s="94">
        <f ca="1">TblProd[[#This Row],[Gems]]</f>
        <v>0</v>
      </c>
      <c r="G136" s="154"/>
      <c r="H136" s="94">
        <f ca="1">TblMili[[#This Row],[Draftees]]</f>
        <v>602</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c r="B1269" s="530" t="s">
        <v>314</v>
      </c>
      <c r="C1269" s="486"/>
      <c r="W1269" s="134"/>
    </row>
    <row r="1270" spans="2:23">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cols>
    <col min="1" max="17" width="10.85546875" customWidth="1"/>
    <col min="18" max="18" width="10.140625" customWidth="1"/>
  </cols>
  <sheetData>
    <row r="16" spans="15:16">
      <c r="O16" s="5" t="s">
        <v>470</v>
      </c>
      <c r="P16" s="39"/>
    </row>
    <row r="27" spans="8:9" ht="12.75" customHeight="1"/>
    <row r="28" spans="8:9">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c r="B2" s="41" t="s">
        <v>256</v>
      </c>
      <c r="C2" s="41" t="s">
        <v>995</v>
      </c>
      <c r="D2" s="41" t="s">
        <v>928</v>
      </c>
      <c r="E2" s="41" t="s">
        <v>997</v>
      </c>
    </row>
    <row r="3" spans="2:5" ht="15.75">
      <c r="B3" s="40" t="s">
        <v>974</v>
      </c>
      <c r="C3" s="42" t="s">
        <v>72</v>
      </c>
      <c r="D3" s="40">
        <f>_xlfn.IFNA(INDEX(TblConstr[],MATCH(Log!$I$28,TblConstr[Hour],0),MATCH(TblStats[[#This Row],[Abbr]],TblConstr[#Headers],0)),0)</f>
        <v>0</v>
      </c>
      <c r="E3" s="43" t="e">
        <f>TblStats[[#This Row],[Number]]/INDEX(TblConstr[[Hour]:[Land]],MATCH(Log!$I$28,TblConstr[Hour],0),6)</f>
        <v>#N/A</v>
      </c>
    </row>
    <row r="4" spans="2:5" ht="15.75">
      <c r="B4" s="40" t="s">
        <v>975</v>
      </c>
      <c r="C4" s="42" t="s">
        <v>71</v>
      </c>
      <c r="D4" s="40">
        <f>_xlfn.IFNA(INDEX(TblConstr[],MATCH(Log!$I$28,TblConstr[Hour],0),MATCH(TblStats[[#This Row],[Abbr]],TblConstr[#Headers],0)),0)</f>
        <v>0</v>
      </c>
      <c r="E4" s="43" t="e">
        <f>TblStats[[#This Row],[Number]]/INDEX(TblConstr[[Hour]:[Land]],MATCH(Log!$I$28,TblConstr[Hour],0),6)</f>
        <v>#N/A</v>
      </c>
    </row>
    <row r="5" spans="2:5" ht="15.75">
      <c r="B5" s="40" t="s">
        <v>977</v>
      </c>
      <c r="C5" s="42" t="s">
        <v>70</v>
      </c>
      <c r="D5" s="40">
        <f>_xlfn.IFNA(INDEX(TblConstr[],MATCH(Log!$I$28,TblConstr[Hour],0),MATCH(TblStats[[#This Row],[Abbr]],TblConstr[#Headers],0)),0)</f>
        <v>0</v>
      </c>
      <c r="E5" s="43" t="e">
        <f>TblStats[[#This Row],[Number]]/INDEX(TblConstr[[Hour]:[Land]],MATCH(Log!$I$28,TblConstr[Hour],0),6)</f>
        <v>#N/A</v>
      </c>
    </row>
    <row r="6" spans="2:5" ht="15.75">
      <c r="B6" s="40" t="s">
        <v>976</v>
      </c>
      <c r="C6" s="42" t="s">
        <v>69</v>
      </c>
      <c r="D6" s="40">
        <f>_xlfn.IFNA(INDEX(TblConstr[],MATCH(Log!$I$28,TblConstr[Hour],0),MATCH(TblStats[[#This Row],[Abbr]],TblConstr[#Headers],0)),0)</f>
        <v>0</v>
      </c>
      <c r="E6" s="43" t="e">
        <f>TblStats[[#This Row],[Number]]/INDEX(TblConstr[[Hour]:[Land]],MATCH(Log!$I$28,TblConstr[Hour],0),6)</f>
        <v>#N/A</v>
      </c>
    </row>
    <row r="7" spans="2:5" ht="15.75">
      <c r="B7" s="40" t="s">
        <v>978</v>
      </c>
      <c r="C7" s="42" t="s">
        <v>68</v>
      </c>
      <c r="D7" s="40">
        <f>_xlfn.IFNA(INDEX(TblConstr[],MATCH(Log!$I$28,TblConstr[Hour],0),MATCH(TblStats[[#This Row],[Abbr]],TblConstr[#Headers],0)),0)</f>
        <v>0</v>
      </c>
      <c r="E7" s="43" t="e">
        <f>TblStats[[#This Row],[Number]]/INDEX(TblConstr[[Hour]:[Land]],MATCH(Log!$I$28,TblConstr[Hour],0),6)</f>
        <v>#N/A</v>
      </c>
    </row>
    <row r="8" spans="2:5" ht="15.75">
      <c r="B8" s="40" t="s">
        <v>979</v>
      </c>
      <c r="C8" s="42" t="s">
        <v>63</v>
      </c>
      <c r="D8" s="40">
        <f>_xlfn.IFNA(INDEX(TblConstr[],MATCH(Log!$I$28,TblConstr[Hour],0),MATCH(TblStats[[#This Row],[Abbr]],TblConstr[#Headers],0)),0)</f>
        <v>0</v>
      </c>
      <c r="E8" s="43" t="e">
        <f>TblStats[[#This Row],[Number]]/INDEX(TblConstr[[Hour]:[Land]],MATCH(Log!$I$28,TblConstr[Hour],0),6)</f>
        <v>#N/A</v>
      </c>
    </row>
    <row r="9" spans="2:5" ht="15.75">
      <c r="B9" s="40" t="s">
        <v>980</v>
      </c>
      <c r="C9" s="42" t="s">
        <v>346</v>
      </c>
      <c r="D9" s="40">
        <f>_xlfn.IFNA(INDEX(TblConstr[],MATCH(Log!$I$28,TblConstr[Hour],0),MATCH(TblStats[[#This Row],[Abbr]],TblConstr[#Headers],0)),0)</f>
        <v>0</v>
      </c>
      <c r="E9" s="43" t="e">
        <f>TblStats[[#This Row],[Number]]/INDEX(TblConstr[[Hour]:[Land]],MATCH(Log!$I$28,TblConstr[Hour],0),6)</f>
        <v>#N/A</v>
      </c>
    </row>
    <row r="10" spans="2:5" ht="15.75">
      <c r="B10" s="40" t="s">
        <v>981</v>
      </c>
      <c r="C10" s="42" t="s">
        <v>64</v>
      </c>
      <c r="D10" s="40">
        <f>_xlfn.IFNA(INDEX(TblConstr[],MATCH(Log!$I$28,TblConstr[Hour],0),MATCH(TblStats[[#This Row],[Abbr]],TblConstr[#Headers],0)),0)</f>
        <v>0</v>
      </c>
      <c r="E10" s="43" t="e">
        <f>TblStats[[#This Row],[Number]]/INDEX(TblConstr[[Hour]:[Land]],MATCH(Log!$I$28,TblConstr[Hour],0),6)</f>
        <v>#N/A</v>
      </c>
    </row>
    <row r="11" spans="2:5" ht="15.75">
      <c r="B11" s="40" t="s">
        <v>982</v>
      </c>
      <c r="C11" s="42" t="s">
        <v>65</v>
      </c>
      <c r="D11" s="40">
        <f>_xlfn.IFNA(INDEX(TblConstr[],MATCH(Log!$I$28,TblConstr[Hour],0),MATCH(TblStats[[#This Row],[Abbr]],TblConstr[#Headers],0)),0)</f>
        <v>0</v>
      </c>
      <c r="E11" s="43" t="e">
        <f>TblStats[[#This Row],[Number]]/INDEX(TblConstr[[Hour]:[Land]],MATCH(Log!$I$28,TblConstr[Hour],0),6)</f>
        <v>#N/A</v>
      </c>
    </row>
    <row r="12" spans="2:5" ht="15.75">
      <c r="B12" s="40" t="s">
        <v>983</v>
      </c>
      <c r="C12" s="42" t="s">
        <v>66</v>
      </c>
      <c r="D12" s="40">
        <f>_xlfn.IFNA(INDEX(TblConstr[],MATCH(Log!$I$28,TblConstr[Hour],0),MATCH(TblStats[[#This Row],[Abbr]],TblConstr[#Headers],0)),0)</f>
        <v>0</v>
      </c>
      <c r="E12" s="43" t="e">
        <f>TblStats[[#This Row],[Number]]/INDEX(TblConstr[[Hour]:[Land]],MATCH(Log!$I$28,TblConstr[Hour],0),6)</f>
        <v>#N/A</v>
      </c>
    </row>
    <row r="13" spans="2:5" ht="15.75">
      <c r="B13" s="40" t="s">
        <v>984</v>
      </c>
      <c r="C13" s="42" t="s">
        <v>67</v>
      </c>
      <c r="D13" s="40">
        <f>_xlfn.IFNA(INDEX(TblConstr[],MATCH(Log!$I$28,TblConstr[Hour],0),MATCH(TblStats[[#This Row],[Abbr]],TblConstr[#Headers],0)),0)</f>
        <v>0</v>
      </c>
      <c r="E13" s="43" t="e">
        <f>TblStats[[#This Row],[Number]]/INDEX(TblConstr[[Hour]:[Land]],MATCH(Log!$I$28,TblConstr[Hour],0),6)</f>
        <v>#N/A</v>
      </c>
    </row>
    <row r="14" spans="2:5" ht="15.75">
      <c r="B14" s="40" t="s">
        <v>985</v>
      </c>
      <c r="C14" s="42" t="s">
        <v>348</v>
      </c>
      <c r="D14" s="40">
        <f>_xlfn.IFNA(INDEX(TblConstr[],MATCH(Log!$I$28,TblConstr[Hour],0),MATCH(TblStats[[#This Row],[Abbr]],TblConstr[#Headers],0)),0)</f>
        <v>0</v>
      </c>
      <c r="E14" s="43" t="e">
        <f>TblStats[[#This Row],[Number]]/INDEX(TblConstr[[Hour]:[Land]],MATCH(Log!$I$28,TblConstr[Hour],0),6)</f>
        <v>#N/A</v>
      </c>
    </row>
    <row r="15" spans="2:5" ht="15.75">
      <c r="B15" s="40" t="s">
        <v>986</v>
      </c>
      <c r="C15" s="42" t="s">
        <v>351</v>
      </c>
      <c r="D15" s="40">
        <f>_xlfn.IFNA(INDEX(TblConstr[],MATCH(Log!$I$28,TblConstr[Hour],0),MATCH(TblStats[[#This Row],[Abbr]],TblConstr[#Headers],0)),0)</f>
        <v>0</v>
      </c>
      <c r="E15" s="43" t="e">
        <f>TblStats[[#This Row],[Number]]/INDEX(TblConstr[[Hour]:[Land]],MATCH(Log!$I$28,TblConstr[Hour],0),6)</f>
        <v>#N/A</v>
      </c>
    </row>
    <row r="16" spans="2:5" ht="15.75">
      <c r="B16" s="40" t="s">
        <v>987</v>
      </c>
      <c r="C16" s="42" t="s">
        <v>74</v>
      </c>
      <c r="D16" s="40">
        <f>_xlfn.IFNA(INDEX(TblConstr[],MATCH(Log!$I$28,TblConstr[Hour],0),MATCH(TblStats[[#This Row],[Abbr]],TblConstr[#Headers],0)),0)</f>
        <v>0</v>
      </c>
      <c r="E16" s="43" t="e">
        <f>TblStats[[#This Row],[Number]]/INDEX(TblConstr[[Hour]:[Land]],MATCH(Log!$I$28,TblConstr[Hour],0),6)</f>
        <v>#N/A</v>
      </c>
    </row>
    <row r="17" spans="2:12" ht="15.75">
      <c r="B17" s="40" t="s">
        <v>988</v>
      </c>
      <c r="C17" s="42" t="s">
        <v>349</v>
      </c>
      <c r="D17" s="40">
        <f>_xlfn.IFNA(INDEX(TblConstr[],MATCH(Log!$I$28,TblConstr[Hour],0),MATCH(TblStats[[#This Row],[Abbr]],TblConstr[#Headers],0)),0)</f>
        <v>0</v>
      </c>
      <c r="E17" s="43" t="e">
        <f>TblStats[[#This Row],[Number]]/INDEX(TblConstr[[Hour]:[Land]],MATCH(Log!$I$28,TblConstr[Hour],0),6)</f>
        <v>#N/A</v>
      </c>
    </row>
    <row r="18" spans="2:12" ht="15.75">
      <c r="B18" s="40" t="s">
        <v>989</v>
      </c>
      <c r="C18" s="42" t="s">
        <v>295</v>
      </c>
      <c r="D18" s="40">
        <f>_xlfn.IFNA(INDEX(TblConstr[],MATCH(Log!$I$28,TblConstr[Hour],0),MATCH(TblStats[[#This Row],[Abbr]],TblConstr[#Headers],0)),0)</f>
        <v>0</v>
      </c>
      <c r="E18" s="43" t="e">
        <f>TblStats[[#This Row],[Number]]/INDEX(TblConstr[[Hour]:[Land]],MATCH(Log!$I$28,TblConstr[Hour],0),6)</f>
        <v>#N/A</v>
      </c>
    </row>
    <row r="19" spans="2:12" ht="15.75">
      <c r="B19" s="40" t="s">
        <v>990</v>
      </c>
      <c r="C19" s="42" t="s">
        <v>75</v>
      </c>
      <c r="D19" s="40">
        <f>_xlfn.IFNA(INDEX(TblConstr[],MATCH(Log!$I$28,TblConstr[Hour],0),MATCH(TblStats[[#This Row],[Abbr]],TblConstr[#Headers],0)),0)</f>
        <v>0</v>
      </c>
      <c r="E19" s="43" t="e">
        <f>TblStats[[#This Row],[Number]]/INDEX(TblConstr[[Hour]:[Land]],MATCH(Log!$I$28,TblConstr[Hour],0),6)</f>
        <v>#N/A</v>
      </c>
    </row>
    <row r="20" spans="2:12" ht="15.75">
      <c r="B20" s="40" t="s">
        <v>991</v>
      </c>
      <c r="C20" s="42" t="s">
        <v>369</v>
      </c>
      <c r="D20" s="40">
        <f>_xlfn.IFNA(INDEX(TblConstr[],MATCH(Log!$I$28,TblConstr[Hour],0),MATCH(TblStats[[#This Row],[Abbr]],TblConstr[#Headers],0)),0)</f>
        <v>0</v>
      </c>
      <c r="E20" s="43" t="e">
        <f>TblStats[[#This Row],[Number]]/INDEX(TblConstr[[Hour]:[Land]],MATCH(Log!$I$28,TblConstr[Hour],0),6)</f>
        <v>#N/A</v>
      </c>
    </row>
    <row r="21" spans="2:12" ht="15.75">
      <c r="B21" s="40" t="s">
        <v>992</v>
      </c>
      <c r="C21" s="42" t="s">
        <v>76</v>
      </c>
      <c r="D21" s="40">
        <f>_xlfn.IFNA(INDEX(TblConstr[],MATCH(Log!$I$28,TblConstr[Hour],0),MATCH(TblStats[[#This Row],[Abbr]],TblConstr[#Headers],0)),0)</f>
        <v>0</v>
      </c>
      <c r="E21" s="43" t="e">
        <f>TblStats[[#This Row],[Number]]/INDEX(TblConstr[[Hour]:[Land]],MATCH(Log!$I$28,TblConstr[Hour],0),6)</f>
        <v>#N/A</v>
      </c>
    </row>
    <row r="22" spans="2:12">
      <c r="B22" s="40" t="s">
        <v>993</v>
      </c>
      <c r="C22" s="40" t="s">
        <v>54</v>
      </c>
      <c r="D22" s="40">
        <f>_xlfn.IFNA(INDEX(TblConstr[],MATCH(Log!$I$28,TblConstr[Hour],0),MATCH(TblStats[[#This Row],[Abbr]],TblConstr[#Headers],0)),0)</f>
        <v>0</v>
      </c>
      <c r="E22" s="43" t="e">
        <f>TblStats[[#This Row],[Number]]/INDEX(TblConstr[[Hour]:[Land]],MATCH(Log!$I$28,TblConstr[Hour],0),6)</f>
        <v>#N/A</v>
      </c>
    </row>
    <row r="23" spans="2:12">
      <c r="B23" s="40" t="s">
        <v>994</v>
      </c>
      <c r="C23" s="40" t="s">
        <v>996</v>
      </c>
      <c r="D23" s="40">
        <f>_xlfn.IFNA(INDEX(TblConstr[],MATCH(Log!$I$28,TblConstr[Hour],0),MATCH(TblStats[[#This Row],[Abbr]],TblConstr[#Headers],0)),0)</f>
        <v>0</v>
      </c>
      <c r="E23" s="43" t="e">
        <f>TblStats[[#This Row],[Number]]/INDEX(TblConstr[[Hour]:[Land]],MATCH(Log!$I$28,TblConstr[Hour],0),6)</f>
        <v>#N/A</v>
      </c>
    </row>
    <row r="24" spans="2:12">
      <c r="E24" s="43"/>
    </row>
    <row r="25" spans="2:12">
      <c r="E25" s="43"/>
    </row>
    <row r="26" spans="2:12">
      <c r="E26" s="43"/>
    </row>
    <row r="27" spans="2:12">
      <c r="E27" s="43"/>
    </row>
    <row r="28" spans="2:12">
      <c r="E28" s="43"/>
      <c r="L28" s="40" t="s">
        <v>973</v>
      </c>
    </row>
    <row r="29" spans="2:12">
      <c r="E29" s="43"/>
    </row>
    <row r="30" spans="2:12">
      <c r="E30" s="43"/>
    </row>
    <row r="31" spans="2:12">
      <c r="E31" s="43"/>
    </row>
    <row r="32" spans="2:12">
      <c r="E32" s="43"/>
    </row>
    <row r="33" spans="5:5">
      <c r="E33" s="43"/>
    </row>
    <row r="34" spans="5:5">
      <c r="E34" s="43"/>
    </row>
    <row r="35" spans="5:5">
      <c r="E35" s="43"/>
    </row>
    <row r="36" spans="5:5">
      <c r="E36" s="43"/>
    </row>
    <row r="37" spans="5:5">
      <c r="E37" s="43"/>
    </row>
    <row r="38" spans="5:5">
      <c r="E38" s="43"/>
    </row>
    <row r="39" spans="5:5">
      <c r="E39" s="43"/>
    </row>
    <row r="40" spans="5:5">
      <c r="E40" s="43"/>
    </row>
    <row r="41" spans="5:5">
      <c r="E41" s="43"/>
    </row>
    <row r="42" spans="5:5">
      <c r="E42" s="43"/>
    </row>
    <row r="43" spans="5:5">
      <c r="E43" s="43"/>
    </row>
    <row r="44" spans="5:5">
      <c r="E44" s="43"/>
    </row>
    <row r="45" spans="5:5">
      <c r="E45" s="43"/>
    </row>
    <row r="46" spans="5:5">
      <c r="E46" s="43"/>
    </row>
    <row r="47" spans="5:5">
      <c r="E47" s="43"/>
    </row>
    <row r="48" spans="5:5">
      <c r="E48" s="43"/>
    </row>
    <row r="49" spans="5:5">
      <c r="E49" s="43"/>
    </row>
    <row r="50" spans="5:5">
      <c r="E50" s="43"/>
    </row>
    <row r="51" spans="5:5">
      <c r="E51" s="43"/>
    </row>
    <row r="52" spans="5:5">
      <c r="E52" s="43"/>
    </row>
    <row r="53" spans="5:5">
      <c r="E53" s="43"/>
    </row>
    <row r="54" spans="5:5">
      <c r="E54" s="43"/>
    </row>
    <row r="55" spans="5:5">
      <c r="E55" s="43"/>
    </row>
    <row r="56" spans="5:5">
      <c r="E56" s="43"/>
    </row>
    <row r="57" spans="5:5">
      <c r="E57" s="43"/>
    </row>
    <row r="58" spans="5:5">
      <c r="E58" s="43"/>
    </row>
    <row r="59" spans="5:5">
      <c r="E59" s="43"/>
    </row>
    <row r="60" spans="5:5">
      <c r="E60" s="43"/>
    </row>
    <row r="61" spans="5:5">
      <c r="E61" s="43"/>
    </row>
    <row r="62" spans="5:5">
      <c r="E62" s="43"/>
    </row>
    <row r="63" spans="5:5">
      <c r="E63" s="43"/>
    </row>
    <row r="64" spans="5:5">
      <c r="E64" s="43"/>
    </row>
    <row r="65" spans="5:5">
      <c r="E65" s="43"/>
    </row>
    <row r="66" spans="5:5">
      <c r="E66" s="43"/>
    </row>
    <row r="67" spans="5:5">
      <c r="E67" s="43"/>
    </row>
    <row r="68" spans="5:5">
      <c r="E68" s="43"/>
    </row>
    <row r="69" spans="5:5">
      <c r="E69" s="43"/>
    </row>
    <row r="70" spans="5:5">
      <c r="E70" s="43"/>
    </row>
    <row r="71" spans="5:5">
      <c r="E71" s="43"/>
    </row>
    <row r="72" spans="5:5">
      <c r="E72" s="43"/>
    </row>
    <row r="73" spans="5:5">
      <c r="E73" s="43"/>
    </row>
    <row r="74" spans="5:5">
      <c r="E74" s="43"/>
    </row>
    <row r="75" spans="5:5">
      <c r="E75" s="43"/>
    </row>
    <row r="76" spans="5:5">
      <c r="E76" s="43"/>
    </row>
    <row r="77" spans="5:5">
      <c r="E77" s="43"/>
    </row>
    <row r="78" spans="5:5">
      <c r="E78" s="43"/>
    </row>
    <row r="79" spans="5:5">
      <c r="E79" s="43"/>
    </row>
    <row r="80" spans="5:5">
      <c r="E80" s="43"/>
    </row>
    <row r="81" spans="5:5">
      <c r="E81" s="43"/>
    </row>
    <row r="82" spans="5:5">
      <c r="E82" s="43"/>
    </row>
    <row r="83" spans="5:5">
      <c r="E83" s="43"/>
    </row>
    <row r="84" spans="5:5">
      <c r="E84" s="43"/>
    </row>
    <row r="85" spans="5:5">
      <c r="E85" s="43"/>
    </row>
    <row r="86" spans="5:5">
      <c r="E86" s="43"/>
    </row>
    <row r="87" spans="5:5">
      <c r="E87" s="43"/>
    </row>
    <row r="88" spans="5:5">
      <c r="E88" s="43"/>
    </row>
    <row r="89" spans="5:5">
      <c r="E89" s="43"/>
    </row>
    <row r="90" spans="5:5">
      <c r="E90" s="43"/>
    </row>
    <row r="91" spans="5:5">
      <c r="E91" s="43"/>
    </row>
    <row r="92" spans="5:5">
      <c r="E92" s="43"/>
    </row>
    <row r="93" spans="5:5">
      <c r="E93" s="43"/>
    </row>
    <row r="94" spans="5:5">
      <c r="E94" s="43"/>
    </row>
    <row r="95" spans="5:5">
      <c r="E95" s="43"/>
    </row>
    <row r="96" spans="5:5">
      <c r="E96" s="43"/>
    </row>
    <row r="97" spans="5:5">
      <c r="E97" s="43"/>
    </row>
    <row r="98" spans="5:5">
      <c r="E98" s="43"/>
    </row>
    <row r="99" spans="5:5">
      <c r="E99" s="43"/>
    </row>
    <row r="100" spans="5:5">
      <c r="E100" s="43"/>
    </row>
    <row r="101" spans="5:5">
      <c r="E101" s="43"/>
    </row>
    <row r="102" spans="5:5">
      <c r="E102" s="43"/>
    </row>
    <row r="103" spans="5:5">
      <c r="E103" s="43"/>
    </row>
    <row r="104" spans="5:5">
      <c r="E104" s="43"/>
    </row>
    <row r="105" spans="5:5">
      <c r="E105" s="43"/>
    </row>
    <row r="106" spans="5:5">
      <c r="E106" s="43"/>
    </row>
    <row r="107" spans="5:5">
      <c r="E107" s="43"/>
    </row>
    <row r="108" spans="5:5">
      <c r="E108" s="43"/>
    </row>
    <row r="109" spans="5:5">
      <c r="E109" s="43"/>
    </row>
    <row r="110" spans="5:5">
      <c r="E110" s="43"/>
    </row>
    <row r="111" spans="5:5">
      <c r="E111" s="43"/>
    </row>
    <row r="112" spans="5:5">
      <c r="E112" s="43"/>
    </row>
    <row r="113" spans="5:5">
      <c r="E113" s="43"/>
    </row>
    <row r="114" spans="5:5">
      <c r="E114" s="43"/>
    </row>
    <row r="115" spans="5:5">
      <c r="E115" s="43"/>
    </row>
    <row r="116" spans="5:5">
      <c r="E116" s="43"/>
    </row>
    <row r="117" spans="5:5">
      <c r="E117" s="43"/>
    </row>
    <row r="118" spans="5:5">
      <c r="E118" s="43"/>
    </row>
    <row r="119" spans="5:5">
      <c r="E119" s="43"/>
    </row>
    <row r="120" spans="5:5">
      <c r="E120" s="43"/>
    </row>
    <row r="121" spans="5:5">
      <c r="E121" s="43"/>
    </row>
    <row r="122" spans="5:5">
      <c r="E122" s="43"/>
    </row>
    <row r="123" spans="5:5">
      <c r="E123" s="43"/>
    </row>
    <row r="124" spans="5:5">
      <c r="E124" s="43"/>
    </row>
    <row r="125" spans="5: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topLeftCell="A10" zoomScale="70" zoomScaleNormal="70" workbookViewId="0">
      <selection activeCell="B33" sqref="B33"/>
    </sheetView>
  </sheetViews>
  <sheetFormatPr defaultColWidth="9.140625" defaultRowHeight="12.75"/>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c r="A2" s="302" t="s">
        <v>43</v>
      </c>
    </row>
    <row r="3" spans="1:6">
      <c r="A3" s="303" t="s">
        <v>49</v>
      </c>
    </row>
    <row r="4" spans="1:6">
      <c r="A4" s="303" t="s">
        <v>44</v>
      </c>
      <c r="B4" s="45">
        <v>45</v>
      </c>
      <c r="C4" s="45" t="s">
        <v>6</v>
      </c>
    </row>
    <row r="5" spans="1:6">
      <c r="A5" s="303" t="s">
        <v>51</v>
      </c>
      <c r="B5" s="45">
        <v>80</v>
      </c>
      <c r="C5" s="45" t="s">
        <v>9</v>
      </c>
    </row>
    <row r="6" spans="1:6">
      <c r="A6" s="303" t="s">
        <v>45</v>
      </c>
      <c r="B6" s="45">
        <v>50</v>
      </c>
      <c r="C6" s="45" t="s">
        <v>8</v>
      </c>
    </row>
    <row r="7" spans="1:6">
      <c r="A7" s="303" t="s">
        <v>47</v>
      </c>
      <c r="B7" s="45">
        <v>60</v>
      </c>
      <c r="C7" s="45" t="s">
        <v>10</v>
      </c>
    </row>
    <row r="8" spans="1:6">
      <c r="A8" s="303" t="s">
        <v>48</v>
      </c>
      <c r="B8" s="45">
        <v>15</v>
      </c>
      <c r="C8" s="45" t="s">
        <v>11</v>
      </c>
    </row>
    <row r="9" spans="1:6">
      <c r="A9" s="303" t="s">
        <v>52</v>
      </c>
      <c r="B9" s="45">
        <v>25</v>
      </c>
      <c r="C9" s="45" t="s">
        <v>13</v>
      </c>
    </row>
    <row r="10" spans="1:6">
      <c r="A10" s="303" t="s">
        <v>46</v>
      </c>
      <c r="B10" s="45">
        <v>0.05</v>
      </c>
      <c r="C10" s="45" t="s">
        <v>50</v>
      </c>
      <c r="D10" s="45">
        <v>40</v>
      </c>
      <c r="E10" s="45" t="s">
        <v>9</v>
      </c>
    </row>
    <row r="11" spans="1:6">
      <c r="A11" s="303" t="s">
        <v>534</v>
      </c>
      <c r="B11" s="45">
        <v>25</v>
      </c>
      <c r="C11" s="45" t="s">
        <v>8</v>
      </c>
    </row>
    <row r="12" spans="1:6">
      <c r="A12" s="303" t="s">
        <v>67</v>
      </c>
      <c r="B12" s="251">
        <v>1.6</v>
      </c>
      <c r="C12" s="45" t="s">
        <v>509</v>
      </c>
      <c r="D12" s="156">
        <v>0.32</v>
      </c>
      <c r="E12" s="45" t="s">
        <v>435</v>
      </c>
    </row>
    <row r="13" spans="1:6">
      <c r="A13" s="303" t="s">
        <v>65</v>
      </c>
      <c r="B13" s="251">
        <v>1.6</v>
      </c>
      <c r="C13" s="45" t="s">
        <v>510</v>
      </c>
      <c r="D13" s="156">
        <v>0.32</v>
      </c>
      <c r="E13" s="45" t="s">
        <v>435</v>
      </c>
    </row>
    <row r="14" spans="1:6">
      <c r="A14" s="303" t="s">
        <v>479</v>
      </c>
      <c r="B14" s="45">
        <v>0</v>
      </c>
      <c r="C14" s="45" t="s">
        <v>480</v>
      </c>
      <c r="D14" s="304"/>
      <c r="F14" s="156"/>
    </row>
    <row r="15" spans="1:6">
      <c r="B15" s="45">
        <v>3.5</v>
      </c>
      <c r="C15" s="45" t="s">
        <v>481</v>
      </c>
      <c r="D15" s="305">
        <v>0.35</v>
      </c>
      <c r="E15" s="45" t="s">
        <v>435</v>
      </c>
      <c r="F15" s="156"/>
    </row>
    <row r="16" spans="1:6">
      <c r="A16" s="303" t="s">
        <v>476</v>
      </c>
      <c r="B16" s="45">
        <v>0</v>
      </c>
      <c r="C16" s="45" t="s">
        <v>483</v>
      </c>
      <c r="D16" s="305">
        <v>0</v>
      </c>
      <c r="E16" s="45" t="s">
        <v>435</v>
      </c>
      <c r="F16" s="156"/>
    </row>
    <row r="17" spans="1:19">
      <c r="B17" s="45">
        <v>3.5</v>
      </c>
      <c r="C17" s="45" t="s">
        <v>482</v>
      </c>
      <c r="D17" s="305">
        <v>0.35</v>
      </c>
      <c r="E17" s="45" t="s">
        <v>435</v>
      </c>
      <c r="F17" s="156"/>
    </row>
    <row r="18" spans="1:19">
      <c r="B18" s="45">
        <v>5</v>
      </c>
      <c r="C18" s="45" t="s">
        <v>13</v>
      </c>
      <c r="D18" s="305"/>
      <c r="F18" s="156"/>
    </row>
    <row r="19" spans="1:19">
      <c r="A19" s="303" t="s">
        <v>183</v>
      </c>
      <c r="B19" s="45">
        <v>2</v>
      </c>
      <c r="C19" s="45" t="s">
        <v>436</v>
      </c>
      <c r="D19" s="156">
        <v>0.36</v>
      </c>
      <c r="E19" s="45" t="s">
        <v>435</v>
      </c>
    </row>
    <row r="20" spans="1:19">
      <c r="A20" s="303" t="s">
        <v>451</v>
      </c>
      <c r="B20" s="45">
        <v>2.6</v>
      </c>
      <c r="C20" s="45" t="s">
        <v>484</v>
      </c>
    </row>
    <row r="21" spans="1:19">
      <c r="A21" s="303" t="s">
        <v>452</v>
      </c>
      <c r="B21" s="306">
        <v>5</v>
      </c>
      <c r="C21" s="45" t="s">
        <v>453</v>
      </c>
      <c r="D21" s="156">
        <v>0.5</v>
      </c>
      <c r="E21" s="45" t="s">
        <v>435</v>
      </c>
    </row>
    <row r="22" spans="1:19">
      <c r="B22" s="306">
        <v>5</v>
      </c>
      <c r="C22" s="45" t="s">
        <v>454</v>
      </c>
      <c r="D22" s="156">
        <v>0.5</v>
      </c>
      <c r="E22" s="45" t="s">
        <v>435</v>
      </c>
    </row>
    <row r="23" spans="1:19">
      <c r="A23" s="303" t="s">
        <v>1061</v>
      </c>
      <c r="B23" s="306"/>
      <c r="C23" s="45" t="s">
        <v>1062</v>
      </c>
      <c r="D23" s="156">
        <v>0.5</v>
      </c>
      <c r="E23" s="45" t="s">
        <v>435</v>
      </c>
    </row>
    <row r="24" spans="1:19">
      <c r="A24" s="302" t="s">
        <v>80</v>
      </c>
    </row>
    <row r="25" spans="1:19">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c r="A28" s="302" t="s">
        <v>79</v>
      </c>
    </row>
    <row r="29" spans="1:19">
      <c r="A29" s="315" t="s">
        <v>55</v>
      </c>
      <c r="B29" s="308" t="s">
        <v>58</v>
      </c>
      <c r="C29" s="309" t="s">
        <v>176</v>
      </c>
      <c r="D29" s="311" t="s">
        <v>59</v>
      </c>
      <c r="E29" s="312" t="s">
        <v>60</v>
      </c>
      <c r="F29" s="313" t="s">
        <v>61</v>
      </c>
      <c r="G29" s="314" t="s">
        <v>62</v>
      </c>
    </row>
    <row r="30" spans="1:19" s="5" customFormat="1">
      <c r="A30" s="303">
        <v>0</v>
      </c>
      <c r="B30" s="45">
        <v>0</v>
      </c>
      <c r="C30" s="45">
        <v>0</v>
      </c>
      <c r="D30" s="45">
        <v>0</v>
      </c>
      <c r="E30" s="45">
        <v>0</v>
      </c>
      <c r="F30" s="45">
        <v>0</v>
      </c>
      <c r="G30" s="45">
        <v>0</v>
      </c>
      <c r="H30" s="45"/>
      <c r="I30" s="45"/>
      <c r="J30" s="45"/>
      <c r="K30" s="45"/>
      <c r="L30" s="45"/>
      <c r="M30" s="45"/>
      <c r="N30" s="45"/>
      <c r="O30" s="45"/>
      <c r="P30" s="45"/>
      <c r="Q30" s="45"/>
      <c r="R30" s="45"/>
      <c r="S30" s="45"/>
    </row>
    <row r="32" spans="1:19">
      <c r="A32" s="302" t="s">
        <v>83</v>
      </c>
      <c r="B32" s="5"/>
      <c r="C32" s="5"/>
      <c r="D32" s="5" t="s">
        <v>233</v>
      </c>
      <c r="E32" s="5"/>
      <c r="F32" s="5"/>
      <c r="G32" s="5"/>
      <c r="H32" s="5"/>
      <c r="I32" s="5"/>
      <c r="J32" s="5"/>
      <c r="K32" s="5"/>
      <c r="L32" s="5" t="s">
        <v>393</v>
      </c>
      <c r="M32" s="5"/>
      <c r="N32" s="5"/>
      <c r="O32" s="5"/>
      <c r="P32" s="5"/>
      <c r="Q32" s="5"/>
      <c r="R32" s="5"/>
      <c r="S32" s="5"/>
    </row>
    <row r="33" spans="1:16">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c r="A34" s="303" t="s">
        <v>24</v>
      </c>
      <c r="B34" s="45">
        <v>150</v>
      </c>
      <c r="D34" s="45" t="s">
        <v>21</v>
      </c>
      <c r="E34" s="94">
        <v>1300</v>
      </c>
      <c r="F34" s="94">
        <v>1390</v>
      </c>
      <c r="G34" s="94">
        <v>1480</v>
      </c>
      <c r="H34" s="94">
        <v>1570</v>
      </c>
      <c r="I34" s="94">
        <v>1660</v>
      </c>
      <c r="J34" s="94">
        <v>1750</v>
      </c>
      <c r="K34" s="94"/>
      <c r="M34" s="156">
        <v>0.05</v>
      </c>
      <c r="N34" s="45" t="s">
        <v>395</v>
      </c>
    </row>
    <row r="35" spans="1:16">
      <c r="A35" s="303" t="str">
        <f>Overview!$A22</f>
        <v>Spearman</v>
      </c>
      <c r="B35" s="45">
        <v>0</v>
      </c>
      <c r="D35" s="45" t="s">
        <v>2</v>
      </c>
      <c r="E35" s="94">
        <v>100000</v>
      </c>
      <c r="F35" s="94">
        <v>110000</v>
      </c>
      <c r="G35" s="94">
        <v>120000</v>
      </c>
      <c r="H35" s="94">
        <v>130000</v>
      </c>
      <c r="I35" s="94">
        <v>140000</v>
      </c>
      <c r="J35" s="94">
        <v>150000</v>
      </c>
      <c r="M35" s="156">
        <v>0.05</v>
      </c>
      <c r="N35" s="45" t="s">
        <v>396</v>
      </c>
    </row>
    <row r="36" spans="1:16">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c r="A37" s="303" t="str">
        <f>Overview!$A24</f>
        <v>Knight</v>
      </c>
      <c r="B37" s="45">
        <v>0</v>
      </c>
      <c r="D37" s="45" t="s">
        <v>7</v>
      </c>
      <c r="E37" s="94">
        <v>15000</v>
      </c>
      <c r="F37" s="94">
        <v>15450</v>
      </c>
      <c r="G37" s="94">
        <v>15900</v>
      </c>
      <c r="H37" s="94">
        <v>16350</v>
      </c>
      <c r="I37" s="94">
        <v>16800</v>
      </c>
      <c r="J37" s="94">
        <v>17250</v>
      </c>
      <c r="M37" s="45">
        <v>-1</v>
      </c>
      <c r="N37" s="45" t="s">
        <v>398</v>
      </c>
    </row>
    <row r="38" spans="1:16">
      <c r="A38" s="303" t="str">
        <f>Overview!$A25</f>
        <v>Cavalry</v>
      </c>
      <c r="B38" s="45">
        <v>0</v>
      </c>
      <c r="M38" s="156">
        <v>-0.1</v>
      </c>
      <c r="N38" s="45" t="s">
        <v>397</v>
      </c>
      <c r="O38" s="45">
        <v>-2</v>
      </c>
      <c r="P38" s="45" t="s">
        <v>398</v>
      </c>
    </row>
    <row r="39" spans="1:16">
      <c r="A39" s="303" t="s">
        <v>25</v>
      </c>
      <c r="B39" s="45">
        <v>0</v>
      </c>
      <c r="D39" s="45" t="s">
        <v>368</v>
      </c>
      <c r="E39" s="94">
        <v>1</v>
      </c>
      <c r="F39" s="45">
        <v>2</v>
      </c>
      <c r="G39" s="45">
        <v>3</v>
      </c>
      <c r="H39" s="45">
        <v>4</v>
      </c>
      <c r="I39" s="45">
        <v>5</v>
      </c>
      <c r="J39" s="45">
        <v>6</v>
      </c>
      <c r="L39" s="45" t="s">
        <v>277</v>
      </c>
      <c r="M39" s="156">
        <v>-0.1</v>
      </c>
      <c r="N39" s="45" t="s">
        <v>399</v>
      </c>
    </row>
    <row r="40" spans="1:16">
      <c r="A40" s="303" t="s">
        <v>1079</v>
      </c>
      <c r="B40" s="45">
        <v>0</v>
      </c>
      <c r="D40" s="45" t="s">
        <v>21</v>
      </c>
      <c r="E40" s="45">
        <v>1200</v>
      </c>
      <c r="F40" s="45">
        <v>1325</v>
      </c>
      <c r="G40" s="45">
        <v>1450</v>
      </c>
      <c r="H40" s="45">
        <v>1575</v>
      </c>
      <c r="I40" s="45">
        <v>1700</v>
      </c>
      <c r="J40" s="45">
        <v>1825</v>
      </c>
      <c r="M40" s="156">
        <v>-0.1</v>
      </c>
      <c r="N40" s="45" t="s">
        <v>400</v>
      </c>
    </row>
    <row r="41" spans="1:16">
      <c r="A41" s="303" t="s">
        <v>26</v>
      </c>
      <c r="B41" s="45">
        <v>0</v>
      </c>
      <c r="D41" s="45" t="s">
        <v>2</v>
      </c>
      <c r="E41" s="45">
        <v>100000</v>
      </c>
      <c r="F41" s="45">
        <v>104750</v>
      </c>
      <c r="G41" s="45">
        <v>109500</v>
      </c>
      <c r="H41" s="45">
        <v>114250</v>
      </c>
      <c r="I41" s="45">
        <v>119000</v>
      </c>
      <c r="J41" s="45">
        <v>123750</v>
      </c>
      <c r="M41" s="156">
        <v>0.02</v>
      </c>
      <c r="N41" s="45" t="s">
        <v>401</v>
      </c>
    </row>
    <row r="42" spans="1:16">
      <c r="A42" s="303" t="s">
        <v>27</v>
      </c>
      <c r="B42" s="45">
        <v>0</v>
      </c>
      <c r="D42" s="45" t="s">
        <v>5</v>
      </c>
      <c r="E42" s="45">
        <v>15000</v>
      </c>
      <c r="F42" s="45">
        <v>16000</v>
      </c>
      <c r="G42" s="45">
        <v>17000</v>
      </c>
      <c r="H42" s="45">
        <v>18000</v>
      </c>
      <c r="I42" s="45">
        <v>19000</v>
      </c>
      <c r="J42" s="45">
        <v>20000</v>
      </c>
      <c r="L42" s="45" t="s">
        <v>22</v>
      </c>
      <c r="M42" s="156">
        <v>-0.1</v>
      </c>
      <c r="N42" s="45" t="s">
        <v>402</v>
      </c>
    </row>
    <row r="43" spans="1:16">
      <c r="D43" s="45" t="s">
        <v>7</v>
      </c>
      <c r="E43" s="45">
        <v>15000</v>
      </c>
      <c r="F43" s="45">
        <v>15450</v>
      </c>
      <c r="G43" s="45">
        <v>15900</v>
      </c>
      <c r="H43" s="45">
        <v>16350</v>
      </c>
      <c r="I43" s="45">
        <v>16800</v>
      </c>
      <c r="J43" s="45">
        <v>17250</v>
      </c>
      <c r="M43" s="156">
        <v>-0.1</v>
      </c>
      <c r="N43" s="45" t="s">
        <v>403</v>
      </c>
    </row>
    <row r="44" spans="1:16">
      <c r="A44" s="302" t="s">
        <v>78</v>
      </c>
      <c r="C44" s="94"/>
      <c r="M44" s="156">
        <v>0.05</v>
      </c>
      <c r="N44" s="45" t="s">
        <v>292</v>
      </c>
    </row>
    <row r="45" spans="1:16">
      <c r="A45" s="303" t="s">
        <v>2</v>
      </c>
      <c r="B45" s="94">
        <v>50000</v>
      </c>
      <c r="C45" s="94"/>
      <c r="D45" s="45" t="s">
        <v>439</v>
      </c>
      <c r="L45" s="45" t="s">
        <v>73</v>
      </c>
      <c r="M45" s="156">
        <v>-0.1</v>
      </c>
      <c r="N45" s="45" t="s">
        <v>404</v>
      </c>
    </row>
    <row r="46" spans="1:16">
      <c r="A46" s="303" t="s">
        <v>5</v>
      </c>
      <c r="B46" s="94">
        <f>HLOOKUP(1,E33:J37,4)</f>
        <v>15000</v>
      </c>
      <c r="C46" s="94"/>
      <c r="D46" s="45" t="s">
        <v>21</v>
      </c>
      <c r="E46" s="45">
        <v>100</v>
      </c>
      <c r="M46" s="156">
        <v>-0.2</v>
      </c>
      <c r="N46" s="45" t="s">
        <v>405</v>
      </c>
    </row>
    <row r="47" spans="1:16">
      <c r="A47" s="303" t="s">
        <v>81</v>
      </c>
      <c r="B47" s="94">
        <f>HLOOKUP(1,E33:J37,5)</f>
        <v>15000</v>
      </c>
      <c r="C47" s="94"/>
      <c r="D47" s="45" t="s">
        <v>2</v>
      </c>
      <c r="E47" s="45">
        <v>5000</v>
      </c>
      <c r="M47" s="45">
        <v>1</v>
      </c>
      <c r="N47" s="45" t="s">
        <v>406</v>
      </c>
    </row>
    <row r="48" spans="1:16">
      <c r="A48" s="303" t="s">
        <v>12</v>
      </c>
      <c r="B48" s="94">
        <v>0</v>
      </c>
      <c r="C48" s="94"/>
      <c r="D48" s="45" t="s">
        <v>5</v>
      </c>
      <c r="E48" s="45">
        <v>1500</v>
      </c>
      <c r="L48" s="45" t="s">
        <v>181</v>
      </c>
      <c r="M48" s="156">
        <v>-0.1</v>
      </c>
      <c r="N48" s="45" t="s">
        <v>407</v>
      </c>
    </row>
    <row r="49" spans="1:21">
      <c r="A49" s="303" t="s">
        <v>3</v>
      </c>
      <c r="B49" s="94">
        <v>0</v>
      </c>
      <c r="C49" s="94"/>
      <c r="D49" s="45" t="s">
        <v>7</v>
      </c>
      <c r="E49" s="45">
        <v>2500</v>
      </c>
      <c r="M49" s="156">
        <v>-0.2</v>
      </c>
      <c r="N49" s="45" t="s">
        <v>408</v>
      </c>
    </row>
    <row r="50" spans="1:21">
      <c r="A50" s="303" t="s">
        <v>4</v>
      </c>
      <c r="B50" s="94">
        <v>0</v>
      </c>
      <c r="C50" s="94"/>
      <c r="D50" s="45" t="s">
        <v>3</v>
      </c>
      <c r="E50" s="45">
        <v>2500</v>
      </c>
      <c r="M50" s="45">
        <v>1</v>
      </c>
      <c r="N50" s="45" t="s">
        <v>409</v>
      </c>
    </row>
    <row r="51" spans="1:21">
      <c r="A51" s="303" t="s">
        <v>82</v>
      </c>
      <c r="B51" s="94">
        <v>0</v>
      </c>
      <c r="D51" s="45" t="s">
        <v>12</v>
      </c>
      <c r="E51" s="45">
        <v>1000</v>
      </c>
      <c r="L51" s="45" t="s">
        <v>384</v>
      </c>
      <c r="M51" s="156">
        <v>-0.1</v>
      </c>
      <c r="N51" s="45" t="s">
        <v>410</v>
      </c>
    </row>
    <row r="52" spans="1:21">
      <c r="D52" s="45" t="s">
        <v>440</v>
      </c>
      <c r="E52" s="45">
        <v>30</v>
      </c>
      <c r="L52" s="45" t="s">
        <v>385</v>
      </c>
      <c r="M52" s="156">
        <v>0.2</v>
      </c>
      <c r="N52" s="45" t="s">
        <v>411</v>
      </c>
      <c r="O52" s="156">
        <v>0.1</v>
      </c>
      <c r="P52" s="45" t="s">
        <v>395</v>
      </c>
    </row>
    <row r="53" spans="1:21">
      <c r="A53" s="302" t="s">
        <v>86</v>
      </c>
      <c r="D53" s="45" t="s">
        <v>441</v>
      </c>
      <c r="E53" s="45">
        <v>30</v>
      </c>
      <c r="L53" s="45" t="s">
        <v>386</v>
      </c>
      <c r="M53" s="157">
        <v>0.06</v>
      </c>
      <c r="N53" s="45" t="s">
        <v>401</v>
      </c>
    </row>
    <row r="54" spans="1:21">
      <c r="A54" s="303" t="s">
        <v>21</v>
      </c>
      <c r="B54" s="316">
        <v>0.03</v>
      </c>
      <c r="L54" s="45" t="s">
        <v>387</v>
      </c>
      <c r="M54" s="118">
        <v>0.125</v>
      </c>
      <c r="N54" s="45" t="s">
        <v>396</v>
      </c>
    </row>
    <row r="55" spans="1:21">
      <c r="A55" s="303" t="s">
        <v>24</v>
      </c>
      <c r="B55" s="316">
        <v>0.01</v>
      </c>
      <c r="L55" s="45" t="s">
        <v>388</v>
      </c>
      <c r="M55" s="156">
        <v>-0.3</v>
      </c>
      <c r="N55" s="45" t="s">
        <v>412</v>
      </c>
    </row>
    <row r="56" spans="1:21">
      <c r="A56" s="303" t="s">
        <v>14</v>
      </c>
      <c r="B56" s="316">
        <v>0.01</v>
      </c>
      <c r="L56" s="45" t="s">
        <v>389</v>
      </c>
      <c r="M56" s="156">
        <v>-0.2</v>
      </c>
      <c r="N56" s="45" t="s">
        <v>397</v>
      </c>
      <c r="O56" s="156">
        <v>0.15</v>
      </c>
      <c r="P56" s="45" t="s">
        <v>413</v>
      </c>
    </row>
    <row r="57" spans="1:21">
      <c r="A57" s="303" t="s">
        <v>16</v>
      </c>
      <c r="B57" s="316">
        <v>0.01</v>
      </c>
      <c r="L57" s="45" t="s">
        <v>390</v>
      </c>
      <c r="M57" s="156">
        <v>-0.25</v>
      </c>
      <c r="N57" s="45" t="s">
        <v>414</v>
      </c>
    </row>
    <row r="58" spans="1:21">
      <c r="A58" s="303" t="s">
        <v>15</v>
      </c>
      <c r="B58" s="316">
        <v>0.02</v>
      </c>
      <c r="L58" s="45" t="s">
        <v>391</v>
      </c>
      <c r="M58" s="156">
        <v>0.1</v>
      </c>
      <c r="N58" s="45" t="s">
        <v>292</v>
      </c>
      <c r="O58" s="156">
        <v>0.15</v>
      </c>
      <c r="P58" s="45" t="s">
        <v>415</v>
      </c>
    </row>
    <row r="59" spans="1:21">
      <c r="L59" s="45" t="s">
        <v>392</v>
      </c>
      <c r="M59" s="45">
        <v>3</v>
      </c>
      <c r="N59" s="45" t="s">
        <v>416</v>
      </c>
    </row>
    <row r="60" spans="1:21">
      <c r="A60" s="303" t="s">
        <v>87</v>
      </c>
      <c r="B60" s="45">
        <v>0.25</v>
      </c>
      <c r="C60" s="45" t="s">
        <v>88</v>
      </c>
      <c r="U60" s="157"/>
    </row>
    <row r="61" spans="1:21">
      <c r="A61" s="303" t="s">
        <v>165</v>
      </c>
      <c r="B61" s="45">
        <v>2.7</v>
      </c>
      <c r="C61" s="45" t="s">
        <v>166</v>
      </c>
      <c r="T61" s="108"/>
      <c r="U61" s="157"/>
    </row>
    <row r="62" spans="1:21">
      <c r="L62" s="45" t="s">
        <v>33</v>
      </c>
      <c r="M62" s="45">
        <v>6.4</v>
      </c>
      <c r="N62" s="45" t="s">
        <v>469</v>
      </c>
      <c r="U62" s="157"/>
    </row>
    <row r="63" spans="1:21">
      <c r="A63" s="302" t="s">
        <v>168</v>
      </c>
    </row>
    <row r="64" spans="1:21">
      <c r="A64" s="303" t="s">
        <v>343</v>
      </c>
      <c r="B64" s="45">
        <v>36</v>
      </c>
      <c r="C64" s="45" t="s">
        <v>344</v>
      </c>
      <c r="D64" s="45" t="s">
        <v>345</v>
      </c>
      <c r="L64" s="45" t="s">
        <v>468</v>
      </c>
      <c r="M64" s="45">
        <v>3780</v>
      </c>
      <c r="U64" s="156"/>
    </row>
    <row r="65" spans="1:21">
      <c r="A65" s="303" t="s">
        <v>170</v>
      </c>
      <c r="B65" s="45">
        <v>30</v>
      </c>
      <c r="C65" s="45" t="s">
        <v>268</v>
      </c>
    </row>
    <row r="66" spans="1:21">
      <c r="A66" s="303" t="s">
        <v>475</v>
      </c>
      <c r="B66" s="45">
        <v>15</v>
      </c>
      <c r="C66" s="45" t="s">
        <v>268</v>
      </c>
      <c r="L66" s="5" t="s">
        <v>625</v>
      </c>
      <c r="U66" s="156"/>
    </row>
    <row r="67" spans="1:21">
      <c r="A67" s="303" t="s">
        <v>347</v>
      </c>
      <c r="B67" s="45">
        <v>15</v>
      </c>
      <c r="C67" s="45" t="s">
        <v>268</v>
      </c>
      <c r="L67" s="108" t="s">
        <v>536</v>
      </c>
      <c r="M67" s="407">
        <v>2.5000000000000001E-2</v>
      </c>
      <c r="N67" s="45" t="s">
        <v>630</v>
      </c>
      <c r="S67" s="45" t="s">
        <v>678</v>
      </c>
      <c r="U67" s="156"/>
    </row>
    <row r="68" spans="1:21">
      <c r="A68" s="303" t="s">
        <v>169</v>
      </c>
      <c r="B68" s="45">
        <v>15</v>
      </c>
      <c r="C68" s="45" t="str">
        <f>C65</f>
        <v>peasants</v>
      </c>
      <c r="L68" s="108" t="s">
        <v>538</v>
      </c>
      <c r="M68" s="407">
        <v>0.05</v>
      </c>
      <c r="N68" s="45" t="s">
        <v>631</v>
      </c>
      <c r="S68" s="45" t="s">
        <v>679</v>
      </c>
    </row>
    <row r="69" spans="1:21">
      <c r="A69" s="303" t="s">
        <v>269</v>
      </c>
      <c r="B69" s="45">
        <f>IF(OR(Overview!$B$14="Halfling",Overview!$B$14="Dwarf",Overview!$B$14="Gnome"),10,IF(race="Nomad",25,5))</f>
        <v>5</v>
      </c>
      <c r="L69" s="45" t="s">
        <v>539</v>
      </c>
      <c r="M69" s="2">
        <v>0.05</v>
      </c>
      <c r="N69" s="45" t="s">
        <v>632</v>
      </c>
      <c r="S69" s="45" t="s">
        <v>680</v>
      </c>
    </row>
    <row r="70" spans="1:21">
      <c r="L70" s="45" t="s">
        <v>541</v>
      </c>
      <c r="M70" s="407">
        <v>7.4999999999999997E-2</v>
      </c>
      <c r="N70" s="45" t="s">
        <v>630</v>
      </c>
      <c r="S70" s="45" t="s">
        <v>681</v>
      </c>
      <c r="T70" s="108"/>
      <c r="U70" s="157"/>
    </row>
    <row r="71" spans="1:21">
      <c r="A71" s="317" t="s">
        <v>270</v>
      </c>
      <c r="L71" s="45" t="s">
        <v>543</v>
      </c>
      <c r="M71" s="407">
        <v>0.02</v>
      </c>
      <c r="N71" s="45" t="s">
        <v>633</v>
      </c>
      <c r="S71" s="45" t="s">
        <v>682</v>
      </c>
      <c r="U71" s="157"/>
    </row>
    <row r="72" spans="1:21">
      <c r="A72" s="303" t="str">
        <f>CONCATENATE("Your race is ",Overview!B14)</f>
        <v>Your race is Human</v>
      </c>
      <c r="L72" s="45" t="s">
        <v>544</v>
      </c>
      <c r="M72" s="2">
        <v>0.05</v>
      </c>
      <c r="N72" s="45" t="s">
        <v>667</v>
      </c>
      <c r="S72" s="108" t="s">
        <v>693</v>
      </c>
      <c r="T72" s="108"/>
      <c r="U72" s="156"/>
    </row>
    <row r="73" spans="1:21">
      <c r="L73" s="45" t="s">
        <v>545</v>
      </c>
      <c r="M73" s="2">
        <v>0.1</v>
      </c>
      <c r="N73" s="45" t="s">
        <v>747</v>
      </c>
      <c r="S73" s="108" t="s">
        <v>721</v>
      </c>
      <c r="T73" s="108"/>
      <c r="U73" s="156"/>
    </row>
    <row r="74" spans="1:21">
      <c r="A74" s="302" t="s">
        <v>201</v>
      </c>
      <c r="B74" s="45" t="s">
        <v>271</v>
      </c>
      <c r="F74" s="45" t="s">
        <v>206</v>
      </c>
      <c r="L74" s="45" t="s">
        <v>546</v>
      </c>
      <c r="M74" s="2">
        <v>-0.1</v>
      </c>
      <c r="N74" s="45" t="s">
        <v>665</v>
      </c>
      <c r="O74" s="45" t="s">
        <v>636</v>
      </c>
      <c r="S74" s="108" t="s">
        <v>685</v>
      </c>
      <c r="T74" s="108"/>
      <c r="U74" s="156"/>
    </row>
    <row r="75" spans="1:21">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c r="A76" s="303" t="s">
        <v>197</v>
      </c>
      <c r="B76" s="45">
        <v>2</v>
      </c>
      <c r="C76" s="45" t="s">
        <v>202</v>
      </c>
      <c r="D76" s="316"/>
      <c r="F76" s="316">
        <v>0.1</v>
      </c>
      <c r="G76" s="45" t="s">
        <v>110</v>
      </c>
      <c r="L76" s="45" t="s">
        <v>549</v>
      </c>
      <c r="M76" s="407">
        <v>-2.5000000000000001E-2</v>
      </c>
      <c r="N76" s="45" t="s">
        <v>637</v>
      </c>
      <c r="S76" s="108" t="s">
        <v>686</v>
      </c>
      <c r="T76" s="108"/>
      <c r="U76" s="156"/>
    </row>
    <row r="77" spans="1:21">
      <c r="A77" s="303" t="s">
        <v>203</v>
      </c>
      <c r="B77" s="45">
        <v>2.5</v>
      </c>
      <c r="C77" s="45" t="s">
        <v>202</v>
      </c>
      <c r="D77" s="316"/>
      <c r="F77" s="316">
        <v>0.1</v>
      </c>
      <c r="G77" s="45" t="s">
        <v>32</v>
      </c>
      <c r="L77" s="45" t="s">
        <v>551</v>
      </c>
      <c r="M77" s="2">
        <v>-0.1</v>
      </c>
      <c r="N77" s="45" t="s">
        <v>748</v>
      </c>
      <c r="S77" s="108" t="s">
        <v>1054</v>
      </c>
      <c r="T77" s="108"/>
    </row>
    <row r="78" spans="1:21">
      <c r="A78" s="303" t="s">
        <v>200</v>
      </c>
      <c r="B78" s="45">
        <v>2.5</v>
      </c>
      <c r="C78" s="45" t="s">
        <v>202</v>
      </c>
      <c r="D78" s="316"/>
      <c r="F78" s="316">
        <v>0.5</v>
      </c>
      <c r="G78" s="45" t="s">
        <v>207</v>
      </c>
      <c r="M78"/>
      <c r="S78" s="108"/>
      <c r="T78" s="108"/>
    </row>
    <row r="79" spans="1:21">
      <c r="A79" s="303" t="s">
        <v>204</v>
      </c>
      <c r="B79" s="45">
        <v>2.5</v>
      </c>
      <c r="C79" s="45" t="s">
        <v>202</v>
      </c>
      <c r="D79" s="316"/>
      <c r="F79" s="316">
        <v>0.1</v>
      </c>
      <c r="G79" s="45" t="s">
        <v>106</v>
      </c>
      <c r="L79" s="45" t="s">
        <v>552</v>
      </c>
      <c r="M79" s="407">
        <v>-0.1</v>
      </c>
      <c r="N79" s="45" t="s">
        <v>639</v>
      </c>
      <c r="S79" s="108" t="s">
        <v>688</v>
      </c>
      <c r="T79" s="108"/>
      <c r="U79" s="157"/>
    </row>
    <row r="80" spans="1:21">
      <c r="A80" s="303" t="s">
        <v>528</v>
      </c>
      <c r="B80" s="45">
        <v>5</v>
      </c>
      <c r="C80" s="45" t="s">
        <v>202</v>
      </c>
      <c r="D80" s="316"/>
      <c r="F80" s="316">
        <v>0.2</v>
      </c>
      <c r="G80" s="45" t="s">
        <v>110</v>
      </c>
      <c r="H80" s="45" t="s">
        <v>246</v>
      </c>
      <c r="L80" s="45" t="s">
        <v>553</v>
      </c>
      <c r="M80" s="2">
        <v>0.15</v>
      </c>
      <c r="N80" s="45" t="s">
        <v>640</v>
      </c>
      <c r="S80" s="108" t="s">
        <v>689</v>
      </c>
      <c r="T80" s="108"/>
      <c r="U80" s="156"/>
    </row>
    <row r="81" spans="1:23">
      <c r="A81" s="303" t="s">
        <v>529</v>
      </c>
      <c r="B81" s="45">
        <v>5</v>
      </c>
      <c r="C81" s="45" t="s">
        <v>202</v>
      </c>
      <c r="D81" s="316"/>
      <c r="F81" s="316">
        <v>0.3</v>
      </c>
      <c r="G81" s="45" t="s">
        <v>530</v>
      </c>
      <c r="L81" s="45" t="s">
        <v>554</v>
      </c>
      <c r="M81" s="2">
        <v>-0.1</v>
      </c>
      <c r="N81" s="45" t="s">
        <v>641</v>
      </c>
      <c r="S81" s="108" t="s">
        <v>690</v>
      </c>
      <c r="T81" s="108"/>
      <c r="U81" s="156"/>
    </row>
    <row r="82" spans="1:23">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c r="A89" s="303" t="s">
        <v>1069</v>
      </c>
      <c r="B89" s="45">
        <v>5</v>
      </c>
      <c r="C89" s="45" t="str">
        <f t="shared" si="0"/>
        <v>* Landsize</v>
      </c>
      <c r="D89" s="118">
        <v>0.01</v>
      </c>
      <c r="E89" s="45" t="s">
        <v>357</v>
      </c>
      <c r="F89" s="156">
        <v>0.1</v>
      </c>
      <c r="G89" s="45" t="s">
        <v>1071</v>
      </c>
      <c r="M89"/>
      <c r="S89" s="108"/>
      <c r="T89" s="108"/>
    </row>
    <row r="90" spans="1:23">
      <c r="A90" s="303" t="s">
        <v>1076</v>
      </c>
      <c r="B90" s="45">
        <v>5</v>
      </c>
      <c r="C90" s="45" t="str">
        <f t="shared" si="0"/>
        <v>* Landsize</v>
      </c>
      <c r="F90" s="156">
        <v>0.15</v>
      </c>
      <c r="G90" s="45" t="s">
        <v>106</v>
      </c>
      <c r="L90" s="45" t="s">
        <v>566</v>
      </c>
      <c r="M90" s="2">
        <v>0.05</v>
      </c>
      <c r="N90" s="45" t="s">
        <v>644</v>
      </c>
      <c r="S90" s="108" t="s">
        <v>698</v>
      </c>
      <c r="T90" s="108"/>
    </row>
    <row r="91" spans="1:23">
      <c r="A91" s="303" t="s">
        <v>1136</v>
      </c>
      <c r="B91" s="45">
        <v>5</v>
      </c>
      <c r="C91" s="45" t="str">
        <f t="shared" si="0"/>
        <v>* Landsize</v>
      </c>
      <c r="F91" s="156">
        <v>-0.05</v>
      </c>
      <c r="G91" s="45" t="s">
        <v>106</v>
      </c>
      <c r="L91" s="45" t="s">
        <v>568</v>
      </c>
      <c r="M91" s="407">
        <v>2.5000000000000001E-2</v>
      </c>
      <c r="N91" s="45" t="s">
        <v>646</v>
      </c>
      <c r="S91" s="108" t="s">
        <v>699</v>
      </c>
      <c r="T91" s="108"/>
      <c r="U91" s="157"/>
    </row>
    <row r="92" spans="1:23">
      <c r="F92" s="156">
        <v>0.05</v>
      </c>
      <c r="G92" s="45" t="s">
        <v>1138</v>
      </c>
      <c r="L92" s="45" t="s">
        <v>570</v>
      </c>
      <c r="M92" s="407">
        <v>7.4999999999999997E-2</v>
      </c>
      <c r="N92" s="45" t="s">
        <v>647</v>
      </c>
      <c r="O92" s="118">
        <v>0.25</v>
      </c>
      <c r="P92" s="45" t="s">
        <v>648</v>
      </c>
      <c r="S92" s="108" t="s">
        <v>700</v>
      </c>
      <c r="T92" s="108"/>
      <c r="U92" s="157"/>
      <c r="W92" s="156"/>
    </row>
    <row r="93" spans="1:23">
      <c r="F93" s="45">
        <v>0.75</v>
      </c>
      <c r="G93" s="45" t="s">
        <v>1139</v>
      </c>
      <c r="L93" s="45" t="s">
        <v>571</v>
      </c>
      <c r="M93" s="407">
        <v>0.1</v>
      </c>
      <c r="N93" s="45" t="s">
        <v>631</v>
      </c>
      <c r="O93" s="156">
        <v>0.05</v>
      </c>
      <c r="P93" s="45" t="s">
        <v>649</v>
      </c>
      <c r="S93" s="108" t="s">
        <v>701</v>
      </c>
      <c r="T93" s="108"/>
      <c r="U93" s="157"/>
      <c r="W93" s="156"/>
    </row>
    <row r="94" spans="1:23">
      <c r="L94" s="45" t="s">
        <v>572</v>
      </c>
      <c r="M94" s="407">
        <v>-1.7500000000000002E-2</v>
      </c>
      <c r="N94" s="45" t="s">
        <v>634</v>
      </c>
      <c r="S94" s="108" t="s">
        <v>683</v>
      </c>
      <c r="T94" s="108"/>
    </row>
    <row r="95" spans="1:23">
      <c r="A95" s="302" t="s">
        <v>82</v>
      </c>
      <c r="L95" s="45" t="s">
        <v>573</v>
      </c>
      <c r="M95" s="407">
        <v>1.4999999999999999E-2</v>
      </c>
      <c r="N95" s="45" t="s">
        <v>645</v>
      </c>
      <c r="S95" s="108" t="s">
        <v>694</v>
      </c>
      <c r="T95" s="108"/>
      <c r="U95" s="156"/>
    </row>
    <row r="96" spans="1:23">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c r="L97" s="45" t="s">
        <v>575</v>
      </c>
      <c r="M97" s="2">
        <v>0.15</v>
      </c>
      <c r="N97" s="45" t="s">
        <v>1123</v>
      </c>
      <c r="S97" s="108" t="s">
        <v>1121</v>
      </c>
      <c r="T97" s="108"/>
      <c r="U97" s="156"/>
    </row>
    <row r="98" spans="1:23">
      <c r="A98" s="302" t="s">
        <v>350</v>
      </c>
      <c r="L98" s="45" t="s">
        <v>576</v>
      </c>
      <c r="M98" s="2">
        <v>-0.1</v>
      </c>
      <c r="N98" s="45" t="s">
        <v>638</v>
      </c>
      <c r="S98" s="108" t="s">
        <v>687</v>
      </c>
      <c r="T98" s="108"/>
      <c r="U98" s="156"/>
      <c r="W98" s="156"/>
    </row>
    <row r="99" spans="1:23">
      <c r="A99" s="303" t="s">
        <v>502</v>
      </c>
      <c r="B99" s="45">
        <v>250</v>
      </c>
      <c r="M99"/>
      <c r="S99" s="108"/>
      <c r="T99" s="108"/>
    </row>
    <row r="100" spans="1:23">
      <c r="A100" s="303" t="s">
        <v>503</v>
      </c>
      <c r="B100" s="156">
        <v>0.01</v>
      </c>
      <c r="L100" s="45" t="s">
        <v>578</v>
      </c>
      <c r="M100" s="407">
        <v>0.125</v>
      </c>
      <c r="N100" s="45" t="s">
        <v>651</v>
      </c>
      <c r="S100" s="108" t="s">
        <v>704</v>
      </c>
      <c r="T100" s="108"/>
      <c r="U100" s="157"/>
    </row>
    <row r="101" spans="1:23">
      <c r="A101" s="303" t="s">
        <v>504</v>
      </c>
      <c r="B101" s="156">
        <v>0.01</v>
      </c>
      <c r="L101" s="45" t="s">
        <v>579</v>
      </c>
      <c r="M101"/>
      <c r="N101" s="45" t="s">
        <v>626</v>
      </c>
      <c r="S101" s="108" t="s">
        <v>705</v>
      </c>
      <c r="T101" s="108"/>
    </row>
    <row r="102" spans="1:23">
      <c r="A102" s="303" t="s">
        <v>505</v>
      </c>
      <c r="B102" s="156">
        <v>0.01</v>
      </c>
      <c r="L102" s="45" t="s">
        <v>580</v>
      </c>
      <c r="M102" s="407">
        <v>2.5000000000000001E-2</v>
      </c>
      <c r="N102" s="45" t="s">
        <v>646</v>
      </c>
      <c r="O102" s="157">
        <v>7.4999999999999997E-2</v>
      </c>
      <c r="P102" s="45" t="s">
        <v>644</v>
      </c>
      <c r="S102" s="108" t="s">
        <v>706</v>
      </c>
      <c r="T102" s="108"/>
      <c r="U102" s="157"/>
      <c r="W102" s="157"/>
    </row>
    <row r="103" spans="1:23">
      <c r="L103" s="45" t="s">
        <v>581</v>
      </c>
      <c r="M103" s="2">
        <v>0.04</v>
      </c>
      <c r="N103" s="45" t="s">
        <v>633</v>
      </c>
      <c r="S103" s="108" t="s">
        <v>707</v>
      </c>
      <c r="T103" s="108"/>
      <c r="U103" s="156"/>
    </row>
    <row r="104" spans="1:23">
      <c r="A104" s="302" t="s">
        <v>455</v>
      </c>
      <c r="L104" s="45" t="s">
        <v>582</v>
      </c>
      <c r="M104">
        <v>2</v>
      </c>
      <c r="N104" s="45" t="s">
        <v>1086</v>
      </c>
      <c r="S104" s="108" t="s">
        <v>1053</v>
      </c>
      <c r="T104" s="108"/>
      <c r="U104" s="156"/>
    </row>
    <row r="105" spans="1:23">
      <c r="L105" s="45" t="s">
        <v>583</v>
      </c>
      <c r="M105" s="407">
        <v>-0.1</v>
      </c>
      <c r="N105" s="45" t="s">
        <v>641</v>
      </c>
      <c r="S105" s="108" t="s">
        <v>709</v>
      </c>
      <c r="T105" s="108"/>
      <c r="U105" s="156"/>
    </row>
    <row r="106" spans="1:23">
      <c r="A106" s="303" t="s">
        <v>456</v>
      </c>
      <c r="B106" s="45" t="s">
        <v>210</v>
      </c>
      <c r="D106" s="316">
        <v>0.3</v>
      </c>
      <c r="E106" s="45" t="s">
        <v>435</v>
      </c>
      <c r="L106" s="45" t="s">
        <v>585</v>
      </c>
      <c r="M106">
        <v>-1</v>
      </c>
      <c r="N106" s="45" t="s">
        <v>750</v>
      </c>
      <c r="S106" s="108" t="s">
        <v>1055</v>
      </c>
      <c r="T106" s="108"/>
      <c r="U106" s="157"/>
    </row>
    <row r="107" spans="1:23">
      <c r="B107" s="45" t="s">
        <v>208</v>
      </c>
      <c r="D107" s="316">
        <v>0.2</v>
      </c>
      <c r="E107" s="45" t="s">
        <v>435</v>
      </c>
      <c r="L107" s="45" t="s">
        <v>586</v>
      </c>
      <c r="M107" s="2">
        <v>-0.2</v>
      </c>
      <c r="N107" s="45" t="s">
        <v>652</v>
      </c>
      <c r="S107" s="108" t="s">
        <v>708</v>
      </c>
      <c r="T107" s="108"/>
    </row>
    <row r="108" spans="1:23">
      <c r="B108" s="45" t="s">
        <v>457</v>
      </c>
      <c r="D108" s="316">
        <v>0.3</v>
      </c>
      <c r="E108" s="45" t="s">
        <v>435</v>
      </c>
      <c r="M108"/>
    </row>
    <row r="109" spans="1:23">
      <c r="B109" s="45" t="s">
        <v>458</v>
      </c>
      <c r="D109" s="316">
        <v>0.6</v>
      </c>
      <c r="E109" s="45" t="s">
        <v>435</v>
      </c>
      <c r="L109" s="45" t="s">
        <v>587</v>
      </c>
      <c r="M109" s="407">
        <v>2.5000000000000001E-2</v>
      </c>
      <c r="N109" s="45" t="s">
        <v>1059</v>
      </c>
      <c r="O109" s="45" t="s">
        <v>654</v>
      </c>
      <c r="S109" s="108" t="s">
        <v>712</v>
      </c>
      <c r="T109" s="108"/>
      <c r="U109" s="156"/>
      <c r="W109" s="156"/>
    </row>
    <row r="110" spans="1:23">
      <c r="L110" s="45" t="s">
        <v>588</v>
      </c>
      <c r="M110" s="2">
        <v>-0.2</v>
      </c>
      <c r="N110" s="45" t="s">
        <v>670</v>
      </c>
      <c r="O110" s="156">
        <v>-0.2</v>
      </c>
      <c r="P110" s="45" t="s">
        <v>653</v>
      </c>
      <c r="Q110" s="5"/>
      <c r="R110" s="5"/>
      <c r="S110" s="108" t="s">
        <v>711</v>
      </c>
      <c r="T110" s="108"/>
    </row>
    <row r="111" spans="1:23">
      <c r="A111" s="303" t="s">
        <v>459</v>
      </c>
      <c r="B111" s="45" t="s">
        <v>210</v>
      </c>
      <c r="D111" s="45">
        <v>4000</v>
      </c>
      <c r="E111" s="45" t="s">
        <v>506</v>
      </c>
      <c r="L111" s="45" t="s">
        <v>589</v>
      </c>
      <c r="M111" s="407">
        <v>-1.7500000000000002E-2</v>
      </c>
      <c r="N111" s="45" t="s">
        <v>634</v>
      </c>
      <c r="S111" s="108" t="s">
        <v>713</v>
      </c>
      <c r="T111" s="108"/>
      <c r="U111" s="156"/>
    </row>
    <row r="112" spans="1:23">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c r="B113" s="45" t="s">
        <v>457</v>
      </c>
      <c r="D113" s="45">
        <v>7500</v>
      </c>
      <c r="E113" s="45" t="s">
        <v>506</v>
      </c>
      <c r="L113" s="45" t="s">
        <v>591</v>
      </c>
      <c r="M113" s="407">
        <v>-1.7500000000000002E-2</v>
      </c>
      <c r="N113" s="45" t="s">
        <v>634</v>
      </c>
      <c r="S113" s="108" t="s">
        <v>715</v>
      </c>
      <c r="T113" s="108"/>
      <c r="U113" s="156"/>
    </row>
    <row r="114" spans="1:23">
      <c r="B114" s="45" t="s">
        <v>526</v>
      </c>
      <c r="D114" s="45">
        <v>5000</v>
      </c>
      <c r="E114" s="45" t="s">
        <v>506</v>
      </c>
      <c r="L114" s="45" t="s">
        <v>592</v>
      </c>
      <c r="M114">
        <v>1</v>
      </c>
      <c r="N114" s="45" t="s">
        <v>668</v>
      </c>
      <c r="S114" s="108" t="s">
        <v>392</v>
      </c>
      <c r="T114" s="108"/>
      <c r="U114" s="156"/>
      <c r="W114" s="156"/>
    </row>
    <row r="115" spans="1:23">
      <c r="B115" s="45" t="s">
        <v>211</v>
      </c>
      <c r="D115" s="45">
        <v>5000</v>
      </c>
      <c r="E115" s="45" t="s">
        <v>506</v>
      </c>
      <c r="L115" s="45" t="s">
        <v>593</v>
      </c>
      <c r="M115" s="2">
        <v>-0.01</v>
      </c>
      <c r="N115" s="45" t="s">
        <v>656</v>
      </c>
      <c r="S115" s="108" t="s">
        <v>717</v>
      </c>
      <c r="T115" s="108"/>
      <c r="U115" s="156"/>
    </row>
    <row r="116" spans="1:23">
      <c r="T116" s="108"/>
    </row>
    <row r="117" spans="1:23">
      <c r="A117" s="302" t="s">
        <v>460</v>
      </c>
      <c r="F117" s="45" t="s">
        <v>462</v>
      </c>
      <c r="L117" s="45" t="s">
        <v>594</v>
      </c>
      <c r="M117" s="29">
        <v>1.4999999999999999E-2</v>
      </c>
      <c r="N117" s="45" t="s">
        <v>645</v>
      </c>
      <c r="S117" s="108" t="s">
        <v>718</v>
      </c>
      <c r="T117" s="108"/>
      <c r="U117" s="157"/>
    </row>
    <row r="118" spans="1:23">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c r="B120" s="45" t="s">
        <v>291</v>
      </c>
      <c r="C120" s="118">
        <v>0.2</v>
      </c>
      <c r="D120" s="45" t="s">
        <v>466</v>
      </c>
      <c r="F120" s="177">
        <v>2</v>
      </c>
      <c r="L120" s="45" t="s">
        <v>598</v>
      </c>
      <c r="M120" s="407">
        <v>-0.125</v>
      </c>
      <c r="N120" s="45" t="s">
        <v>658</v>
      </c>
      <c r="S120" s="108" t="s">
        <v>720</v>
      </c>
      <c r="T120" s="108"/>
      <c r="U120" s="157"/>
    </row>
    <row r="121" spans="1:23">
      <c r="A121" s="303" t="s">
        <v>139</v>
      </c>
      <c r="B121" s="238"/>
      <c r="C121" s="319">
        <v>0.2</v>
      </c>
      <c r="D121" s="45" t="s">
        <v>466</v>
      </c>
      <c r="F121" s="177">
        <v>4</v>
      </c>
      <c r="L121" s="45" t="s">
        <v>600</v>
      </c>
      <c r="M121" s="407">
        <v>0.01</v>
      </c>
      <c r="N121" s="45" t="s">
        <v>645</v>
      </c>
      <c r="O121" s="5"/>
      <c r="P121" s="5"/>
      <c r="S121" s="108" t="s">
        <v>716</v>
      </c>
      <c r="T121" s="108"/>
      <c r="U121" s="156"/>
    </row>
    <row r="122" spans="1:23">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c r="A123" s="303" t="s">
        <v>1064</v>
      </c>
      <c r="B123" s="116" t="s">
        <v>292</v>
      </c>
      <c r="C123" s="319">
        <v>0.1</v>
      </c>
      <c r="D123" s="45" t="s">
        <v>295</v>
      </c>
      <c r="F123" s="177">
        <v>0</v>
      </c>
      <c r="M123"/>
      <c r="S123" s="108"/>
      <c r="T123" s="108"/>
    </row>
    <row r="124" spans="1:23">
      <c r="B124" s="45" t="s">
        <v>291</v>
      </c>
      <c r="C124" s="320">
        <v>0.1</v>
      </c>
      <c r="D124" s="45" t="s">
        <v>295</v>
      </c>
      <c r="F124" s="177">
        <v>0</v>
      </c>
      <c r="L124" s="45" t="s">
        <v>602</v>
      </c>
      <c r="M124" s="2">
        <v>0.3</v>
      </c>
      <c r="N124" s="45" t="s">
        <v>660</v>
      </c>
      <c r="S124" s="108" t="s">
        <v>723</v>
      </c>
      <c r="T124" s="108"/>
      <c r="U124" s="156"/>
    </row>
    <row r="125" spans="1:23">
      <c r="A125" s="303" t="s">
        <v>461</v>
      </c>
      <c r="B125" s="238"/>
      <c r="C125" s="319">
        <v>0.2</v>
      </c>
      <c r="D125" s="45" t="s">
        <v>467</v>
      </c>
      <c r="F125" s="177">
        <v>3</v>
      </c>
      <c r="L125" s="45" t="s">
        <v>604</v>
      </c>
      <c r="M125">
        <v>1.25</v>
      </c>
      <c r="N125" s="45" t="s">
        <v>675</v>
      </c>
      <c r="S125" s="108" t="s">
        <v>727</v>
      </c>
      <c r="T125" s="108"/>
      <c r="U125" s="156"/>
    </row>
    <row r="126" spans="1:23">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c r="A127" s="303" t="s">
        <v>373</v>
      </c>
      <c r="B127" s="177" t="s">
        <v>465</v>
      </c>
      <c r="C127" s="116">
        <v>500</v>
      </c>
      <c r="D127" s="45" t="s">
        <v>464</v>
      </c>
      <c r="F127" s="177">
        <v>0</v>
      </c>
      <c r="L127" s="45" t="s">
        <v>607</v>
      </c>
      <c r="M127" s="407">
        <v>2.5000000000000001E-2</v>
      </c>
      <c r="N127" s="45" t="s">
        <v>662</v>
      </c>
      <c r="S127" s="108" t="s">
        <v>725</v>
      </c>
      <c r="T127" s="108"/>
      <c r="U127" s="157"/>
    </row>
    <row r="128" spans="1:23">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c r="A129" s="303" t="s">
        <v>422</v>
      </c>
      <c r="B129" s="238"/>
      <c r="C129" s="118">
        <v>0.1</v>
      </c>
      <c r="D129" s="45" t="s">
        <v>497</v>
      </c>
      <c r="F129" s="177">
        <v>4</v>
      </c>
      <c r="M129"/>
      <c r="S129" s="108"/>
      <c r="T129" s="108"/>
    </row>
    <row r="130" spans="1:23">
      <c r="A130" s="303" t="s">
        <v>1141</v>
      </c>
      <c r="B130" s="45" t="s">
        <v>291</v>
      </c>
      <c r="C130" s="118">
        <v>0.1</v>
      </c>
      <c r="D130" s="45" t="s">
        <v>497</v>
      </c>
      <c r="F130" s="45">
        <v>1</v>
      </c>
      <c r="L130" s="45" t="s">
        <v>610</v>
      </c>
      <c r="M130" s="2">
        <v>0.6</v>
      </c>
      <c r="N130" s="45" t="s">
        <v>752</v>
      </c>
      <c r="S130" s="108" t="s">
        <v>1058</v>
      </c>
      <c r="T130" s="108"/>
    </row>
    <row r="131" spans="1:23">
      <c r="L131" s="45" t="s">
        <v>611</v>
      </c>
      <c r="M131" s="407">
        <v>-7.4999999999999997E-2</v>
      </c>
      <c r="N131" s="45" t="s">
        <v>659</v>
      </c>
      <c r="S131" s="108" t="s">
        <v>728</v>
      </c>
      <c r="T131" s="108"/>
      <c r="U131" s="157"/>
    </row>
    <row r="132" spans="1:23">
      <c r="A132" s="302" t="s">
        <v>263</v>
      </c>
      <c r="L132" s="45" t="s">
        <v>613</v>
      </c>
      <c r="M132">
        <v>2</v>
      </c>
      <c r="N132" s="45" t="s">
        <v>676</v>
      </c>
      <c r="S132" s="108" t="s">
        <v>729</v>
      </c>
      <c r="T132" s="108"/>
    </row>
    <row r="133" spans="1:23">
      <c r="A133" s="303" t="s">
        <v>478</v>
      </c>
      <c r="B133" s="45">
        <v>20</v>
      </c>
      <c r="L133" s="45" t="s">
        <v>615</v>
      </c>
      <c r="M133" s="2">
        <v>0.3</v>
      </c>
      <c r="N133" s="45" t="s">
        <v>663</v>
      </c>
      <c r="S133" s="108" t="s">
        <v>730</v>
      </c>
      <c r="T133" s="108"/>
      <c r="U133" s="156"/>
    </row>
    <row r="134" spans="1:23">
      <c r="A134" s="303" t="s">
        <v>476</v>
      </c>
      <c r="B134" s="45">
        <v>0</v>
      </c>
      <c r="C134" s="45" t="s">
        <v>477</v>
      </c>
      <c r="M134"/>
      <c r="S134" s="108"/>
      <c r="T134" s="108"/>
    </row>
    <row r="135" spans="1:23">
      <c r="L135" s="45" t="s">
        <v>616</v>
      </c>
      <c r="M135" s="2">
        <v>-0.15</v>
      </c>
      <c r="N135" s="45" t="s">
        <v>672</v>
      </c>
      <c r="O135" s="156">
        <v>-0.05</v>
      </c>
      <c r="P135" s="45" t="s">
        <v>650</v>
      </c>
      <c r="S135" s="108" t="s">
        <v>731</v>
      </c>
      <c r="T135" s="108"/>
      <c r="U135" s="156"/>
      <c r="W135" s="156"/>
    </row>
    <row r="136" spans="1:23">
      <c r="A136" s="302" t="s">
        <v>753</v>
      </c>
      <c r="L136" s="45" t="s">
        <v>618</v>
      </c>
      <c r="M136" s="407">
        <v>-0.05</v>
      </c>
      <c r="N136" s="45" t="s">
        <v>641</v>
      </c>
      <c r="S136" s="108" t="s">
        <v>732</v>
      </c>
      <c r="T136" s="108"/>
      <c r="U136" s="157"/>
    </row>
    <row r="137" spans="1:23">
      <c r="A137" s="303" t="s">
        <v>89</v>
      </c>
      <c r="B137" s="45" t="s">
        <v>3</v>
      </c>
      <c r="L137" s="45" t="s">
        <v>619</v>
      </c>
      <c r="M137" s="2">
        <v>-0.25</v>
      </c>
      <c r="N137" s="45" t="s">
        <v>664</v>
      </c>
      <c r="S137" s="108" t="s">
        <v>733</v>
      </c>
      <c r="T137" s="108"/>
      <c r="U137" s="156"/>
    </row>
    <row r="138" spans="1:23">
      <c r="A138" s="303" t="s">
        <v>90</v>
      </c>
      <c r="B138" s="45" t="s">
        <v>3</v>
      </c>
      <c r="M138"/>
      <c r="S138" s="108"/>
      <c r="T138" s="108"/>
    </row>
    <row r="139" spans="1:23">
      <c r="A139" s="303" t="s">
        <v>91</v>
      </c>
      <c r="B139" s="45" t="s">
        <v>3</v>
      </c>
      <c r="L139" s="45" t="s">
        <v>620</v>
      </c>
      <c r="M139" s="29">
        <v>7.4999999999999997E-2</v>
      </c>
      <c r="N139" s="45" t="s">
        <v>661</v>
      </c>
      <c r="S139" s="108" t="s">
        <v>724</v>
      </c>
      <c r="T139" s="108"/>
      <c r="U139" s="157"/>
    </row>
    <row r="140" spans="1:23">
      <c r="A140" s="303" t="s">
        <v>92</v>
      </c>
      <c r="B140" s="45" t="s">
        <v>12</v>
      </c>
      <c r="L140" s="45" t="s">
        <v>622</v>
      </c>
      <c r="M140" s="407">
        <v>-7.4999999999999997E-2</v>
      </c>
      <c r="N140" s="45" t="s">
        <v>658</v>
      </c>
      <c r="S140" s="108" t="s">
        <v>734</v>
      </c>
      <c r="T140" s="108"/>
      <c r="U140" s="156"/>
    </row>
    <row r="141" spans="1:23">
      <c r="A141" s="303" t="s">
        <v>93</v>
      </c>
      <c r="B141" s="45" t="s">
        <v>3</v>
      </c>
      <c r="M141"/>
    </row>
    <row r="142" spans="1:23">
      <c r="A142" s="303" t="s">
        <v>94</v>
      </c>
      <c r="B142" s="45" t="s">
        <v>3</v>
      </c>
      <c r="L142" s="45" t="s">
        <v>623</v>
      </c>
      <c r="M142" s="2">
        <v>-0.05</v>
      </c>
      <c r="N142" s="45" t="s">
        <v>659</v>
      </c>
      <c r="S142" s="45" t="s">
        <v>735</v>
      </c>
      <c r="U142" s="156"/>
    </row>
    <row r="143" spans="1:23">
      <c r="A143" s="303" t="s">
        <v>95</v>
      </c>
      <c r="B143" s="45" t="s">
        <v>3</v>
      </c>
    </row>
    <row r="144" spans="1:23">
      <c r="A144" s="303" t="s">
        <v>96</v>
      </c>
      <c r="B144" s="45" t="s">
        <v>7</v>
      </c>
      <c r="L144" s="45" t="b">
        <f>OR(race=L145,race=L146,race=L147,race=L148)</f>
        <v>0</v>
      </c>
      <c r="M144" s="45">
        <f>IF(L144=FALSE,1,2)</f>
        <v>1</v>
      </c>
    </row>
    <row r="145" spans="1:13">
      <c r="A145" s="303" t="s">
        <v>97</v>
      </c>
      <c r="B145" s="45" t="s">
        <v>3</v>
      </c>
      <c r="L145" s="45" t="s">
        <v>97</v>
      </c>
    </row>
    <row r="146" spans="1:13">
      <c r="A146" s="303" t="s">
        <v>29</v>
      </c>
      <c r="B146" s="45" t="s">
        <v>3</v>
      </c>
      <c r="L146" s="45" t="s">
        <v>102</v>
      </c>
    </row>
    <row r="147" spans="1:13">
      <c r="A147" s="303" t="s">
        <v>99</v>
      </c>
      <c r="B147" s="45" t="s">
        <v>3</v>
      </c>
      <c r="L147" s="108" t="s">
        <v>342</v>
      </c>
      <c r="M147" s="156"/>
    </row>
    <row r="148" spans="1:13">
      <c r="A148" s="303" t="s">
        <v>100</v>
      </c>
      <c r="B148" s="45" t="s">
        <v>12</v>
      </c>
      <c r="L148" s="108" t="s">
        <v>1116</v>
      </c>
    </row>
    <row r="149" spans="1:13">
      <c r="A149" s="303" t="s">
        <v>101</v>
      </c>
      <c r="B149" s="45" t="s">
        <v>12</v>
      </c>
      <c r="L149" s="108"/>
      <c r="M149" s="156"/>
    </row>
    <row r="150" spans="1:13">
      <c r="A150" s="303" t="s">
        <v>102</v>
      </c>
      <c r="B150" s="45" t="s">
        <v>3</v>
      </c>
    </row>
    <row r="151" spans="1:13">
      <c r="A151" s="303" t="s">
        <v>103</v>
      </c>
      <c r="B151" s="45" t="s">
        <v>3</v>
      </c>
    </row>
    <row r="152" spans="1:13">
      <c r="A152" s="303" t="s">
        <v>104</v>
      </c>
      <c r="B152" s="45" t="s">
        <v>3</v>
      </c>
    </row>
    <row r="153" spans="1:13">
      <c r="A153" s="303" t="s">
        <v>328</v>
      </c>
      <c r="B153" s="45" t="s">
        <v>3</v>
      </c>
    </row>
    <row r="154" spans="1:13">
      <c r="A154" s="303" t="s">
        <v>342</v>
      </c>
      <c r="B154" s="45" t="s">
        <v>3</v>
      </c>
    </row>
    <row r="155" spans="1:13">
      <c r="A155" s="303" t="s">
        <v>143</v>
      </c>
      <c r="B155" s="45" t="s">
        <v>7</v>
      </c>
    </row>
    <row r="156" spans="1:13">
      <c r="A156" s="303" t="s">
        <v>498</v>
      </c>
      <c r="B156" s="45" t="s">
        <v>12</v>
      </c>
    </row>
    <row r="157" spans="1:13">
      <c r="A157" s="303" t="s">
        <v>1116</v>
      </c>
      <c r="B157" s="45" t="s">
        <v>12</v>
      </c>
    </row>
    <row r="158" spans="1:13">
      <c r="A158" s="303" t="s">
        <v>1132</v>
      </c>
      <c r="B158" s="45" t="s">
        <v>12</v>
      </c>
    </row>
    <row r="160" spans="1:13">
      <c r="A160" s="303" t="s">
        <v>1042</v>
      </c>
    </row>
    <row r="161" spans="1:5">
      <c r="A161" s="303" t="s">
        <v>2</v>
      </c>
      <c r="B161" s="45">
        <v>1</v>
      </c>
    </row>
    <row r="162" spans="1:5">
      <c r="A162" s="303" t="s">
        <v>7</v>
      </c>
      <c r="B162" s="45">
        <v>2</v>
      </c>
    </row>
    <row r="163" spans="1:5">
      <c r="A163" s="303" t="s">
        <v>3</v>
      </c>
      <c r="B163" s="45">
        <v>2</v>
      </c>
    </row>
    <row r="164" spans="1:5">
      <c r="A164" s="303" t="s">
        <v>4</v>
      </c>
      <c r="B164" s="45">
        <v>12</v>
      </c>
    </row>
    <row r="166" spans="1:5">
      <c r="A166" s="302" t="s">
        <v>1043</v>
      </c>
    </row>
    <row r="167" spans="1:5">
      <c r="A167" s="303" t="s">
        <v>277</v>
      </c>
      <c r="B167" s="156">
        <v>0.75</v>
      </c>
    </row>
    <row r="169" spans="1:5">
      <c r="A169" s="302" t="s">
        <v>1105</v>
      </c>
    </row>
    <row r="170" spans="1:5">
      <c r="A170" s="303" t="s">
        <v>452</v>
      </c>
      <c r="B170" s="45">
        <v>0</v>
      </c>
    </row>
    <row r="172" spans="1:5">
      <c r="A172" s="302" t="s">
        <v>1130</v>
      </c>
      <c r="E172" s="45" t="s">
        <v>462</v>
      </c>
    </row>
    <row r="173" spans="1:5">
      <c r="A173" s="303" t="s">
        <v>1128</v>
      </c>
      <c r="B173" s="45" t="s">
        <v>7</v>
      </c>
      <c r="C173" s="319">
        <v>0.4</v>
      </c>
      <c r="D173" s="45" t="s">
        <v>466</v>
      </c>
      <c r="E173" s="45">
        <v>1</v>
      </c>
    </row>
    <row r="175" spans="1:5">
      <c r="A175" s="302" t="s">
        <v>1156</v>
      </c>
      <c r="B175" s="45">
        <v>560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c r="A1" s="321" t="s">
        <v>281</v>
      </c>
      <c r="E1" s="322"/>
      <c r="F1" s="322"/>
      <c r="G1" s="322"/>
      <c r="X1" s="323"/>
    </row>
    <row r="2" spans="1:27" ht="19.5" customHeight="1">
      <c r="A2" s="275"/>
      <c r="X2" s="324"/>
    </row>
    <row r="3" spans="1:27" s="321" customFormat="1" ht="19.5" customHeight="1">
      <c r="A3" s="321" t="s">
        <v>36</v>
      </c>
      <c r="D3" s="321" t="s">
        <v>38</v>
      </c>
      <c r="E3" s="322"/>
      <c r="F3" s="322"/>
      <c r="G3" s="322"/>
      <c r="J3" s="321" t="s">
        <v>37</v>
      </c>
      <c r="X3" s="323"/>
    </row>
    <row r="4" spans="1:27" ht="87" customHeight="1">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c r="C97" s="352"/>
      <c r="J97" s="353"/>
      <c r="K97" s="353"/>
      <c r="L97" s="353"/>
      <c r="M97" s="353"/>
      <c r="N97" s="353"/>
      <c r="O97" s="353"/>
      <c r="P97" s="353"/>
      <c r="Q97" s="353"/>
      <c r="R97" s="353"/>
      <c r="S97" s="353"/>
      <c r="T97" s="353"/>
      <c r="U97" s="353"/>
      <c r="V97" s="353"/>
    </row>
    <row r="98" spans="1:22" ht="19.5" customHeight="1">
      <c r="A98" s="350" t="s">
        <v>89</v>
      </c>
      <c r="B98" s="275">
        <v>5</v>
      </c>
      <c r="C98" s="352"/>
      <c r="D98" s="275" t="s">
        <v>359</v>
      </c>
      <c r="J98" s="353"/>
      <c r="K98" s="353"/>
      <c r="L98" s="353"/>
      <c r="M98" s="353"/>
      <c r="N98" s="353"/>
      <c r="O98" s="353"/>
      <c r="P98" s="353"/>
      <c r="Q98" s="353"/>
      <c r="R98" s="353"/>
      <c r="S98" s="353"/>
      <c r="T98" s="353"/>
      <c r="U98" s="353"/>
      <c r="V98" s="353"/>
    </row>
    <row r="99" spans="1:22" ht="19.5" customHeight="1">
      <c r="A99" s="350" t="s">
        <v>90</v>
      </c>
      <c r="B99" s="275">
        <v>9</v>
      </c>
      <c r="C99" s="352"/>
      <c r="D99" s="275">
        <v>1</v>
      </c>
      <c r="J99" s="353"/>
      <c r="K99" s="353"/>
      <c r="L99" s="353"/>
      <c r="M99" s="353"/>
      <c r="N99" s="353"/>
      <c r="O99" s="353"/>
      <c r="P99" s="353"/>
      <c r="Q99" s="353"/>
      <c r="R99" s="353"/>
      <c r="S99" s="353"/>
      <c r="T99" s="353"/>
      <c r="U99" s="353"/>
      <c r="V99" s="353"/>
    </row>
    <row r="100" spans="1:22" ht="19.5" customHeight="1">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c r="A105" s="350" t="s">
        <v>96</v>
      </c>
      <c r="B105" s="275">
        <v>33</v>
      </c>
      <c r="C105" s="352"/>
      <c r="J105" s="353"/>
      <c r="K105" s="353"/>
      <c r="L105" s="353"/>
      <c r="M105" s="353"/>
      <c r="N105" s="353"/>
      <c r="O105" s="353"/>
      <c r="P105" s="353"/>
      <c r="Q105" s="353"/>
      <c r="R105" s="353"/>
      <c r="S105" s="353"/>
      <c r="T105" s="353"/>
      <c r="U105" s="353"/>
      <c r="V105" s="353"/>
    </row>
    <row r="106" spans="1:22" ht="19.5" customHeight="1">
      <c r="A106" s="350" t="s">
        <v>97</v>
      </c>
      <c r="B106" s="275">
        <v>37</v>
      </c>
      <c r="C106" s="352"/>
      <c r="J106" s="353"/>
      <c r="K106" s="353"/>
      <c r="L106" s="353"/>
      <c r="M106" s="353"/>
      <c r="N106" s="353"/>
      <c r="O106" s="353"/>
      <c r="P106" s="353"/>
      <c r="Q106" s="353"/>
      <c r="R106" s="353"/>
      <c r="S106" s="353"/>
      <c r="T106" s="353"/>
      <c r="U106" s="353"/>
      <c r="V106" s="353"/>
    </row>
    <row r="107" spans="1:22" ht="19.5" customHeight="1">
      <c r="A107" s="350" t="s">
        <v>29</v>
      </c>
      <c r="B107" s="275">
        <v>41</v>
      </c>
      <c r="C107" s="352"/>
      <c r="J107" s="353"/>
      <c r="K107" s="353"/>
      <c r="L107" s="353"/>
      <c r="M107" s="353"/>
      <c r="N107" s="353"/>
      <c r="O107" s="353"/>
      <c r="P107" s="353"/>
      <c r="Q107" s="353"/>
      <c r="R107" s="353"/>
      <c r="S107" s="353"/>
      <c r="T107" s="353"/>
      <c r="U107" s="353"/>
      <c r="V107" s="353"/>
    </row>
    <row r="108" spans="1:22" ht="19.5" customHeight="1">
      <c r="A108" s="350" t="s">
        <v>99</v>
      </c>
      <c r="B108" s="275">
        <v>45</v>
      </c>
      <c r="C108" s="352"/>
      <c r="J108" s="353"/>
      <c r="K108" s="353"/>
      <c r="L108" s="353"/>
      <c r="M108" s="353"/>
      <c r="N108" s="353"/>
      <c r="O108" s="353"/>
      <c r="P108" s="353"/>
      <c r="Q108" s="353"/>
      <c r="R108" s="353"/>
      <c r="S108" s="353"/>
      <c r="T108" s="353"/>
      <c r="U108" s="353"/>
      <c r="V108" s="353"/>
    </row>
    <row r="109" spans="1:22" ht="19.5" customHeight="1">
      <c r="A109" s="350" t="s">
        <v>100</v>
      </c>
      <c r="B109" s="275">
        <v>49</v>
      </c>
      <c r="C109" s="352"/>
      <c r="J109" s="353"/>
      <c r="K109" s="353"/>
      <c r="L109" s="353"/>
      <c r="M109" s="353"/>
      <c r="N109" s="353"/>
      <c r="O109" s="353"/>
      <c r="P109" s="353"/>
      <c r="Q109" s="353"/>
      <c r="R109" s="353"/>
      <c r="S109" s="353"/>
      <c r="T109" s="353"/>
      <c r="U109" s="353"/>
      <c r="V109" s="353"/>
    </row>
    <row r="110" spans="1:22" ht="19.5" customHeight="1">
      <c r="A110" s="350" t="s">
        <v>101</v>
      </c>
      <c r="B110" s="275">
        <v>53</v>
      </c>
      <c r="C110" s="352"/>
      <c r="J110" s="353"/>
      <c r="K110" s="353"/>
      <c r="L110" s="353"/>
      <c r="M110" s="353"/>
      <c r="N110" s="353"/>
      <c r="O110" s="353"/>
      <c r="P110" s="353"/>
      <c r="Q110" s="353"/>
      <c r="R110" s="353"/>
      <c r="S110" s="353"/>
      <c r="T110" s="353"/>
      <c r="U110" s="353"/>
      <c r="V110" s="353"/>
    </row>
    <row r="111" spans="1:22" ht="19.5" customHeight="1">
      <c r="A111" s="350" t="s">
        <v>102</v>
      </c>
      <c r="B111" s="275">
        <v>57</v>
      </c>
      <c r="C111" s="352"/>
      <c r="J111" s="353"/>
      <c r="K111" s="353"/>
      <c r="L111" s="353"/>
      <c r="M111" s="353"/>
      <c r="N111" s="353"/>
      <c r="O111" s="353"/>
      <c r="P111" s="353"/>
      <c r="Q111" s="353"/>
      <c r="R111" s="353"/>
      <c r="S111" s="353"/>
      <c r="T111" s="353"/>
      <c r="U111" s="353"/>
      <c r="V111" s="353"/>
    </row>
    <row r="112" spans="1:22" ht="19.5" customHeight="1">
      <c r="A112" s="350" t="s">
        <v>103</v>
      </c>
      <c r="B112" s="275">
        <v>61</v>
      </c>
      <c r="J112" s="353"/>
      <c r="K112" s="353"/>
      <c r="L112" s="353"/>
      <c r="M112" s="353"/>
      <c r="N112" s="353"/>
      <c r="O112" s="353"/>
      <c r="P112" s="353"/>
      <c r="Q112" s="353"/>
      <c r="R112" s="353"/>
      <c r="S112" s="353"/>
      <c r="T112" s="353"/>
      <c r="U112" s="353"/>
      <c r="V112" s="353"/>
    </row>
    <row r="113" spans="1:22" ht="19.5" customHeight="1">
      <c r="A113" s="350" t="s">
        <v>104</v>
      </c>
      <c r="B113" s="275">
        <v>65</v>
      </c>
      <c r="J113" s="353"/>
      <c r="K113" s="353"/>
      <c r="L113" s="353"/>
      <c r="M113" s="353"/>
      <c r="N113" s="353"/>
      <c r="O113" s="353"/>
      <c r="P113" s="353"/>
      <c r="Q113" s="353"/>
      <c r="R113" s="353"/>
      <c r="S113" s="353"/>
      <c r="T113" s="353"/>
      <c r="U113" s="353"/>
      <c r="V113" s="353"/>
    </row>
    <row r="114" spans="1:22" ht="19.5" customHeight="1">
      <c r="A114" s="350" t="s">
        <v>328</v>
      </c>
      <c r="B114" s="275">
        <v>69</v>
      </c>
      <c r="J114" s="353"/>
      <c r="K114" s="353"/>
      <c r="L114" s="353"/>
      <c r="M114" s="353"/>
      <c r="N114" s="353"/>
      <c r="O114" s="353"/>
      <c r="P114" s="353"/>
      <c r="Q114" s="353"/>
      <c r="R114" s="353"/>
      <c r="S114" s="353"/>
      <c r="T114" s="353"/>
      <c r="U114" s="353"/>
      <c r="V114" s="353"/>
    </row>
    <row r="115" spans="1:22" ht="19.5" customHeight="1">
      <c r="A115" s="350" t="s">
        <v>342</v>
      </c>
      <c r="B115" s="275">
        <v>73</v>
      </c>
      <c r="J115" s="353"/>
      <c r="K115" s="353"/>
      <c r="L115" s="353"/>
      <c r="M115" s="353"/>
      <c r="N115" s="353"/>
      <c r="O115" s="353"/>
      <c r="P115" s="353"/>
      <c r="Q115" s="353"/>
      <c r="R115" s="353"/>
      <c r="S115" s="353"/>
      <c r="T115" s="353"/>
      <c r="U115" s="353"/>
      <c r="V115" s="353"/>
    </row>
    <row r="116" spans="1:22" ht="19.5" customHeight="1">
      <c r="A116" s="350" t="s">
        <v>143</v>
      </c>
      <c r="B116" s="275">
        <v>77</v>
      </c>
      <c r="J116" s="353"/>
      <c r="K116" s="353"/>
      <c r="L116" s="353"/>
      <c r="M116" s="353"/>
      <c r="N116" s="353"/>
      <c r="O116" s="353"/>
      <c r="P116" s="353"/>
      <c r="Q116" s="353"/>
      <c r="R116" s="353"/>
      <c r="S116" s="353"/>
      <c r="T116" s="353"/>
      <c r="U116" s="353"/>
      <c r="V116" s="353"/>
    </row>
    <row r="117" spans="1:22" ht="19.5" customHeight="1">
      <c r="A117" s="350" t="s">
        <v>1116</v>
      </c>
      <c r="B117" s="275">
        <v>81</v>
      </c>
      <c r="J117" s="353"/>
      <c r="K117" s="353"/>
      <c r="L117" s="353"/>
      <c r="M117" s="353"/>
      <c r="N117" s="353"/>
      <c r="O117" s="353"/>
      <c r="P117" s="353"/>
      <c r="Q117" s="353"/>
      <c r="R117" s="353"/>
      <c r="S117" s="353"/>
      <c r="T117" s="353"/>
      <c r="U117" s="353"/>
      <c r="V117" s="353"/>
    </row>
    <row r="118" spans="1:22" ht="19.5" customHeight="1">
      <c r="A118" s="275" t="s">
        <v>1132</v>
      </c>
      <c r="B118" s="275">
        <v>85</v>
      </c>
      <c r="J118" s="353"/>
      <c r="K118" s="353"/>
      <c r="L118" s="353"/>
      <c r="M118" s="353"/>
      <c r="N118" s="353"/>
      <c r="O118" s="353"/>
      <c r="P118" s="353"/>
      <c r="Q118" s="353"/>
      <c r="R118" s="353"/>
      <c r="S118" s="353"/>
      <c r="T118" s="353"/>
      <c r="U118" s="353"/>
      <c r="V118" s="353"/>
    </row>
    <row r="119" spans="1:22" ht="19.5" customHeight="1">
      <c r="A119" s="350" t="s">
        <v>498</v>
      </c>
      <c r="B119" s="275">
        <v>89</v>
      </c>
      <c r="J119" s="353"/>
      <c r="K119" s="353"/>
      <c r="L119" s="353"/>
      <c r="M119" s="353"/>
      <c r="N119" s="353"/>
      <c r="O119" s="353"/>
      <c r="P119" s="353"/>
      <c r="Q119" s="353"/>
      <c r="R119" s="353"/>
      <c r="S119" s="353"/>
      <c r="T119" s="353"/>
      <c r="U119" s="353"/>
      <c r="V119" s="353"/>
    </row>
    <row r="120" spans="1:22" ht="19.5" customHeight="1">
      <c r="J120" s="353"/>
      <c r="K120" s="353"/>
      <c r="L120" s="353"/>
      <c r="M120" s="353"/>
      <c r="N120" s="353"/>
      <c r="O120" s="353"/>
      <c r="P120" s="353"/>
      <c r="Q120" s="353"/>
      <c r="R120" s="353"/>
      <c r="S120" s="353"/>
      <c r="T120" s="353"/>
      <c r="U120" s="353"/>
      <c r="V120" s="353"/>
    </row>
    <row r="121" spans="1:22" ht="19.5" customHeight="1">
      <c r="J121" s="353"/>
      <c r="K121" s="353"/>
      <c r="L121" s="353"/>
      <c r="M121" s="353"/>
      <c r="N121" s="353"/>
      <c r="O121" s="353"/>
      <c r="P121" s="353"/>
      <c r="Q121" s="353"/>
      <c r="R121" s="353"/>
      <c r="S121" s="353"/>
      <c r="T121" s="353"/>
      <c r="U121" s="353"/>
      <c r="V121" s="353"/>
    </row>
    <row r="122" spans="1:22" ht="19.5" customHeight="1">
      <c r="J122" s="353"/>
      <c r="K122" s="353"/>
      <c r="L122" s="353"/>
      <c r="M122" s="353"/>
      <c r="N122" s="353"/>
      <c r="O122" s="353"/>
      <c r="P122" s="353"/>
      <c r="Q122" s="353"/>
      <c r="R122" s="353"/>
      <c r="S122" s="353"/>
      <c r="T122" s="353"/>
      <c r="U122" s="353"/>
      <c r="V122" s="353"/>
    </row>
    <row r="123" spans="1:22" ht="19.5" customHeight="1">
      <c r="J123" s="353"/>
      <c r="K123" s="353"/>
      <c r="L123" s="353"/>
      <c r="M123" s="353"/>
      <c r="N123" s="353"/>
      <c r="O123" s="353"/>
      <c r="P123" s="353"/>
      <c r="Q123" s="353"/>
      <c r="R123" s="353"/>
      <c r="S123" s="353"/>
      <c r="T123" s="353"/>
      <c r="U123" s="353"/>
      <c r="V123" s="353"/>
    </row>
    <row r="124" spans="1:22" ht="19.5" customHeight="1">
      <c r="J124" s="353"/>
      <c r="K124" s="353"/>
      <c r="L124" s="353"/>
      <c r="M124" s="353"/>
      <c r="N124" s="353"/>
      <c r="O124" s="353"/>
      <c r="P124" s="353"/>
      <c r="Q124" s="353"/>
      <c r="R124" s="353"/>
      <c r="S124" s="353"/>
      <c r="T124" s="353"/>
      <c r="U124" s="353"/>
      <c r="V124" s="353"/>
    </row>
    <row r="125" spans="1:22" ht="19.5" customHeight="1">
      <c r="J125" s="353"/>
      <c r="K125" s="353"/>
      <c r="L125" s="353"/>
      <c r="M125" s="353"/>
      <c r="N125" s="353"/>
      <c r="O125" s="353"/>
      <c r="P125" s="353"/>
      <c r="Q125" s="353"/>
      <c r="R125" s="353"/>
      <c r="S125" s="353"/>
      <c r="T125" s="353"/>
      <c r="U125" s="353"/>
      <c r="V125" s="353"/>
    </row>
    <row r="126" spans="1:22" ht="19.5" customHeight="1">
      <c r="J126" s="353"/>
      <c r="K126" s="353"/>
      <c r="L126" s="353"/>
      <c r="M126" s="353"/>
      <c r="N126" s="353"/>
      <c r="O126" s="353"/>
      <c r="P126" s="353"/>
      <c r="Q126" s="353"/>
      <c r="R126" s="353"/>
      <c r="S126" s="353"/>
      <c r="T126" s="353"/>
      <c r="U126" s="353"/>
      <c r="V126" s="353"/>
    </row>
    <row r="127" spans="1:22" ht="19.5" customHeight="1">
      <c r="J127" s="353"/>
      <c r="K127" s="353"/>
      <c r="L127" s="353"/>
      <c r="M127" s="353"/>
      <c r="N127" s="353"/>
      <c r="O127" s="353"/>
      <c r="P127" s="353"/>
      <c r="Q127" s="353"/>
      <c r="R127" s="353"/>
      <c r="S127" s="353"/>
      <c r="T127" s="353"/>
      <c r="U127" s="353"/>
      <c r="V127" s="353"/>
    </row>
    <row r="128" spans="1:22" ht="19.5" customHeight="1">
      <c r="J128" s="353"/>
      <c r="K128" s="353"/>
      <c r="L128" s="353"/>
      <c r="M128" s="353"/>
      <c r="N128" s="353"/>
      <c r="O128" s="353"/>
      <c r="P128" s="353"/>
      <c r="Q128" s="353"/>
      <c r="R128" s="353"/>
      <c r="S128" s="353"/>
      <c r="T128" s="353"/>
      <c r="U128" s="353"/>
      <c r="V128" s="353"/>
    </row>
    <row r="129" spans="10:22" ht="19.5" customHeight="1">
      <c r="J129" s="353"/>
      <c r="K129" s="353"/>
      <c r="L129" s="353"/>
      <c r="M129" s="353"/>
      <c r="N129" s="353"/>
      <c r="O129" s="353"/>
      <c r="P129" s="353"/>
      <c r="Q129" s="353"/>
      <c r="R129" s="353"/>
      <c r="S129" s="353"/>
      <c r="T129" s="353"/>
      <c r="U129" s="353"/>
      <c r="V129" s="353"/>
    </row>
    <row r="130" spans="10:22" ht="19.5" customHeight="1">
      <c r="J130" s="353"/>
      <c r="K130" s="353"/>
      <c r="L130" s="353"/>
      <c r="M130" s="353"/>
      <c r="N130" s="353"/>
      <c r="O130" s="353"/>
      <c r="P130" s="353"/>
      <c r="Q130" s="353"/>
      <c r="R130" s="353"/>
      <c r="S130" s="353"/>
      <c r="T130" s="353"/>
      <c r="U130" s="353"/>
      <c r="V130" s="353"/>
    </row>
    <row r="131" spans="10:22" ht="19.5" customHeight="1">
      <c r="J131" s="353"/>
      <c r="K131" s="353"/>
      <c r="L131" s="353"/>
      <c r="M131" s="353"/>
      <c r="N131" s="353"/>
      <c r="O131" s="353"/>
      <c r="P131" s="353"/>
      <c r="Q131" s="353"/>
      <c r="R131" s="353"/>
      <c r="S131" s="353"/>
      <c r="T131" s="353"/>
      <c r="U131" s="353"/>
      <c r="V131" s="353"/>
    </row>
    <row r="132" spans="10:22" ht="19.5" customHeight="1">
      <c r="J132" s="353"/>
      <c r="K132" s="353"/>
      <c r="L132" s="353"/>
      <c r="M132" s="353"/>
      <c r="N132" s="353"/>
      <c r="O132" s="353"/>
      <c r="P132" s="353"/>
      <c r="Q132" s="353"/>
      <c r="R132" s="353"/>
      <c r="S132" s="353"/>
      <c r="T132" s="353"/>
      <c r="U132" s="353"/>
      <c r="V132" s="353"/>
    </row>
    <row r="133" spans="10:22" ht="19.5" customHeight="1">
      <c r="J133" s="353"/>
      <c r="K133" s="353"/>
      <c r="L133" s="353"/>
      <c r="M133" s="353"/>
      <c r="N133" s="353"/>
      <c r="O133" s="353"/>
      <c r="P133" s="353"/>
      <c r="Q133" s="353"/>
      <c r="R133" s="353"/>
      <c r="S133" s="353"/>
      <c r="T133" s="353"/>
      <c r="U133" s="353"/>
      <c r="V133" s="353"/>
    </row>
    <row r="134" spans="10:22" ht="19.5" customHeight="1">
      <c r="J134" s="353"/>
      <c r="K134" s="353"/>
      <c r="L134" s="353"/>
      <c r="M134" s="353"/>
      <c r="N134" s="353"/>
      <c r="O134" s="353"/>
      <c r="P134" s="353"/>
      <c r="Q134" s="353"/>
      <c r="R134" s="353"/>
      <c r="S134" s="353"/>
      <c r="T134" s="353"/>
      <c r="U134" s="353"/>
      <c r="V134" s="353"/>
    </row>
    <row r="135" spans="10:22" ht="19.5" customHeight="1">
      <c r="J135" s="353"/>
      <c r="K135" s="353"/>
      <c r="L135" s="353"/>
      <c r="M135" s="353"/>
      <c r="N135" s="353"/>
      <c r="O135" s="353"/>
      <c r="P135" s="353"/>
      <c r="Q135" s="353"/>
      <c r="R135" s="353"/>
      <c r="S135" s="353"/>
      <c r="T135" s="353"/>
      <c r="U135" s="353"/>
      <c r="V135" s="353"/>
    </row>
    <row r="136" spans="10:22" ht="19.5" customHeight="1">
      <c r="J136" s="353"/>
      <c r="K136" s="353"/>
      <c r="L136" s="353"/>
      <c r="M136" s="353"/>
      <c r="N136" s="353"/>
      <c r="O136" s="353"/>
      <c r="P136" s="353"/>
      <c r="Q136" s="353"/>
      <c r="R136" s="353"/>
      <c r="S136" s="353"/>
      <c r="T136" s="353"/>
      <c r="U136" s="353"/>
      <c r="V136" s="353"/>
    </row>
    <row r="137" spans="10:22" ht="19.5" customHeight="1">
      <c r="J137" s="353"/>
      <c r="K137" s="353"/>
      <c r="L137" s="353"/>
      <c r="M137" s="353"/>
      <c r="N137" s="353"/>
      <c r="O137" s="353"/>
      <c r="P137" s="353"/>
      <c r="Q137" s="353"/>
      <c r="R137" s="353"/>
      <c r="S137" s="353"/>
      <c r="T137" s="353"/>
      <c r="U137" s="353"/>
      <c r="V137" s="353"/>
    </row>
    <row r="138" spans="10:22" ht="19.5" customHeight="1">
      <c r="J138" s="353"/>
      <c r="K138" s="353"/>
      <c r="L138" s="353"/>
      <c r="M138" s="353"/>
      <c r="N138" s="353"/>
      <c r="O138" s="353"/>
      <c r="P138" s="353"/>
      <c r="Q138" s="353"/>
      <c r="R138" s="353"/>
      <c r="S138" s="353"/>
      <c r="T138" s="353"/>
      <c r="U138" s="353"/>
      <c r="V138" s="353"/>
    </row>
    <row r="139" spans="10:22" ht="19.5" customHeight="1">
      <c r="J139" s="353"/>
      <c r="K139" s="353"/>
      <c r="L139" s="353"/>
      <c r="M139" s="353"/>
      <c r="N139" s="353"/>
      <c r="O139" s="353"/>
      <c r="P139" s="353"/>
      <c r="Q139" s="353"/>
      <c r="R139" s="353"/>
      <c r="S139" s="353"/>
      <c r="T139" s="353"/>
      <c r="U139" s="353"/>
      <c r="V139" s="353"/>
    </row>
    <row r="140" spans="10:22" ht="19.5" customHeight="1">
      <c r="J140" s="353"/>
      <c r="K140" s="353"/>
      <c r="L140" s="353"/>
      <c r="M140" s="353"/>
      <c r="N140" s="353"/>
      <c r="O140" s="353"/>
      <c r="P140" s="353"/>
      <c r="Q140" s="353"/>
      <c r="R140" s="353"/>
      <c r="S140" s="353"/>
      <c r="T140" s="353"/>
      <c r="U140" s="353"/>
      <c r="V140" s="353"/>
    </row>
    <row r="141" spans="10:22" ht="19.5" customHeight="1">
      <c r="J141" s="353"/>
      <c r="K141" s="353"/>
      <c r="L141" s="353"/>
      <c r="M141" s="353"/>
      <c r="N141" s="353"/>
      <c r="O141" s="353"/>
      <c r="P141" s="353"/>
      <c r="Q141" s="353"/>
      <c r="R141" s="353"/>
      <c r="S141" s="353"/>
      <c r="T141" s="353"/>
      <c r="U141" s="353"/>
      <c r="V141" s="353"/>
    </row>
    <row r="142" spans="10:22" ht="19.5" customHeight="1">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c r="B2" s="14" t="s">
        <v>234</v>
      </c>
      <c r="C2" s="3" t="s">
        <v>284</v>
      </c>
      <c r="D2" s="3" t="s">
        <v>285</v>
      </c>
      <c r="E2" s="3" t="s">
        <v>237</v>
      </c>
      <c r="F2" s="3" t="s">
        <v>236</v>
      </c>
      <c r="G2" s="3"/>
      <c r="H2" s="3"/>
      <c r="I2" s="3" t="s">
        <v>235</v>
      </c>
      <c r="J2" s="3" t="s">
        <v>238</v>
      </c>
      <c r="K2" s="11"/>
    </row>
    <row r="3" spans="2:11" ht="13.5" thickBot="1">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c r="B5" s="16" t="s">
        <v>241</v>
      </c>
      <c r="C5">
        <f t="shared" si="2"/>
        <v>3845</v>
      </c>
      <c r="D5" s="6">
        <f t="shared" si="3"/>
        <v>3420</v>
      </c>
      <c r="E5">
        <f t="shared" si="0"/>
        <v>362</v>
      </c>
      <c r="F5" s="15">
        <f t="shared" si="4"/>
        <v>0.10597233359780676</v>
      </c>
      <c r="G5" s="29"/>
      <c r="I5">
        <f t="shared" si="5"/>
        <v>550</v>
      </c>
      <c r="J5">
        <f t="shared" si="1"/>
        <v>13750</v>
      </c>
      <c r="K5" s="8"/>
    </row>
    <row r="6" spans="2:11">
      <c r="B6" s="7"/>
      <c r="C6">
        <f t="shared" si="2"/>
        <v>3845</v>
      </c>
      <c r="D6" s="6">
        <f t="shared" si="3"/>
        <v>3520</v>
      </c>
      <c r="E6">
        <f t="shared" si="0"/>
        <v>383</v>
      </c>
      <c r="F6" s="15">
        <f t="shared" si="4"/>
        <v>0.10884894306526666</v>
      </c>
      <c r="G6" s="29"/>
      <c r="I6">
        <f t="shared" si="5"/>
        <v>575</v>
      </c>
      <c r="J6">
        <f t="shared" si="1"/>
        <v>14375</v>
      </c>
      <c r="K6" s="8"/>
    </row>
    <row r="7" spans="2:11">
      <c r="B7" s="7"/>
      <c r="C7">
        <f t="shared" si="2"/>
        <v>3845</v>
      </c>
      <c r="D7" s="6">
        <f t="shared" si="3"/>
        <v>3620</v>
      </c>
      <c r="E7">
        <f t="shared" si="0"/>
        <v>404</v>
      </c>
      <c r="F7" s="15">
        <f t="shared" si="4"/>
        <v>0.11162991974413593</v>
      </c>
      <c r="G7" s="29"/>
      <c r="I7">
        <f t="shared" si="5"/>
        <v>600</v>
      </c>
      <c r="J7">
        <f t="shared" si="1"/>
        <v>15000</v>
      </c>
      <c r="K7" s="8"/>
    </row>
    <row r="8" spans="2:11">
      <c r="B8" s="18" t="s">
        <v>282</v>
      </c>
      <c r="C8">
        <f t="shared" si="2"/>
        <v>3845</v>
      </c>
      <c r="D8" s="6">
        <f t="shared" si="3"/>
        <v>3720</v>
      </c>
      <c r="E8">
        <f t="shared" si="0"/>
        <v>425</v>
      </c>
      <c r="F8" s="15">
        <f t="shared" si="4"/>
        <v>0.11431844294337434</v>
      </c>
      <c r="G8" s="29"/>
      <c r="I8">
        <f t="shared" si="5"/>
        <v>625</v>
      </c>
      <c r="J8">
        <f t="shared" si="1"/>
        <v>15625</v>
      </c>
      <c r="K8" s="8"/>
    </row>
    <row r="9" spans="2:11">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c r="B10" s="13"/>
      <c r="C10">
        <f t="shared" si="2"/>
        <v>3845</v>
      </c>
      <c r="D10" s="6">
        <f t="shared" si="3"/>
        <v>3920</v>
      </c>
      <c r="E10">
        <f t="shared" si="0"/>
        <v>468</v>
      </c>
      <c r="F10" s="15">
        <f t="shared" si="4"/>
        <v>0.11943032117254147</v>
      </c>
      <c r="G10" s="29"/>
      <c r="I10">
        <f t="shared" si="5"/>
        <v>675</v>
      </c>
      <c r="J10">
        <f t="shared" si="1"/>
        <v>16875</v>
      </c>
      <c r="K10" s="8"/>
    </row>
    <row r="11" spans="2:11">
      <c r="B11" s="7"/>
      <c r="C11">
        <f t="shared" si="2"/>
        <v>3845</v>
      </c>
      <c r="D11" s="6">
        <f t="shared" si="3"/>
        <v>4020</v>
      </c>
      <c r="E11">
        <f t="shared" si="0"/>
        <v>490</v>
      </c>
      <c r="F11" s="15">
        <f t="shared" si="4"/>
        <v>0.12185952027889797</v>
      </c>
      <c r="G11" s="29"/>
      <c r="I11">
        <f t="shared" si="5"/>
        <v>700</v>
      </c>
      <c r="J11">
        <f t="shared" si="1"/>
        <v>17500</v>
      </c>
      <c r="K11" s="8"/>
    </row>
    <row r="12" spans="2:11">
      <c r="B12" s="18" t="s">
        <v>283</v>
      </c>
      <c r="C12">
        <f t="shared" si="2"/>
        <v>3845</v>
      </c>
      <c r="D12" s="6">
        <f t="shared" si="3"/>
        <v>4120</v>
      </c>
      <c r="E12">
        <f t="shared" si="0"/>
        <v>512</v>
      </c>
      <c r="F12" s="15">
        <f t="shared" si="4"/>
        <v>0.12420796073962995</v>
      </c>
      <c r="G12" s="29"/>
      <c r="I12">
        <f t="shared" si="5"/>
        <v>725</v>
      </c>
      <c r="J12">
        <f t="shared" si="1"/>
        <v>18125</v>
      </c>
      <c r="K12" s="8"/>
    </row>
    <row r="13" spans="2:11">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c r="B14" s="13"/>
      <c r="C14">
        <f t="shared" si="2"/>
        <v>3845</v>
      </c>
      <c r="D14" s="6">
        <f t="shared" si="3"/>
        <v>4320</v>
      </c>
      <c r="E14">
        <f t="shared" si="0"/>
        <v>556</v>
      </c>
      <c r="F14" s="15">
        <f t="shared" si="4"/>
        <v>0.12867321574174848</v>
      </c>
      <c r="G14" s="29"/>
      <c r="I14">
        <f t="shared" si="5"/>
        <v>775</v>
      </c>
      <c r="J14">
        <f t="shared" si="1"/>
        <v>19375</v>
      </c>
      <c r="K14" s="8"/>
    </row>
    <row r="15" spans="2:11">
      <c r="B15" s="7"/>
      <c r="C15">
        <f t="shared" si="2"/>
        <v>3845</v>
      </c>
      <c r="D15" s="6">
        <f t="shared" si="3"/>
        <v>4420</v>
      </c>
      <c r="E15">
        <f t="shared" si="0"/>
        <v>578</v>
      </c>
      <c r="F15" s="15">
        <f t="shared" si="4"/>
        <v>0.13079513511747026</v>
      </c>
      <c r="G15" s="29"/>
      <c r="I15">
        <f t="shared" si="5"/>
        <v>800</v>
      </c>
      <c r="J15">
        <f t="shared" si="1"/>
        <v>20000</v>
      </c>
      <c r="K15" s="8"/>
    </row>
    <row r="16" spans="2:11">
      <c r="B16" s="7"/>
      <c r="C16">
        <f t="shared" si="2"/>
        <v>3845</v>
      </c>
      <c r="D16" s="6">
        <f t="shared" si="3"/>
        <v>4520</v>
      </c>
      <c r="E16">
        <f t="shared" si="0"/>
        <v>600</v>
      </c>
      <c r="F16" s="15">
        <f t="shared" si="4"/>
        <v>0.13284651135226169</v>
      </c>
      <c r="G16" s="29"/>
      <c r="I16">
        <f t="shared" si="5"/>
        <v>825</v>
      </c>
      <c r="J16">
        <f t="shared" si="1"/>
        <v>20625</v>
      </c>
      <c r="K16" s="8"/>
    </row>
    <row r="17" spans="1:14">
      <c r="B17" s="7"/>
      <c r="C17">
        <f t="shared" si="2"/>
        <v>3845</v>
      </c>
      <c r="D17" s="6">
        <f t="shared" si="3"/>
        <v>4620</v>
      </c>
      <c r="E17">
        <f t="shared" si="0"/>
        <v>623</v>
      </c>
      <c r="F17" s="15">
        <f t="shared" si="4"/>
        <v>0.13482968965055847</v>
      </c>
      <c r="G17" s="29"/>
      <c r="I17">
        <f t="shared" si="5"/>
        <v>850</v>
      </c>
      <c r="J17">
        <f t="shared" si="1"/>
        <v>21250</v>
      </c>
      <c r="K17" s="8"/>
    </row>
    <row r="18" spans="1:14">
      <c r="B18" s="10"/>
      <c r="C18" s="4"/>
      <c r="D18" s="4"/>
      <c r="E18" s="4"/>
      <c r="F18" s="4"/>
      <c r="G18" s="4"/>
      <c r="H18" s="538" t="s">
        <v>438</v>
      </c>
      <c r="I18" s="538"/>
      <c r="J18" s="538"/>
      <c r="K18" s="539"/>
    </row>
    <row r="20" spans="1:14" ht="13.5" thickBot="1">
      <c r="H20" s="1"/>
      <c r="I20" s="1"/>
      <c r="L20" t="s">
        <v>430</v>
      </c>
    </row>
    <row r="21" spans="1:14" ht="13.5" thickBot="1">
      <c r="E21" t="s">
        <v>295</v>
      </c>
      <c r="F21" s="34">
        <v>0.125</v>
      </c>
      <c r="H21" s="1"/>
      <c r="I21" s="1"/>
      <c r="J21" t="s">
        <v>431</v>
      </c>
      <c r="K21" t="s">
        <v>432</v>
      </c>
      <c r="L21" s="33">
        <v>0.3</v>
      </c>
      <c r="M21" t="s">
        <v>433</v>
      </c>
    </row>
    <row r="22" spans="1:14">
      <c r="A22" s="21" t="s">
        <v>99</v>
      </c>
      <c r="B22" s="3" t="s">
        <v>30</v>
      </c>
      <c r="C22" s="31"/>
      <c r="D22" s="3" t="s">
        <v>145</v>
      </c>
      <c r="E22" s="3">
        <v>4</v>
      </c>
      <c r="G22" s="3">
        <v>325</v>
      </c>
      <c r="H22" s="3">
        <v>25</v>
      </c>
      <c r="I22" s="11">
        <v>5</v>
      </c>
      <c r="J22" s="1"/>
      <c r="K22" s="1">
        <f>(K29-K28-K27)*C22</f>
        <v>0</v>
      </c>
      <c r="M22" s="1">
        <f>J22*F22*(1+L21)</f>
        <v>0</v>
      </c>
    </row>
    <row r="23" spans="1:14">
      <c r="A23" s="19"/>
      <c r="C23" s="23">
        <f>1-C24</f>
        <v>0.5</v>
      </c>
      <c r="D23" t="s">
        <v>146</v>
      </c>
      <c r="F23">
        <v>3</v>
      </c>
      <c r="G23">
        <v>300</v>
      </c>
      <c r="H23">
        <v>15</v>
      </c>
      <c r="I23" s="8">
        <v>5</v>
      </c>
      <c r="J23" s="1">
        <f>K23/I23</f>
        <v>6412.7</v>
      </c>
      <c r="K23" s="1">
        <f>(K29-K28-K27)*C23</f>
        <v>32063.5</v>
      </c>
      <c r="M23" s="1">
        <f>J23*F23*(1+L21)</f>
        <v>25009.53</v>
      </c>
    </row>
    <row r="24" spans="1:14">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c r="C26" s="2">
        <f>SUM(C22:C25)</f>
        <v>1</v>
      </c>
      <c r="D26" t="s">
        <v>24</v>
      </c>
      <c r="F26">
        <v>1</v>
      </c>
      <c r="H26" s="1"/>
      <c r="I26" t="s">
        <v>24</v>
      </c>
      <c r="J26" s="31">
        <v>5000</v>
      </c>
      <c r="M26" s="1">
        <f>J26*F26*(1+L21)</f>
        <v>6500</v>
      </c>
    </row>
    <row r="27" spans="1:14">
      <c r="H27" s="1"/>
      <c r="I27" s="1" t="s">
        <v>428</v>
      </c>
      <c r="J27" s="27">
        <v>1250</v>
      </c>
      <c r="K27" s="1">
        <f>J27*25</f>
        <v>31250</v>
      </c>
      <c r="M27" s="35">
        <f>SUM(M22:M26)</f>
        <v>52425.504910394266</v>
      </c>
      <c r="N27" t="s">
        <v>433</v>
      </c>
    </row>
    <row r="28" spans="1:14" ht="13.5" thickBot="1">
      <c r="H28" s="1"/>
      <c r="I28" s="1" t="s">
        <v>429</v>
      </c>
      <c r="J28" s="32">
        <v>750</v>
      </c>
      <c r="K28" s="1">
        <f>5*J28</f>
        <v>3750</v>
      </c>
    </row>
    <row r="29" spans="1:14" ht="13.5" thickBot="1">
      <c r="H29" s="1"/>
      <c r="I29" s="1"/>
      <c r="K29" s="30">
        <v>99127</v>
      </c>
    </row>
    <row r="30" spans="1:14">
      <c r="H30" s="1"/>
      <c r="I30" s="1"/>
    </row>
    <row r="31" spans="1:14" ht="13.5" thickBot="1">
      <c r="H31" s="1"/>
      <c r="I31" s="1"/>
      <c r="L31" t="s">
        <v>442</v>
      </c>
    </row>
    <row r="32" spans="1:14" ht="13.5" thickBot="1">
      <c r="H32" s="1"/>
      <c r="I32" s="1"/>
      <c r="J32" t="s">
        <v>431</v>
      </c>
      <c r="K32" t="s">
        <v>432</v>
      </c>
      <c r="L32" s="33">
        <v>0.2</v>
      </c>
      <c r="M32" t="s">
        <v>433</v>
      </c>
      <c r="N32" t="s">
        <v>444</v>
      </c>
    </row>
    <row r="33" spans="1:14">
      <c r="A33" s="21" t="s">
        <v>97</v>
      </c>
      <c r="B33" s="11" t="s">
        <v>30</v>
      </c>
      <c r="C33" s="31"/>
      <c r="D33" s="9" t="s">
        <v>141</v>
      </c>
      <c r="E33" s="3">
        <v>3</v>
      </c>
      <c r="F33" s="3"/>
      <c r="G33" s="3">
        <v>325</v>
      </c>
      <c r="H33" s="3">
        <v>25</v>
      </c>
      <c r="I33" s="11">
        <v>5</v>
      </c>
      <c r="J33" s="1"/>
      <c r="K33" s="1">
        <f>(K40-K39-K38)*C33</f>
        <v>0</v>
      </c>
      <c r="M33" s="1"/>
      <c r="N33" s="1"/>
    </row>
    <row r="34" spans="1:14">
      <c r="A34" s="19"/>
      <c r="B34" s="8"/>
      <c r="C34" s="23">
        <f>1-C36</f>
        <v>0.4</v>
      </c>
      <c r="D34" s="7" t="s">
        <v>142</v>
      </c>
      <c r="F34">
        <v>3</v>
      </c>
      <c r="G34">
        <v>375</v>
      </c>
      <c r="H34">
        <v>15</v>
      </c>
      <c r="I34" s="8">
        <v>5</v>
      </c>
      <c r="J34" s="1">
        <f>K34/I34</f>
        <v>14126</v>
      </c>
      <c r="K34" s="1">
        <f>(K40-K39-K38)*C34</f>
        <v>70630</v>
      </c>
      <c r="M34" s="37">
        <f>J34*F34*(1+L32)</f>
        <v>50853.599999999999</v>
      </c>
      <c r="N34" s="1"/>
    </row>
    <row r="35" spans="1:14">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c r="F37">
        <v>1</v>
      </c>
      <c r="H37" s="1"/>
      <c r="I37" t="s">
        <v>24</v>
      </c>
      <c r="J37" s="31">
        <v>1000</v>
      </c>
      <c r="M37" s="37">
        <f>J37*F37*(1+L35)</f>
        <v>1000</v>
      </c>
      <c r="N37" s="1"/>
    </row>
    <row r="38" spans="1:14">
      <c r="H38" s="1"/>
      <c r="I38" s="1" t="s">
        <v>428</v>
      </c>
      <c r="J38" s="27">
        <v>2337</v>
      </c>
      <c r="K38" s="1">
        <f>J38*25</f>
        <v>58425</v>
      </c>
      <c r="M38" s="35"/>
      <c r="N38" s="35"/>
    </row>
    <row r="39" spans="1:14" ht="13.5" thickBot="1">
      <c r="H39" s="1"/>
      <c r="I39" s="1" t="s">
        <v>443</v>
      </c>
      <c r="J39" s="32">
        <v>1000</v>
      </c>
      <c r="K39" s="1">
        <f>5*J39</f>
        <v>5000</v>
      </c>
      <c r="M39" s="35">
        <f>SUM(M33:M37)</f>
        <v>51853.599999999999</v>
      </c>
      <c r="N39" s="35">
        <f>N36</f>
        <v>54330.769230769234</v>
      </c>
    </row>
    <row r="40" spans="1:14" ht="13.5" thickBot="1">
      <c r="H40" s="1"/>
      <c r="I40" s="1"/>
      <c r="K40" s="30">
        <v>240000</v>
      </c>
    </row>
    <row r="41" spans="1:14">
      <c r="H41" s="1"/>
      <c r="I41" s="1"/>
    </row>
    <row r="42" spans="1:14">
      <c r="H42" s="1"/>
      <c r="I42" s="1"/>
    </row>
    <row r="43" spans="1:14">
      <c r="H43" s="1"/>
      <c r="I43" s="1"/>
    </row>
    <row r="44" spans="1:14">
      <c r="H44" s="1"/>
      <c r="I44" s="1"/>
    </row>
    <row r="45" spans="1:14">
      <c r="H45" s="1"/>
      <c r="I45" s="1"/>
    </row>
    <row r="46" spans="1:14">
      <c r="H46" s="1"/>
      <c r="I46" s="1"/>
    </row>
    <row r="47" spans="1:14">
      <c r="H47" s="1"/>
      <c r="I47" s="1"/>
    </row>
    <row r="48" spans="1:14">
      <c r="H48" s="1"/>
      <c r="I48" s="1"/>
    </row>
    <row r="49" spans="3:9">
      <c r="H49" s="1"/>
      <c r="I49" s="1"/>
    </row>
    <row r="50" spans="3:9">
      <c r="H50" s="1"/>
      <c r="I50" s="1"/>
    </row>
    <row r="51" spans="3:9" ht="13.5" thickBot="1">
      <c r="C51" s="3" t="s">
        <v>284</v>
      </c>
      <c r="D51" s="3" t="s">
        <v>285</v>
      </c>
      <c r="E51" s="3" t="s">
        <v>237</v>
      </c>
      <c r="F51" s="3" t="s">
        <v>236</v>
      </c>
      <c r="H51" s="1"/>
      <c r="I51" s="1"/>
    </row>
    <row r="52" spans="3:9" ht="13.5" thickBot="1">
      <c r="C52" s="22">
        <v>3845</v>
      </c>
      <c r="D52" s="24">
        <v>3220</v>
      </c>
      <c r="E52" s="38">
        <f>MAX(10,($F52*$D52))</f>
        <v>321.73901464653113</v>
      </c>
      <c r="F52" s="15">
        <f>MIN(0.15, 0.25 * ( 0.7 - EXP( -1.3 * $D52 / $C52 ) ))*1.1</f>
        <v>9.9918948647991029E-2</v>
      </c>
      <c r="G52">
        <v>310</v>
      </c>
      <c r="H52" s="1"/>
      <c r="I52" s="1"/>
    </row>
    <row r="53" spans="3:9" ht="13.5" thickBot="1">
      <c r="C53" s="22">
        <v>3810</v>
      </c>
      <c r="D53" s="24">
        <v>3127</v>
      </c>
      <c r="E53" s="38">
        <f>MAX(10,($F53*$D53))</f>
        <v>306.08648635209335</v>
      </c>
      <c r="F53" s="15">
        <f>MIN(0.15, 0.25 * ( 0.7 - EXP( -1.3 * $D53 / $C53 ) ))*1.1</f>
        <v>9.7885029213972921E-2</v>
      </c>
      <c r="G53" s="38">
        <v>298</v>
      </c>
      <c r="H53" s="1"/>
      <c r="I53" s="1"/>
    </row>
    <row r="54" spans="3:9" ht="13.5" thickBot="1">
      <c r="C54" s="22">
        <v>3643</v>
      </c>
      <c r="D54" s="24">
        <v>3042</v>
      </c>
      <c r="E54" s="38">
        <f>MAX(10,($F54*$D54))</f>
        <v>303.0641393490846</v>
      </c>
      <c r="F54" s="15">
        <f>MIN(0.15, 0.25 * ( 0.7 - EXP( -1.3 * $D54 / $C54 ) ))*1.1</f>
        <v>9.9626607281092891E-2</v>
      </c>
      <c r="G54" s="38">
        <v>294</v>
      </c>
      <c r="H54" s="1"/>
      <c r="I54" s="1"/>
    </row>
    <row r="55" spans="3:9" ht="13.5" thickBot="1">
      <c r="C55" s="22">
        <v>3905</v>
      </c>
      <c r="D55" s="24">
        <v>2938</v>
      </c>
      <c r="E55" s="38">
        <f>MAX(10,($F55*$D55))</f>
        <v>261.74944508637975</v>
      </c>
      <c r="F55" s="15">
        <f>MIN(0.15, 0.25 * ( 0.7 - EXP( -1.3 * $D55 / $C55 ) ))*1.1</f>
        <v>8.9091029641381811E-2</v>
      </c>
      <c r="G55" s="38">
        <v>234</v>
      </c>
      <c r="H55" s="1"/>
      <c r="I55" s="1"/>
    </row>
    <row r="56" spans="3:9">
      <c r="H56" s="1"/>
      <c r="I56" s="1"/>
    </row>
    <row r="57" spans="3:9">
      <c r="H57" s="1"/>
      <c r="I57" s="1"/>
    </row>
    <row r="58" spans="3:9">
      <c r="H58" s="1"/>
      <c r="I58" s="1"/>
    </row>
    <row r="59" spans="3:9">
      <c r="H59" s="1"/>
      <c r="I59" s="1"/>
    </row>
    <row r="60" spans="3:9">
      <c r="H60" s="1"/>
      <c r="I60" s="1"/>
    </row>
    <row r="61" spans="3:9">
      <c r="H61" s="1"/>
      <c r="I61" s="1"/>
    </row>
    <row r="62" spans="3:9">
      <c r="H62" s="1"/>
      <c r="I62" s="1"/>
    </row>
    <row r="63" spans="3:9">
      <c r="H63" s="1"/>
      <c r="I63" s="1"/>
    </row>
    <row r="64" spans="3:9">
      <c r="H64" s="1"/>
      <c r="I64" s="1"/>
    </row>
    <row r="65" spans="8:9">
      <c r="H65" s="1"/>
      <c r="I65" s="1"/>
    </row>
    <row r="66" spans="8:9">
      <c r="H66" s="1"/>
      <c r="I66" s="1"/>
    </row>
    <row r="67" spans="8:9">
      <c r="H67" s="1"/>
      <c r="I67" s="1"/>
    </row>
    <row r="68" spans="8:9">
      <c r="H68" s="1"/>
      <c r="I68" s="1"/>
    </row>
    <row r="69" spans="8:9">
      <c r="H69" s="1"/>
      <c r="I69" s="1"/>
    </row>
    <row r="70" spans="8:9">
      <c r="H70" s="1"/>
      <c r="I70" s="1"/>
    </row>
    <row r="71" spans="8:9">
      <c r="H71" s="1"/>
      <c r="I71" s="1"/>
    </row>
    <row r="72" spans="8:9">
      <c r="H72" s="1"/>
      <c r="I72" s="1"/>
    </row>
    <row r="73" spans="8:9">
      <c r="H73" s="1"/>
      <c r="I73" s="1"/>
    </row>
    <row r="74" spans="8:9">
      <c r="H74" s="1"/>
      <c r="I74" s="1"/>
    </row>
    <row r="75" spans="8:9">
      <c r="H75" s="1"/>
      <c r="I75" s="1"/>
    </row>
    <row r="76" spans="8:9">
      <c r="H76" s="1"/>
      <c r="I76" s="1"/>
    </row>
    <row r="77" spans="8:9">
      <c r="H77" s="1"/>
      <c r="I77" s="1"/>
    </row>
    <row r="78" spans="8:9">
      <c r="H78" s="1"/>
      <c r="I78" s="1"/>
    </row>
    <row r="79" spans="8:9">
      <c r="H79" s="1"/>
      <c r="I79" s="1"/>
    </row>
    <row r="80" spans="8:9">
      <c r="H80" s="1"/>
      <c r="I80" s="1"/>
    </row>
    <row r="81" spans="8:9">
      <c r="H81" s="1"/>
      <c r="I81" s="1"/>
    </row>
    <row r="82" spans="8:9">
      <c r="H82" s="1"/>
      <c r="I82" s="1"/>
    </row>
    <row r="83" spans="8:9">
      <c r="H83" s="1"/>
      <c r="I83" s="1"/>
    </row>
    <row r="84" spans="8:9">
      <c r="H84" s="1"/>
      <c r="I84" s="1"/>
    </row>
    <row r="85" spans="8:9">
      <c r="H85" s="1"/>
      <c r="I85" s="1"/>
    </row>
    <row r="86" spans="8:9">
      <c r="H86" s="1"/>
      <c r="I86" s="1"/>
    </row>
    <row r="87" spans="8:9">
      <c r="H87" s="1"/>
      <c r="I87" s="1"/>
    </row>
    <row r="88" spans="8:9">
      <c r="H88" s="1"/>
      <c r="I88" s="1"/>
    </row>
    <row r="89" spans="8:9">
      <c r="H89" s="1"/>
      <c r="I89" s="1"/>
    </row>
    <row r="90" spans="8:9">
      <c r="H90" s="1"/>
      <c r="I90" s="1"/>
    </row>
    <row r="91" spans="8:9">
      <c r="H91" s="1"/>
      <c r="I91" s="1"/>
    </row>
    <row r="92" spans="8:9">
      <c r="H92" s="1"/>
      <c r="I92" s="1"/>
    </row>
    <row r="93" spans="8:9">
      <c r="H93" s="1"/>
      <c r="I93" s="1"/>
    </row>
    <row r="94" spans="8:9">
      <c r="H94" s="1"/>
      <c r="I94" s="1"/>
    </row>
    <row r="95" spans="8:9">
      <c r="H95" s="1"/>
      <c r="I95" s="1"/>
    </row>
    <row r="96" spans="8:9">
      <c r="H96" s="1"/>
      <c r="I96" s="1"/>
    </row>
    <row r="97" spans="8:9">
      <c r="H97" s="1"/>
      <c r="I97" s="1"/>
    </row>
    <row r="98" spans="8:9">
      <c r="H98" s="1"/>
      <c r="I98" s="1"/>
    </row>
    <row r="99" spans="8:9">
      <c r="H99" s="1"/>
      <c r="I99" s="1"/>
    </row>
    <row r="100" spans="8:9">
      <c r="H100" s="1"/>
      <c r="I100" s="1"/>
    </row>
    <row r="101" spans="8:9">
      <c r="H101" s="1"/>
      <c r="I101" s="1"/>
    </row>
    <row r="102" spans="8:9">
      <c r="H102" s="1"/>
      <c r="I102" s="1"/>
    </row>
    <row r="103" spans="8:9">
      <c r="H103" s="1"/>
      <c r="I103" s="1"/>
    </row>
    <row r="104" spans="8:9">
      <c r="H104" s="1"/>
      <c r="I104" s="1"/>
    </row>
    <row r="105" spans="8:9">
      <c r="H105" s="1"/>
      <c r="I105" s="1"/>
    </row>
    <row r="106" spans="8:9">
      <c r="H106" s="1"/>
      <c r="I106" s="1"/>
    </row>
    <row r="107" spans="8:9">
      <c r="H107" s="1"/>
      <c r="I107" s="1"/>
    </row>
    <row r="108" spans="8:9">
      <c r="H108" s="1"/>
      <c r="I108" s="1"/>
    </row>
    <row r="109" spans="8:9">
      <c r="H109" s="1"/>
      <c r="I109" s="1"/>
    </row>
    <row r="110" spans="8:9">
      <c r="H110" s="1"/>
      <c r="I110" s="1"/>
    </row>
    <row r="111" spans="8:9">
      <c r="H111" s="1"/>
      <c r="I111" s="1"/>
    </row>
    <row r="112" spans="8:9">
      <c r="H112" s="1"/>
      <c r="I112" s="1"/>
    </row>
    <row r="113" spans="8:9">
      <c r="H113" s="1"/>
      <c r="I113" s="1"/>
    </row>
    <row r="114" spans="8:9">
      <c r="H114" s="1"/>
      <c r="I114" s="1"/>
    </row>
    <row r="115" spans="8:9">
      <c r="H115" s="1"/>
      <c r="I115" s="1"/>
    </row>
    <row r="116" spans="8:9">
      <c r="H116" s="1"/>
      <c r="I116" s="1"/>
    </row>
    <row r="117" spans="8:9">
      <c r="H117" s="1"/>
      <c r="I117" s="1"/>
    </row>
    <row r="118" spans="8:9">
      <c r="H118" s="1"/>
      <c r="I118" s="1"/>
    </row>
    <row r="119" spans="8:9">
      <c r="H119" s="1"/>
      <c r="I119" s="1"/>
    </row>
    <row r="120" spans="8:9">
      <c r="H120" s="1"/>
      <c r="I120" s="1"/>
    </row>
    <row r="121" spans="8:9">
      <c r="H121" s="1"/>
      <c r="I121" s="1"/>
    </row>
    <row r="122" spans="8:9">
      <c r="H122" s="1"/>
      <c r="I122" s="1"/>
    </row>
    <row r="123" spans="8:9">
      <c r="H123" s="1"/>
      <c r="I123" s="1"/>
    </row>
    <row r="124" spans="8:9">
      <c r="H124" s="1"/>
      <c r="I124" s="1"/>
    </row>
    <row r="125" spans="8:9">
      <c r="H125" s="1"/>
      <c r="I125" s="1"/>
    </row>
    <row r="126" spans="8:9">
      <c r="H126" s="1"/>
      <c r="I126" s="1"/>
    </row>
    <row r="127" spans="8:9">
      <c r="H127" s="1"/>
      <c r="I127" s="1"/>
    </row>
    <row r="128" spans="8:9">
      <c r="H128" s="1"/>
      <c r="I128" s="1"/>
    </row>
    <row r="129" spans="8:9">
      <c r="H129" s="1"/>
      <c r="I129" s="1"/>
    </row>
    <row r="130" spans="8:9">
      <c r="H130" s="1"/>
      <c r="I130" s="1"/>
    </row>
    <row r="131" spans="8:9">
      <c r="H131" s="1"/>
      <c r="I131" s="1"/>
    </row>
    <row r="132" spans="8:9">
      <c r="H132" s="1"/>
      <c r="I132" s="1"/>
    </row>
    <row r="133" spans="8:9">
      <c r="H133" s="1"/>
      <c r="I133" s="1"/>
    </row>
    <row r="134" spans="8:9">
      <c r="H134" s="1"/>
      <c r="I134" s="1"/>
    </row>
    <row r="135" spans="8:9">
      <c r="H135" s="1"/>
      <c r="I135" s="1"/>
    </row>
    <row r="136" spans="8:9">
      <c r="H136" s="1"/>
      <c r="I136" s="1"/>
    </row>
    <row r="137" spans="8:9">
      <c r="H137" s="1"/>
      <c r="I137" s="1"/>
    </row>
    <row r="138" spans="8:9">
      <c r="H138" s="1"/>
      <c r="I138" s="1"/>
    </row>
    <row r="139" spans="8:9">
      <c r="H139" s="1"/>
      <c r="I139" s="1"/>
    </row>
    <row r="140" spans="8:9">
      <c r="H140" s="1"/>
      <c r="I140" s="1"/>
    </row>
    <row r="141" spans="8:9">
      <c r="H141" s="1"/>
      <c r="I141" s="1"/>
    </row>
    <row r="142" spans="8:9">
      <c r="H142" s="1"/>
      <c r="I142" s="1"/>
    </row>
    <row r="143" spans="8:9">
      <c r="H143" s="1"/>
      <c r="I143" s="1"/>
    </row>
    <row r="144" spans="8:9">
      <c r="H144" s="1"/>
      <c r="I144" s="1"/>
    </row>
    <row r="145" spans="8:9">
      <c r="H145" s="1"/>
      <c r="I145" s="1"/>
    </row>
    <row r="146" spans="8:9">
      <c r="H146" s="1"/>
      <c r="I146" s="1"/>
    </row>
    <row r="147" spans="8:9">
      <c r="H147" s="1"/>
      <c r="I147" s="1"/>
    </row>
    <row r="148" spans="8:9">
      <c r="H148" s="1"/>
      <c r="I148" s="1"/>
    </row>
    <row r="149" spans="8:9">
      <c r="H149" s="1"/>
      <c r="I149" s="1"/>
    </row>
    <row r="150" spans="8:9">
      <c r="H150" s="1"/>
      <c r="I150" s="1"/>
    </row>
    <row r="151" spans="8:9">
      <c r="H151" s="1"/>
      <c r="I151" s="1"/>
    </row>
    <row r="152" spans="8:9">
      <c r="H152" s="1"/>
      <c r="I152" s="1"/>
    </row>
    <row r="153" spans="8:9">
      <c r="H153" s="1"/>
      <c r="I153" s="1"/>
    </row>
    <row r="154" spans="8:9">
      <c r="H154" s="1"/>
      <c r="I154" s="1"/>
    </row>
    <row r="155" spans="8:9">
      <c r="H155" s="1"/>
      <c r="I155" s="1"/>
    </row>
    <row r="156" spans="8:9">
      <c r="H156" s="1"/>
      <c r="I156" s="1"/>
    </row>
    <row r="157" spans="8:9">
      <c r="H157" s="1"/>
      <c r="I157" s="1"/>
    </row>
    <row r="158" spans="8:9">
      <c r="H158" s="1"/>
      <c r="I158" s="1"/>
    </row>
    <row r="159" spans="8:9">
      <c r="H159" s="1"/>
      <c r="I159" s="1"/>
    </row>
    <row r="160" spans="8:9">
      <c r="H160" s="1"/>
      <c r="I160" s="1"/>
    </row>
    <row r="161" spans="8:9">
      <c r="H161" s="1"/>
      <c r="I161" s="1"/>
    </row>
    <row r="162" spans="8:9">
      <c r="H162" s="1"/>
      <c r="I162" s="1"/>
    </row>
    <row r="163" spans="8:9">
      <c r="H163" s="1"/>
      <c r="I163" s="1"/>
    </row>
    <row r="164" spans="8:9">
      <c r="H164" s="1"/>
      <c r="I164" s="1"/>
    </row>
    <row r="165" spans="8:9">
      <c r="H165" s="1"/>
      <c r="I165" s="1"/>
    </row>
    <row r="166" spans="8:9">
      <c r="H166" s="1"/>
      <c r="I166" s="1"/>
    </row>
    <row r="167" spans="8:9">
      <c r="H167" s="1"/>
      <c r="I167" s="1"/>
    </row>
    <row r="168" spans="8:9">
      <c r="H168" s="1"/>
      <c r="I168" s="1"/>
    </row>
    <row r="169" spans="8:9">
      <c r="H169" s="1"/>
      <c r="I169" s="1"/>
    </row>
    <row r="170" spans="8:9">
      <c r="H170" s="1"/>
      <c r="I170" s="1"/>
    </row>
    <row r="171" spans="8:9">
      <c r="H171" s="1"/>
      <c r="I171" s="1"/>
    </row>
    <row r="172" spans="8:9">
      <c r="H172" s="1"/>
      <c r="I172" s="1"/>
    </row>
    <row r="173" spans="8:9">
      <c r="H173" s="1"/>
      <c r="I173" s="1"/>
    </row>
    <row r="174" spans="8:9">
      <c r="H174" s="1"/>
      <c r="I174" s="1"/>
    </row>
    <row r="175" spans="8:9">
      <c r="H175" s="1"/>
      <c r="I175" s="1"/>
    </row>
    <row r="176" spans="8:9">
      <c r="H176" s="1"/>
      <c r="I176" s="1"/>
    </row>
    <row r="177" spans="8:9">
      <c r="H177" s="1"/>
      <c r="I177" s="1"/>
    </row>
    <row r="178" spans="8:9">
      <c r="H178" s="1"/>
      <c r="I178" s="1"/>
    </row>
    <row r="179" spans="8:9">
      <c r="H179" s="1"/>
      <c r="I179" s="1"/>
    </row>
    <row r="180" spans="8:9">
      <c r="H180" s="1"/>
      <c r="I180" s="1"/>
    </row>
    <row r="181" spans="8:9">
      <c r="H181" s="1"/>
      <c r="I181" s="1"/>
    </row>
    <row r="182" spans="8:9">
      <c r="H182" s="1"/>
      <c r="I182" s="1"/>
    </row>
    <row r="183" spans="8:9">
      <c r="H183" s="1"/>
      <c r="I183" s="1"/>
    </row>
    <row r="184" spans="8:9">
      <c r="H184" s="1"/>
      <c r="I184" s="1"/>
    </row>
    <row r="185" spans="8:9">
      <c r="H185" s="1"/>
      <c r="I185" s="1"/>
    </row>
    <row r="186" spans="8:9">
      <c r="H186" s="1"/>
      <c r="I186" s="1"/>
    </row>
    <row r="187" spans="8:9">
      <c r="H187" s="1"/>
      <c r="I187" s="1"/>
    </row>
    <row r="188" spans="8:9">
      <c r="H188" s="1"/>
      <c r="I188" s="1"/>
    </row>
    <row r="189" spans="8:9">
      <c r="H189" s="1"/>
      <c r="I189" s="1"/>
    </row>
    <row r="190" spans="8:9">
      <c r="H190" s="1"/>
      <c r="I190" s="1"/>
    </row>
    <row r="191" spans="8:9">
      <c r="H191" s="1"/>
      <c r="I191" s="1"/>
    </row>
    <row r="192" spans="8:9">
      <c r="H192" s="1"/>
      <c r="I192" s="1"/>
    </row>
    <row r="193" spans="8:9">
      <c r="H193" s="1"/>
      <c r="I193" s="1"/>
    </row>
    <row r="194" spans="8:9">
      <c r="H194" s="1"/>
      <c r="I194" s="1"/>
    </row>
    <row r="195" spans="8:9">
      <c r="H195" s="1"/>
      <c r="I195" s="1"/>
    </row>
    <row r="196" spans="8:9">
      <c r="H196" s="1"/>
      <c r="I196" s="1"/>
    </row>
    <row r="197" spans="8:9">
      <c r="H197" s="1"/>
      <c r="I197" s="1"/>
    </row>
    <row r="198" spans="8:9">
      <c r="H198" s="1"/>
      <c r="I198" s="1"/>
    </row>
    <row r="199" spans="8:9">
      <c r="H199" s="1"/>
      <c r="I199" s="1"/>
    </row>
    <row r="200" spans="8:9">
      <c r="H200" s="1"/>
      <c r="I200" s="1"/>
    </row>
    <row r="201" spans="8:9">
      <c r="H201" s="1"/>
      <c r="I201" s="1"/>
    </row>
    <row r="202" spans="8:9">
      <c r="H202" s="1"/>
      <c r="I202" s="1"/>
    </row>
    <row r="203" spans="8:9">
      <c r="H203" s="1"/>
      <c r="I203" s="1"/>
    </row>
    <row r="204" spans="8:9">
      <c r="H204" s="1"/>
      <c r="I204" s="1"/>
    </row>
    <row r="205" spans="8:9">
      <c r="H205" s="1"/>
      <c r="I205" s="1"/>
    </row>
    <row r="206" spans="8:9">
      <c r="H206" s="1"/>
      <c r="I206" s="1"/>
    </row>
    <row r="207" spans="8:9">
      <c r="H207" s="1"/>
      <c r="I207" s="1"/>
    </row>
    <row r="208" spans="8:9">
      <c r="H208" s="1"/>
      <c r="I208" s="1"/>
    </row>
    <row r="209" spans="8:9">
      <c r="H209" s="1"/>
      <c r="I209" s="1"/>
    </row>
    <row r="210" spans="8:9">
      <c r="H210" s="1"/>
      <c r="I210" s="1"/>
    </row>
    <row r="211" spans="8:9">
      <c r="H211" s="1"/>
      <c r="I211" s="1"/>
    </row>
    <row r="212" spans="8:9">
      <c r="H212" s="1"/>
      <c r="I212" s="1"/>
    </row>
    <row r="213" spans="8:9">
      <c r="H213" s="1"/>
      <c r="I213" s="1"/>
    </row>
    <row r="214" spans="8:9">
      <c r="H214" s="1"/>
      <c r="I214" s="1"/>
    </row>
    <row r="215" spans="8:9">
      <c r="H215" s="1"/>
      <c r="I215" s="1"/>
    </row>
    <row r="216" spans="8:9">
      <c r="H216" s="1"/>
      <c r="I216" s="1"/>
    </row>
    <row r="217" spans="8:9">
      <c r="H217" s="1"/>
      <c r="I217" s="1"/>
    </row>
    <row r="218" spans="8:9">
      <c r="H218" s="1"/>
      <c r="I218" s="1"/>
    </row>
    <row r="219" spans="8:9">
      <c r="H219" s="1"/>
      <c r="I219" s="1"/>
    </row>
    <row r="220" spans="8:9">
      <c r="H220" s="1"/>
      <c r="I220" s="1"/>
    </row>
    <row r="221" spans="8:9">
      <c r="H221" s="1"/>
      <c r="I221" s="1"/>
    </row>
    <row r="222" spans="8:9">
      <c r="H222" s="1"/>
      <c r="I222" s="1"/>
    </row>
    <row r="223" spans="8:9">
      <c r="H223" s="1"/>
      <c r="I223" s="1"/>
    </row>
    <row r="224" spans="8:9">
      <c r="H224" s="1"/>
      <c r="I224" s="1"/>
    </row>
    <row r="225" spans="8:9">
      <c r="H225" s="1"/>
      <c r="I225" s="1"/>
    </row>
    <row r="226" spans="8:9">
      <c r="H226" s="1"/>
      <c r="I226" s="1"/>
    </row>
    <row r="227" spans="8:9">
      <c r="H227" s="1"/>
      <c r="I227" s="1"/>
    </row>
    <row r="228" spans="8:9">
      <c r="H228" s="1"/>
      <c r="I228" s="1"/>
    </row>
    <row r="229" spans="8:9">
      <c r="H229" s="1"/>
      <c r="I229" s="1"/>
    </row>
    <row r="230" spans="8:9">
      <c r="H230" s="1"/>
      <c r="I230" s="1"/>
    </row>
    <row r="231" spans="8:9">
      <c r="H231" s="1"/>
      <c r="I231" s="1"/>
    </row>
    <row r="232" spans="8:9">
      <c r="H232" s="1"/>
      <c r="I232" s="1"/>
    </row>
    <row r="233" spans="8:9">
      <c r="H233" s="1"/>
      <c r="I233" s="1"/>
    </row>
    <row r="234" spans="8:9">
      <c r="H234" s="1"/>
      <c r="I234" s="1"/>
    </row>
    <row r="235" spans="8:9">
      <c r="H235" s="1"/>
      <c r="I235" s="1"/>
    </row>
    <row r="236" spans="8:9">
      <c r="H236" s="1"/>
      <c r="I236" s="1"/>
    </row>
    <row r="237" spans="8:9">
      <c r="H237" s="1"/>
      <c r="I237" s="1"/>
    </row>
    <row r="238" spans="8:9">
      <c r="H238" s="1"/>
      <c r="I238" s="1"/>
    </row>
    <row r="239" spans="8:9">
      <c r="H239" s="1"/>
      <c r="I239" s="1"/>
    </row>
    <row r="240" spans="8:9">
      <c r="H240" s="1"/>
      <c r="I240" s="1"/>
    </row>
    <row r="241" spans="8:9">
      <c r="H241" s="1"/>
      <c r="I241" s="1"/>
    </row>
    <row r="242" spans="8:9">
      <c r="H242" s="1"/>
      <c r="I242" s="1"/>
    </row>
    <row r="243" spans="8:9">
      <c r="H243" s="1"/>
      <c r="I243" s="1"/>
    </row>
    <row r="244" spans="8:9">
      <c r="H244" s="1"/>
      <c r="I244" s="1"/>
    </row>
    <row r="245" spans="8:9">
      <c r="H245" s="1"/>
      <c r="I245" s="1"/>
    </row>
    <row r="246" spans="8:9">
      <c r="H246" s="1"/>
      <c r="I246" s="1"/>
    </row>
    <row r="247" spans="8:9">
      <c r="H247" s="1"/>
      <c r="I247" s="1"/>
    </row>
    <row r="248" spans="8:9">
      <c r="H248" s="1"/>
      <c r="I248" s="1"/>
    </row>
    <row r="249" spans="8:9">
      <c r="H249" s="1"/>
      <c r="I249" s="1"/>
    </row>
    <row r="250" spans="8:9">
      <c r="H250" s="1"/>
      <c r="I250" s="1"/>
    </row>
    <row r="251" spans="8:9">
      <c r="H251" s="1"/>
      <c r="I251" s="1"/>
    </row>
    <row r="252" spans="8:9">
      <c r="H252" s="1"/>
      <c r="I252" s="1"/>
    </row>
    <row r="253" spans="8:9">
      <c r="H253" s="1"/>
      <c r="I253" s="1"/>
    </row>
    <row r="254" spans="8:9">
      <c r="H254" s="1"/>
      <c r="I254" s="1"/>
    </row>
    <row r="255" spans="8:9">
      <c r="H255" s="1"/>
      <c r="I255" s="1"/>
    </row>
    <row r="256" spans="8:9">
      <c r="H256" s="1"/>
      <c r="I256" s="1"/>
    </row>
    <row r="257" spans="8:9">
      <c r="H257" s="1"/>
      <c r="I257" s="1"/>
    </row>
    <row r="258" spans="8:9">
      <c r="H258" s="1"/>
      <c r="I258" s="1"/>
    </row>
    <row r="259" spans="8:9">
      <c r="H259" s="1"/>
      <c r="I259" s="1"/>
    </row>
    <row r="260" spans="8:9">
      <c r="H260" s="1"/>
      <c r="I260" s="1"/>
    </row>
    <row r="261" spans="8:9">
      <c r="H261" s="1"/>
      <c r="I261" s="1"/>
    </row>
    <row r="262" spans="8:9">
      <c r="H262" s="1"/>
      <c r="I262" s="1"/>
    </row>
    <row r="263" spans="8:9">
      <c r="H263" s="1"/>
      <c r="I263" s="1"/>
    </row>
    <row r="264" spans="8:9">
      <c r="H264" s="1"/>
      <c r="I264" s="1"/>
    </row>
    <row r="265" spans="8:9">
      <c r="H265" s="1"/>
      <c r="I265" s="1"/>
    </row>
    <row r="266" spans="8:9">
      <c r="H266" s="1"/>
      <c r="I266" s="1"/>
    </row>
    <row r="267" spans="8:9">
      <c r="H267" s="1"/>
      <c r="I267" s="1"/>
    </row>
    <row r="268" spans="8:9">
      <c r="H268" s="1"/>
      <c r="I268" s="1"/>
    </row>
    <row r="269" spans="8:9">
      <c r="H269" s="1"/>
      <c r="I269" s="1"/>
    </row>
    <row r="270" spans="8:9">
      <c r="H270" s="1"/>
      <c r="I270" s="1"/>
    </row>
    <row r="271" spans="8:9">
      <c r="H271" s="1"/>
      <c r="I271" s="1"/>
    </row>
    <row r="272" spans="8:9">
      <c r="H272" s="1"/>
      <c r="I272" s="1"/>
    </row>
    <row r="273" spans="8:9">
      <c r="H273" s="1"/>
      <c r="I273" s="1"/>
    </row>
    <row r="274" spans="8:9">
      <c r="H274" s="1"/>
      <c r="I274" s="1"/>
    </row>
    <row r="275" spans="8:9">
      <c r="H275" s="1"/>
      <c r="I275" s="1"/>
    </row>
    <row r="276" spans="8:9">
      <c r="H276" s="1"/>
      <c r="I276" s="1"/>
    </row>
    <row r="277" spans="8:9">
      <c r="H277" s="1"/>
      <c r="I277" s="1"/>
    </row>
    <row r="278" spans="8:9">
      <c r="H278" s="1"/>
      <c r="I278" s="1"/>
    </row>
    <row r="279" spans="8:9">
      <c r="H279" s="1"/>
      <c r="I279" s="1"/>
    </row>
    <row r="280" spans="8:9">
      <c r="H280" s="1"/>
      <c r="I280" s="1"/>
    </row>
    <row r="281" spans="8:9">
      <c r="H281" s="1"/>
      <c r="I281" s="1"/>
    </row>
    <row r="282" spans="8:9">
      <c r="H282" s="1"/>
      <c r="I282" s="1"/>
    </row>
    <row r="283" spans="8:9">
      <c r="H283" s="1"/>
      <c r="I283" s="1"/>
    </row>
    <row r="284" spans="8:9">
      <c r="H284" s="1"/>
      <c r="I284" s="1"/>
    </row>
    <row r="285" spans="8:9">
      <c r="H285" s="1"/>
      <c r="I285" s="1"/>
    </row>
    <row r="286" spans="8:9">
      <c r="H286" s="1"/>
      <c r="I286" s="1"/>
    </row>
    <row r="287" spans="8:9">
      <c r="H287" s="1"/>
      <c r="I287" s="1"/>
    </row>
    <row r="288" spans="8:9">
      <c r="H288" s="1"/>
      <c r="I288" s="1"/>
    </row>
    <row r="289" spans="8:9">
      <c r="H289" s="1"/>
      <c r="I289" s="1"/>
    </row>
    <row r="290" spans="8:9">
      <c r="H290" s="1"/>
      <c r="I290" s="1"/>
    </row>
    <row r="291" spans="8:9">
      <c r="H291" s="1"/>
      <c r="I291" s="1"/>
    </row>
    <row r="292" spans="8:9">
      <c r="H292" s="1"/>
      <c r="I292" s="1"/>
    </row>
    <row r="293" spans="8:9">
      <c r="H293" s="1"/>
      <c r="I293" s="1"/>
    </row>
    <row r="294" spans="8:9">
      <c r="H294" s="1"/>
      <c r="I294" s="1"/>
    </row>
    <row r="295" spans="8:9">
      <c r="H295" s="1"/>
      <c r="I295" s="1"/>
    </row>
    <row r="296" spans="8:9">
      <c r="H296" s="1"/>
      <c r="I296" s="1"/>
    </row>
    <row r="297" spans="8:9">
      <c r="H297" s="1"/>
      <c r="I297" s="1"/>
    </row>
    <row r="298" spans="8:9">
      <c r="H298" s="1"/>
      <c r="I298" s="1"/>
    </row>
    <row r="299" spans="8:9">
      <c r="H299" s="1"/>
      <c r="I299" s="1"/>
    </row>
    <row r="300" spans="8:9">
      <c r="H300" s="1"/>
      <c r="I300" s="1"/>
    </row>
    <row r="301" spans="8:9">
      <c r="H301" s="1"/>
      <c r="I301" s="1"/>
    </row>
    <row r="302" spans="8:9">
      <c r="H302" s="1"/>
      <c r="I302" s="1"/>
    </row>
    <row r="303" spans="8:9">
      <c r="H303" s="1"/>
      <c r="I303" s="1"/>
    </row>
    <row r="304" spans="8:9">
      <c r="H304" s="1"/>
      <c r="I304" s="1"/>
    </row>
    <row r="305" spans="8:9">
      <c r="H305" s="1"/>
      <c r="I305" s="1"/>
    </row>
    <row r="306" spans="8:9">
      <c r="H306" s="1"/>
      <c r="I306" s="1"/>
    </row>
    <row r="307" spans="8:9">
      <c r="H307" s="1"/>
      <c r="I307" s="1"/>
    </row>
    <row r="308" spans="8:9">
      <c r="H308" s="1"/>
      <c r="I308" s="1"/>
    </row>
    <row r="309" spans="8:9">
      <c r="H309" s="1"/>
      <c r="I309" s="1"/>
    </row>
    <row r="310" spans="8:9">
      <c r="H310" s="1"/>
      <c r="I310" s="1"/>
    </row>
    <row r="311" spans="8:9">
      <c r="H311" s="1"/>
      <c r="I311" s="1"/>
    </row>
    <row r="312" spans="8:9">
      <c r="H312" s="1"/>
      <c r="I312" s="1"/>
    </row>
    <row r="313" spans="8:9">
      <c r="H313" s="1"/>
      <c r="I313" s="1"/>
    </row>
    <row r="314" spans="8:9">
      <c r="H314" s="1"/>
      <c r="I314" s="1"/>
    </row>
    <row r="315" spans="8:9">
      <c r="H315" s="1"/>
      <c r="I315" s="1"/>
    </row>
    <row r="316" spans="8:9">
      <c r="H316" s="1"/>
      <c r="I316" s="1"/>
    </row>
    <row r="317" spans="8:9">
      <c r="H317" s="1"/>
      <c r="I317" s="1"/>
    </row>
    <row r="318" spans="8:9">
      <c r="H318" s="1"/>
      <c r="I318" s="1"/>
    </row>
    <row r="319" spans="8:9">
      <c r="H319" s="1"/>
      <c r="I319" s="1"/>
    </row>
    <row r="320" spans="8:9">
      <c r="H320" s="1"/>
      <c r="I320" s="1"/>
    </row>
    <row r="321" spans="8:9">
      <c r="H321" s="1"/>
      <c r="I321" s="1"/>
    </row>
    <row r="322" spans="8:9">
      <c r="H322" s="1"/>
      <c r="I322" s="1"/>
    </row>
    <row r="323" spans="8:9">
      <c r="H323" s="1"/>
      <c r="I323" s="1"/>
    </row>
    <row r="324" spans="8:9">
      <c r="H324" s="1"/>
      <c r="I324" s="1"/>
    </row>
    <row r="325" spans="8:9">
      <c r="H325" s="1"/>
      <c r="I325" s="1"/>
    </row>
    <row r="326" spans="8:9">
      <c r="H326" s="1"/>
      <c r="I326" s="1"/>
    </row>
    <row r="327" spans="8:9">
      <c r="H327" s="1"/>
      <c r="I327" s="1"/>
    </row>
    <row r="328" spans="8:9">
      <c r="H328" s="1"/>
      <c r="I328" s="1"/>
    </row>
    <row r="329" spans="8:9">
      <c r="H329" s="1"/>
      <c r="I329" s="1"/>
    </row>
    <row r="330" spans="8:9">
      <c r="H330" s="1"/>
      <c r="I330" s="1"/>
    </row>
    <row r="331" spans="8:9">
      <c r="H331" s="1"/>
      <c r="I331" s="1"/>
    </row>
    <row r="332" spans="8:9">
      <c r="H332" s="1"/>
      <c r="I332" s="1"/>
    </row>
    <row r="333" spans="8:9">
      <c r="H333" s="1"/>
      <c r="I333" s="1"/>
    </row>
    <row r="334" spans="8:9">
      <c r="H334" s="1"/>
      <c r="I334" s="1"/>
    </row>
    <row r="335" spans="8:9">
      <c r="H335" s="1"/>
      <c r="I335" s="1"/>
    </row>
    <row r="336" spans="8:9">
      <c r="H336" s="1"/>
      <c r="I336" s="1"/>
    </row>
    <row r="337" spans="8:9">
      <c r="H337" s="1"/>
      <c r="I337" s="1"/>
    </row>
    <row r="338" spans="8:9">
      <c r="H338" s="1"/>
      <c r="I338" s="1"/>
    </row>
    <row r="339" spans="8:9">
      <c r="H339" s="1"/>
      <c r="I339" s="1"/>
    </row>
    <row r="340" spans="8:9">
      <c r="H340" s="1"/>
      <c r="I340" s="1"/>
    </row>
    <row r="341" spans="8:9">
      <c r="H341" s="1"/>
      <c r="I341" s="1"/>
    </row>
    <row r="342" spans="8:9">
      <c r="H342" s="1"/>
      <c r="I342" s="1"/>
    </row>
    <row r="343" spans="8:9">
      <c r="H343" s="1"/>
      <c r="I343" s="1"/>
    </row>
    <row r="344" spans="8:9">
      <c r="H344" s="1"/>
      <c r="I344" s="1"/>
    </row>
    <row r="345" spans="8:9">
      <c r="H345" s="1"/>
      <c r="I345" s="1"/>
    </row>
    <row r="346" spans="8:9">
      <c r="H346" s="1"/>
      <c r="I346" s="1"/>
    </row>
    <row r="347" spans="8:9">
      <c r="H347" s="1"/>
      <c r="I347" s="1"/>
    </row>
    <row r="348" spans="8:9">
      <c r="H348" s="1"/>
      <c r="I348" s="1"/>
    </row>
    <row r="349" spans="8:9">
      <c r="H349" s="1"/>
      <c r="I349" s="1"/>
    </row>
    <row r="350" spans="8:9">
      <c r="H350" s="1"/>
      <c r="I350" s="1"/>
    </row>
    <row r="351" spans="8:9">
      <c r="H351" s="1"/>
      <c r="I351" s="1"/>
    </row>
    <row r="352" spans="8:9">
      <c r="H352" s="1"/>
      <c r="I352" s="1"/>
    </row>
    <row r="353" spans="8:9">
      <c r="H353" s="1"/>
      <c r="I353" s="1"/>
    </row>
    <row r="354" spans="8:9">
      <c r="H354" s="1"/>
      <c r="I354" s="1"/>
    </row>
    <row r="355" spans="8:9">
      <c r="H355" s="1"/>
      <c r="I355" s="1"/>
    </row>
    <row r="356" spans="8:9">
      <c r="H356" s="1"/>
      <c r="I356" s="1"/>
    </row>
    <row r="357" spans="8:9">
      <c r="H357" s="1"/>
      <c r="I357" s="1"/>
    </row>
    <row r="358" spans="8:9">
      <c r="H358" s="1"/>
      <c r="I358" s="1"/>
    </row>
    <row r="359" spans="8:9">
      <c r="H359" s="1"/>
      <c r="I359" s="1"/>
    </row>
    <row r="360" spans="8:9">
      <c r="H360" s="1"/>
      <c r="I360" s="1"/>
    </row>
    <row r="361" spans="8:9">
      <c r="H361" s="1"/>
      <c r="I361" s="1"/>
    </row>
    <row r="362" spans="8:9">
      <c r="H362" s="1"/>
      <c r="I362" s="1"/>
    </row>
    <row r="363" spans="8:9">
      <c r="H363" s="1"/>
      <c r="I363" s="1"/>
    </row>
    <row r="364" spans="8:9">
      <c r="H364" s="1"/>
      <c r="I364" s="1"/>
    </row>
    <row r="365" spans="8:9">
      <c r="H365" s="1"/>
      <c r="I365" s="1"/>
    </row>
    <row r="366" spans="8:9">
      <c r="H366" s="1"/>
      <c r="I366" s="1"/>
    </row>
    <row r="367" spans="8:9">
      <c r="H367" s="1"/>
      <c r="I367" s="1"/>
    </row>
    <row r="368" spans="8:9">
      <c r="H368" s="1"/>
      <c r="I368" s="1"/>
    </row>
    <row r="369" spans="8:9">
      <c r="H369" s="1"/>
      <c r="I369" s="1"/>
    </row>
    <row r="370" spans="8:9">
      <c r="H370" s="1"/>
      <c r="I370" s="1"/>
    </row>
    <row r="371" spans="8:9">
      <c r="H371" s="1"/>
      <c r="I371" s="1"/>
    </row>
    <row r="372" spans="8:9">
      <c r="H372" s="1"/>
      <c r="I372" s="1"/>
    </row>
    <row r="373" spans="8:9">
      <c r="H373" s="1"/>
      <c r="I373" s="1"/>
    </row>
    <row r="374" spans="8:9">
      <c r="H374" s="1"/>
      <c r="I374" s="1"/>
    </row>
    <row r="375" spans="8:9">
      <c r="H375" s="1"/>
      <c r="I375" s="1"/>
    </row>
    <row r="376" spans="8:9">
      <c r="H376" s="1"/>
      <c r="I376" s="1"/>
    </row>
    <row r="377" spans="8:9">
      <c r="H377" s="1"/>
      <c r="I377" s="1"/>
    </row>
    <row r="378" spans="8:9">
      <c r="H378" s="1"/>
      <c r="I378" s="1"/>
    </row>
    <row r="379" spans="8:9">
      <c r="H379" s="1"/>
      <c r="I379" s="1"/>
    </row>
    <row r="380" spans="8:9">
      <c r="H380" s="1"/>
      <c r="I380" s="1"/>
    </row>
    <row r="381" spans="8:9">
      <c r="H381" s="1"/>
      <c r="I381" s="1"/>
    </row>
    <row r="382" spans="8:9">
      <c r="H382" s="1"/>
      <c r="I382" s="1"/>
    </row>
    <row r="383" spans="8:9">
      <c r="H383" s="1"/>
      <c r="I383" s="1"/>
    </row>
    <row r="384" spans="8:9">
      <c r="H384" s="1"/>
      <c r="I384" s="1"/>
    </row>
    <row r="385" spans="8:9">
      <c r="H385" s="1"/>
      <c r="I385" s="1"/>
    </row>
    <row r="386" spans="8:9">
      <c r="H386" s="1"/>
      <c r="I386" s="1"/>
    </row>
    <row r="387" spans="8:9">
      <c r="H387" s="1"/>
      <c r="I387" s="1"/>
    </row>
    <row r="388" spans="8:9">
      <c r="H388" s="1"/>
      <c r="I388" s="1"/>
    </row>
    <row r="389" spans="8:9">
      <c r="H389" s="1"/>
      <c r="I389" s="1"/>
    </row>
    <row r="390" spans="8:9">
      <c r="H390" s="1"/>
      <c r="I390" s="1"/>
    </row>
    <row r="391" spans="8:9">
      <c r="H391" s="1"/>
      <c r="I391" s="1"/>
    </row>
    <row r="392" spans="8:9">
      <c r="H392" s="1"/>
      <c r="I392" s="1"/>
    </row>
    <row r="393" spans="8:9">
      <c r="H393" s="1"/>
      <c r="I393" s="1"/>
    </row>
    <row r="394" spans="8:9">
      <c r="H394" s="1"/>
      <c r="I394" s="1"/>
    </row>
    <row r="395" spans="8:9">
      <c r="H395" s="1"/>
      <c r="I395" s="1"/>
    </row>
    <row r="396" spans="8:9">
      <c r="H396" s="1"/>
      <c r="I396" s="1"/>
    </row>
    <row r="397" spans="8:9">
      <c r="H397" s="1"/>
      <c r="I397" s="1"/>
    </row>
    <row r="398" spans="8:9">
      <c r="H398" s="1"/>
      <c r="I398" s="1"/>
    </row>
    <row r="399" spans="8:9">
      <c r="H399" s="1"/>
      <c r="I399" s="1"/>
    </row>
    <row r="400" spans="8:9">
      <c r="H400" s="1"/>
      <c r="I400" s="1"/>
    </row>
    <row r="401" spans="8:9">
      <c r="H401" s="1"/>
      <c r="I401" s="1"/>
    </row>
    <row r="402" spans="8:9">
      <c r="H402" s="1"/>
      <c r="I402" s="1"/>
    </row>
    <row r="403" spans="8:9">
      <c r="H403" s="1"/>
      <c r="I403" s="1"/>
    </row>
    <row r="404" spans="8:9">
      <c r="H404" s="1"/>
      <c r="I404" s="1"/>
    </row>
    <row r="405" spans="8:9">
      <c r="H405" s="1"/>
      <c r="I405" s="1"/>
    </row>
    <row r="406" spans="8:9">
      <c r="H406" s="1"/>
      <c r="I406" s="1"/>
    </row>
    <row r="407" spans="8:9">
      <c r="H407" s="1"/>
      <c r="I407" s="1"/>
    </row>
    <row r="408" spans="8:9">
      <c r="H408" s="1"/>
      <c r="I408" s="1"/>
    </row>
    <row r="409" spans="8:9">
      <c r="H409" s="1"/>
      <c r="I409" s="1"/>
    </row>
    <row r="410" spans="8:9">
      <c r="H410" s="1"/>
      <c r="I410" s="1"/>
    </row>
    <row r="411" spans="8:9">
      <c r="H411" s="1"/>
      <c r="I411" s="1"/>
    </row>
    <row r="412" spans="8:9">
      <c r="H412" s="1"/>
      <c r="I412" s="1"/>
    </row>
    <row r="413" spans="8:9">
      <c r="H413" s="1"/>
      <c r="I413" s="1"/>
    </row>
    <row r="414" spans="8:9">
      <c r="H414" s="1"/>
      <c r="I414" s="1"/>
    </row>
    <row r="415" spans="8:9">
      <c r="H415" s="1"/>
      <c r="I415" s="1"/>
    </row>
    <row r="416" spans="8:9">
      <c r="H416" s="1"/>
      <c r="I416" s="1"/>
    </row>
    <row r="417" spans="8:9">
      <c r="H417" s="1"/>
      <c r="I417" s="1"/>
    </row>
    <row r="418" spans="8:9">
      <c r="H418" s="1"/>
      <c r="I418" s="1"/>
    </row>
    <row r="419" spans="8:9">
      <c r="H419" s="1"/>
      <c r="I419" s="1"/>
    </row>
    <row r="420" spans="8:9">
      <c r="H420" s="1"/>
      <c r="I420" s="1"/>
    </row>
    <row r="421" spans="8:9">
      <c r="H421" s="1"/>
      <c r="I421" s="1"/>
    </row>
    <row r="422" spans="8:9">
      <c r="H422" s="1"/>
      <c r="I422" s="1"/>
    </row>
    <row r="423" spans="8:9">
      <c r="H423" s="1"/>
      <c r="I423" s="1"/>
    </row>
    <row r="424" spans="8:9">
      <c r="H424" s="1"/>
      <c r="I424" s="1"/>
    </row>
    <row r="425" spans="8:9">
      <c r="H425" s="1"/>
      <c r="I425" s="1"/>
    </row>
    <row r="426" spans="8:9">
      <c r="H426" s="1"/>
      <c r="I426" s="1"/>
    </row>
    <row r="427" spans="8:9">
      <c r="H427" s="1"/>
      <c r="I427" s="1"/>
    </row>
    <row r="428" spans="8:9">
      <c r="H428" s="1"/>
      <c r="I428" s="1"/>
    </row>
    <row r="429" spans="8:9">
      <c r="H429" s="1"/>
      <c r="I429" s="1"/>
    </row>
    <row r="430" spans="8:9">
      <c r="H430" s="1"/>
      <c r="I430" s="1"/>
    </row>
    <row r="431" spans="8:9">
      <c r="H431" s="1"/>
      <c r="I431" s="1"/>
    </row>
    <row r="432" spans="8:9">
      <c r="H432" s="1"/>
      <c r="I432" s="1"/>
    </row>
    <row r="433" spans="8:9">
      <c r="H433" s="1"/>
      <c r="I433" s="1"/>
    </row>
    <row r="434" spans="8:9">
      <c r="H434" s="1"/>
      <c r="I434" s="1"/>
    </row>
    <row r="435" spans="8:9">
      <c r="H435" s="1"/>
      <c r="I435" s="1"/>
    </row>
    <row r="436" spans="8:9">
      <c r="H436" s="1"/>
      <c r="I436" s="1"/>
    </row>
    <row r="437" spans="8:9">
      <c r="H437" s="1"/>
      <c r="I437" s="1"/>
    </row>
    <row r="438" spans="8:9">
      <c r="H438" s="1"/>
      <c r="I438" s="1"/>
    </row>
    <row r="439" spans="8:9">
      <c r="H439" s="1"/>
      <c r="I439" s="1"/>
    </row>
    <row r="440" spans="8:9">
      <c r="H440" s="1"/>
      <c r="I440" s="1"/>
    </row>
    <row r="441" spans="8:9">
      <c r="H441" s="1"/>
      <c r="I441" s="1"/>
    </row>
    <row r="442" spans="8:9">
      <c r="H442" s="1"/>
      <c r="I442" s="1"/>
    </row>
    <row r="443" spans="8:9">
      <c r="H443" s="1"/>
      <c r="I443" s="1"/>
    </row>
    <row r="444" spans="8:9">
      <c r="H444" s="1"/>
      <c r="I444" s="1"/>
    </row>
    <row r="445" spans="8:9">
      <c r="H445" s="1"/>
      <c r="I445" s="1"/>
    </row>
    <row r="446" spans="8:9">
      <c r="H446" s="1"/>
      <c r="I446" s="1"/>
    </row>
    <row r="447" spans="8:9">
      <c r="H447" s="1"/>
      <c r="I447" s="1"/>
    </row>
    <row r="448" spans="8:9">
      <c r="H448" s="1"/>
      <c r="I448" s="1"/>
    </row>
    <row r="449" spans="8:9">
      <c r="H449" s="1"/>
      <c r="I449" s="1"/>
    </row>
    <row r="450" spans="8:9">
      <c r="H450" s="1"/>
      <c r="I450" s="1"/>
    </row>
    <row r="451" spans="8:9">
      <c r="H451" s="1"/>
      <c r="I451" s="1"/>
    </row>
    <row r="452" spans="8:9">
      <c r="H452" s="1"/>
      <c r="I452" s="1"/>
    </row>
    <row r="453" spans="8:9">
      <c r="H453" s="1"/>
      <c r="I453" s="1"/>
    </row>
    <row r="454" spans="8:9">
      <c r="H454" s="1"/>
      <c r="I454" s="1"/>
    </row>
    <row r="455" spans="8:9">
      <c r="H455" s="1"/>
      <c r="I455" s="1"/>
    </row>
    <row r="456" spans="8:9">
      <c r="H456" s="1"/>
      <c r="I456" s="1"/>
    </row>
    <row r="457" spans="8:9">
      <c r="H457" s="1"/>
      <c r="I457" s="1"/>
    </row>
    <row r="458" spans="8:9">
      <c r="H458" s="1"/>
      <c r="I458" s="1"/>
    </row>
    <row r="459" spans="8:9">
      <c r="H459" s="1"/>
      <c r="I459" s="1"/>
    </row>
    <row r="460" spans="8:9">
      <c r="H460" s="1"/>
      <c r="I460" s="1"/>
    </row>
    <row r="461" spans="8:9">
      <c r="H461" s="1"/>
      <c r="I461" s="1"/>
    </row>
    <row r="462" spans="8:9">
      <c r="H462" s="1"/>
      <c r="I462" s="1"/>
    </row>
    <row r="463" spans="8:9">
      <c r="H463" s="1"/>
      <c r="I463" s="1"/>
    </row>
    <row r="464" spans="8:9">
      <c r="H464" s="1"/>
      <c r="I464" s="1"/>
    </row>
    <row r="465" spans="8:9">
      <c r="H465" s="1"/>
      <c r="I465" s="1"/>
    </row>
    <row r="466" spans="8:9">
      <c r="H466" s="1"/>
      <c r="I466" s="1"/>
    </row>
    <row r="467" spans="8:9">
      <c r="H467" s="1"/>
      <c r="I467" s="1"/>
    </row>
    <row r="468" spans="8:9">
      <c r="H468" s="1"/>
      <c r="I468" s="1"/>
    </row>
    <row r="469" spans="8:9">
      <c r="H469" s="1"/>
      <c r="I469" s="1"/>
    </row>
    <row r="470" spans="8:9">
      <c r="H470" s="1"/>
      <c r="I470" s="1"/>
    </row>
    <row r="471" spans="8:9">
      <c r="H471" s="1"/>
      <c r="I471" s="1"/>
    </row>
    <row r="472" spans="8:9">
      <c r="H472" s="1"/>
      <c r="I472" s="1"/>
    </row>
    <row r="473" spans="8:9">
      <c r="H473" s="1"/>
      <c r="I473" s="1"/>
    </row>
    <row r="474" spans="8:9">
      <c r="H474" s="1"/>
      <c r="I474" s="1"/>
    </row>
    <row r="475" spans="8:9">
      <c r="H475" s="1"/>
      <c r="I475" s="1"/>
    </row>
    <row r="476" spans="8:9">
      <c r="H476" s="1"/>
      <c r="I476" s="1"/>
    </row>
    <row r="477" spans="8:9">
      <c r="H477" s="1"/>
      <c r="I477" s="1"/>
    </row>
    <row r="478" spans="8:9">
      <c r="H478" s="1"/>
      <c r="I478" s="1"/>
    </row>
    <row r="479" spans="8:9">
      <c r="H479" s="1"/>
      <c r="I479" s="1"/>
    </row>
    <row r="480" spans="8:9">
      <c r="H480" s="1"/>
      <c r="I480" s="1"/>
    </row>
    <row r="481" spans="8:9">
      <c r="H481" s="1"/>
      <c r="I481" s="1"/>
    </row>
    <row r="482" spans="8:9">
      <c r="H482" s="1"/>
      <c r="I482" s="1"/>
    </row>
    <row r="483" spans="8:9">
      <c r="H483" s="1"/>
      <c r="I483" s="1"/>
    </row>
    <row r="484" spans="8:9">
      <c r="H484" s="1"/>
      <c r="I484" s="1"/>
    </row>
    <row r="485" spans="8:9">
      <c r="H485" s="1"/>
      <c r="I485" s="1"/>
    </row>
    <row r="486" spans="8:9">
      <c r="H486" s="1"/>
      <c r="I486" s="1"/>
    </row>
    <row r="487" spans="8:9">
      <c r="H487" s="1"/>
      <c r="I487" s="1"/>
    </row>
    <row r="488" spans="8:9">
      <c r="H488" s="1"/>
      <c r="I488" s="1"/>
    </row>
    <row r="489" spans="8:9">
      <c r="H489" s="1"/>
      <c r="I489" s="1"/>
    </row>
    <row r="490" spans="8:9">
      <c r="H490" s="1"/>
      <c r="I490" s="1"/>
    </row>
    <row r="491" spans="8:9">
      <c r="H491" s="1"/>
      <c r="I491" s="1"/>
    </row>
    <row r="492" spans="8:9">
      <c r="H492" s="1"/>
      <c r="I492" s="1"/>
    </row>
    <row r="493" spans="8:9">
      <c r="H493" s="1"/>
      <c r="I493" s="1"/>
    </row>
    <row r="494" spans="8:9">
      <c r="H494" s="1"/>
      <c r="I494" s="1"/>
    </row>
    <row r="495" spans="8:9">
      <c r="H495" s="1"/>
      <c r="I495" s="1"/>
    </row>
    <row r="496" spans="8:9">
      <c r="H496" s="1"/>
      <c r="I496" s="1"/>
    </row>
    <row r="497" spans="8:9">
      <c r="H497" s="1"/>
      <c r="I497" s="1"/>
    </row>
    <row r="498" spans="8:9">
      <c r="H498" s="1"/>
      <c r="I498" s="1"/>
    </row>
    <row r="499" spans="8:9">
      <c r="H499" s="1"/>
      <c r="I499" s="1"/>
    </row>
    <row r="500" spans="8:9">
      <c r="H500" s="1"/>
      <c r="I500" s="1"/>
    </row>
    <row r="501" spans="8:9">
      <c r="H501" s="1"/>
      <c r="I501" s="1"/>
    </row>
    <row r="502" spans="8:9">
      <c r="H502" s="1"/>
      <c r="I502" s="1"/>
    </row>
    <row r="503" spans="8:9">
      <c r="H503" s="1"/>
      <c r="I503" s="1"/>
    </row>
    <row r="504" spans="8:9">
      <c r="H504" s="1"/>
      <c r="I504" s="1"/>
    </row>
    <row r="505" spans="8:9">
      <c r="H505" s="1"/>
      <c r="I505" s="1"/>
    </row>
    <row r="506" spans="8:9">
      <c r="H506" s="1"/>
      <c r="I506" s="1"/>
    </row>
    <row r="507" spans="8:9">
      <c r="H507" s="1"/>
      <c r="I507" s="1"/>
    </row>
    <row r="508" spans="8:9">
      <c r="H508" s="1"/>
      <c r="I508" s="1"/>
    </row>
    <row r="509" spans="8:9">
      <c r="H509" s="1"/>
      <c r="I509" s="1"/>
    </row>
    <row r="510" spans="8:9">
      <c r="H510" s="1"/>
      <c r="I510" s="1"/>
    </row>
    <row r="511" spans="8:9">
      <c r="H511" s="1"/>
      <c r="I511" s="1"/>
    </row>
    <row r="512" spans="8:9">
      <c r="H512" s="1"/>
      <c r="I512" s="1"/>
    </row>
    <row r="513" spans="8:9">
      <c r="H513" s="1"/>
      <c r="I513" s="1"/>
    </row>
    <row r="514" spans="8:9">
      <c r="H514" s="1"/>
      <c r="I514" s="1"/>
    </row>
    <row r="515" spans="8:9">
      <c r="H515" s="1"/>
      <c r="I515" s="1"/>
    </row>
    <row r="516" spans="8:9">
      <c r="H516" s="1"/>
      <c r="I516" s="1"/>
    </row>
    <row r="517" spans="8:9">
      <c r="H517" s="1"/>
      <c r="I517" s="1"/>
    </row>
    <row r="518" spans="8:9">
      <c r="H518" s="1"/>
      <c r="I518" s="1"/>
    </row>
    <row r="519" spans="8:9">
      <c r="H519" s="1"/>
      <c r="I519" s="1"/>
    </row>
    <row r="520" spans="8:9">
      <c r="H520" s="1"/>
      <c r="I520" s="1"/>
    </row>
    <row r="521" spans="8:9">
      <c r="H521" s="1"/>
      <c r="I521" s="1"/>
    </row>
    <row r="522" spans="8:9">
      <c r="H522" s="1"/>
      <c r="I522" s="1"/>
    </row>
    <row r="523" spans="8:9">
      <c r="H523" s="1"/>
      <c r="I523" s="1"/>
    </row>
    <row r="524" spans="8:9">
      <c r="H524" s="1"/>
      <c r="I524" s="1"/>
    </row>
    <row r="525" spans="8:9">
      <c r="H525" s="1"/>
      <c r="I525" s="1"/>
    </row>
    <row r="526" spans="8:9">
      <c r="H526" s="1"/>
      <c r="I526" s="1"/>
    </row>
    <row r="527" spans="8:9">
      <c r="H527" s="1"/>
      <c r="I527" s="1"/>
    </row>
    <row r="528" spans="8:9">
      <c r="H528" s="1"/>
      <c r="I528" s="1"/>
    </row>
    <row r="529" spans="8:9">
      <c r="H529" s="1"/>
      <c r="I529" s="1"/>
    </row>
    <row r="530" spans="8:9">
      <c r="H530" s="1"/>
      <c r="I530" s="1"/>
    </row>
    <row r="531" spans="8:9">
      <c r="H531" s="1"/>
      <c r="I531" s="1"/>
    </row>
    <row r="532" spans="8:9">
      <c r="H532" s="1"/>
      <c r="I532" s="1"/>
    </row>
    <row r="533" spans="8:9">
      <c r="H533" s="1"/>
      <c r="I533" s="1"/>
    </row>
    <row r="534" spans="8:9">
      <c r="H534" s="1"/>
      <c r="I534" s="1"/>
    </row>
    <row r="535" spans="8:9">
      <c r="H535" s="1"/>
      <c r="I535" s="1"/>
    </row>
    <row r="536" spans="8:9">
      <c r="H536" s="1"/>
      <c r="I536" s="1"/>
    </row>
    <row r="537" spans="8:9">
      <c r="H537" s="1"/>
      <c r="I537" s="1"/>
    </row>
    <row r="538" spans="8:9">
      <c r="H538" s="1"/>
      <c r="I538" s="1"/>
    </row>
    <row r="539" spans="8:9">
      <c r="H539" s="1"/>
      <c r="I539" s="1"/>
    </row>
    <row r="540" spans="8:9">
      <c r="H540" s="1"/>
      <c r="I540" s="1"/>
    </row>
    <row r="541" spans="8:9">
      <c r="H541" s="1"/>
      <c r="I541" s="1"/>
    </row>
    <row r="542" spans="8:9">
      <c r="H542" s="1"/>
      <c r="I542" s="1"/>
    </row>
    <row r="543" spans="8:9">
      <c r="H543" s="1"/>
      <c r="I543" s="1"/>
    </row>
    <row r="544" spans="8:9">
      <c r="H544" s="1"/>
      <c r="I544" s="1"/>
    </row>
    <row r="545" spans="8:9">
      <c r="H545" s="1"/>
      <c r="I545" s="1"/>
    </row>
    <row r="546" spans="8:9">
      <c r="H546" s="1"/>
      <c r="I546" s="1"/>
    </row>
    <row r="547" spans="8:9">
      <c r="H547" s="1"/>
      <c r="I547" s="1"/>
    </row>
    <row r="548" spans="8:9">
      <c r="H548" s="1"/>
      <c r="I548" s="1"/>
    </row>
    <row r="549" spans="8:9">
      <c r="H549" s="1"/>
      <c r="I549" s="1"/>
    </row>
    <row r="550" spans="8:9">
      <c r="H550" s="1"/>
      <c r="I550" s="1"/>
    </row>
    <row r="551" spans="8:9">
      <c r="H551" s="1"/>
      <c r="I551" s="1"/>
    </row>
    <row r="552" spans="8:9">
      <c r="H552" s="1"/>
      <c r="I552" s="1"/>
    </row>
    <row r="553" spans="8:9">
      <c r="H553" s="1"/>
      <c r="I553" s="1"/>
    </row>
    <row r="554" spans="8:9">
      <c r="H554" s="1"/>
      <c r="I554" s="1"/>
    </row>
    <row r="555" spans="8:9">
      <c r="H555" s="1"/>
      <c r="I555" s="1"/>
    </row>
    <row r="556" spans="8:9">
      <c r="H556" s="1"/>
      <c r="I556" s="1"/>
    </row>
    <row r="557" spans="8:9">
      <c r="H557" s="1"/>
      <c r="I557" s="1"/>
    </row>
    <row r="558" spans="8:9">
      <c r="H558" s="1"/>
      <c r="I558" s="1"/>
    </row>
    <row r="559" spans="8:9">
      <c r="H559" s="1"/>
      <c r="I559" s="1"/>
    </row>
    <row r="560" spans="8:9">
      <c r="H560" s="1"/>
      <c r="I560" s="1"/>
    </row>
    <row r="561" spans="8:9">
      <c r="H561" s="1"/>
      <c r="I561" s="1"/>
    </row>
    <row r="562" spans="8:9">
      <c r="H562" s="1"/>
      <c r="I562" s="1"/>
    </row>
    <row r="563" spans="8:9">
      <c r="H563" s="1"/>
      <c r="I563" s="1"/>
    </row>
    <row r="564" spans="8:9">
      <c r="H564" s="1"/>
      <c r="I564" s="1"/>
    </row>
    <row r="565" spans="8:9">
      <c r="H565" s="1"/>
      <c r="I565" s="1"/>
    </row>
    <row r="566" spans="8:9">
      <c r="H566" s="1"/>
      <c r="I566" s="1"/>
    </row>
    <row r="567" spans="8:9">
      <c r="H567" s="1"/>
      <c r="I567" s="1"/>
    </row>
    <row r="568" spans="8:9">
      <c r="H568" s="1"/>
      <c r="I568" s="1"/>
    </row>
    <row r="569" spans="8:9">
      <c r="H569" s="1"/>
      <c r="I569" s="1"/>
    </row>
    <row r="570" spans="8:9">
      <c r="H570" s="1"/>
      <c r="I570" s="1"/>
    </row>
    <row r="571" spans="8:9">
      <c r="H571" s="1"/>
      <c r="I571" s="1"/>
    </row>
    <row r="572" spans="8:9">
      <c r="H572" s="1"/>
      <c r="I572" s="1"/>
    </row>
    <row r="573" spans="8:9">
      <c r="H573" s="1"/>
      <c r="I573" s="1"/>
    </row>
    <row r="574" spans="8:9">
      <c r="H574" s="1"/>
      <c r="I574" s="1"/>
    </row>
    <row r="575" spans="8:9">
      <c r="H575" s="1"/>
      <c r="I575" s="1"/>
    </row>
    <row r="576" spans="8:9">
      <c r="H576" s="1"/>
      <c r="I576" s="1"/>
    </row>
    <row r="577" spans="8:9">
      <c r="H577" s="1"/>
      <c r="I577" s="1"/>
    </row>
    <row r="578" spans="8:9">
      <c r="H578" s="1"/>
      <c r="I578" s="1"/>
    </row>
    <row r="579" spans="8:9">
      <c r="H579" s="1"/>
      <c r="I579" s="1"/>
    </row>
    <row r="580" spans="8:9">
      <c r="H580" s="1"/>
      <c r="I580" s="1"/>
    </row>
    <row r="581" spans="8:9">
      <c r="H581" s="1"/>
      <c r="I581" s="1"/>
    </row>
    <row r="582" spans="8:9">
      <c r="H582" s="1"/>
      <c r="I582" s="1"/>
    </row>
    <row r="583" spans="8:9">
      <c r="H583" s="1"/>
      <c r="I583" s="1"/>
    </row>
    <row r="584" spans="8:9">
      <c r="H584" s="1"/>
      <c r="I584" s="1"/>
    </row>
    <row r="585" spans="8:9">
      <c r="H585" s="1"/>
      <c r="I585" s="1"/>
    </row>
    <row r="586" spans="8:9">
      <c r="H586" s="1"/>
      <c r="I586" s="1"/>
    </row>
    <row r="587" spans="8:9">
      <c r="H587" s="1"/>
      <c r="I587" s="1"/>
    </row>
    <row r="588" spans="8:9">
      <c r="H588" s="1"/>
      <c r="I588" s="1"/>
    </row>
    <row r="589" spans="8:9">
      <c r="H589" s="1"/>
      <c r="I589" s="1"/>
    </row>
    <row r="590" spans="8:9">
      <c r="H590" s="1"/>
      <c r="I590" s="1"/>
    </row>
    <row r="591" spans="8:9">
      <c r="H591" s="1"/>
      <c r="I591" s="1"/>
    </row>
    <row r="592" spans="8:9">
      <c r="H592" s="1"/>
      <c r="I592" s="1"/>
    </row>
    <row r="593" spans="8:9">
      <c r="H593" s="1"/>
      <c r="I593" s="1"/>
    </row>
    <row r="594" spans="8:9">
      <c r="H594" s="1"/>
      <c r="I594" s="1"/>
    </row>
    <row r="595" spans="8:9">
      <c r="H595" s="1"/>
      <c r="I595" s="1"/>
    </row>
    <row r="596" spans="8:9">
      <c r="H596" s="1"/>
      <c r="I596" s="1"/>
    </row>
    <row r="597" spans="8:9">
      <c r="H597" s="1"/>
      <c r="I597" s="1"/>
    </row>
    <row r="598" spans="8:9">
      <c r="H598" s="1"/>
      <c r="I598" s="1"/>
    </row>
    <row r="599" spans="8:9">
      <c r="H599" s="1"/>
      <c r="I599" s="1"/>
    </row>
    <row r="600" spans="8:9">
      <c r="H600" s="1"/>
      <c r="I600" s="1"/>
    </row>
    <row r="601" spans="8:9">
      <c r="H601" s="1"/>
      <c r="I601" s="1"/>
    </row>
    <row r="602" spans="8:9">
      <c r="H602" s="1"/>
      <c r="I602" s="1"/>
    </row>
    <row r="603" spans="8:9">
      <c r="H603" s="1"/>
      <c r="I603" s="1"/>
    </row>
    <row r="604" spans="8:9">
      <c r="H604" s="1"/>
      <c r="I604" s="1"/>
    </row>
    <row r="605" spans="8:9">
      <c r="H605" s="1"/>
      <c r="I605" s="1"/>
    </row>
    <row r="606" spans="8:9">
      <c r="H606" s="1"/>
      <c r="I606" s="1"/>
    </row>
    <row r="607" spans="8:9">
      <c r="H607" s="1"/>
      <c r="I607" s="1"/>
    </row>
    <row r="608" spans="8:9">
      <c r="H608" s="1"/>
      <c r="I608" s="1"/>
    </row>
    <row r="609" spans="8:9">
      <c r="H609" s="1"/>
      <c r="I609" s="1"/>
    </row>
    <row r="610" spans="8:9">
      <c r="H610" s="1"/>
      <c r="I610" s="1"/>
    </row>
    <row r="611" spans="8:9">
      <c r="H611" s="1"/>
      <c r="I611" s="1"/>
    </row>
    <row r="612" spans="8:9">
      <c r="H612" s="1"/>
      <c r="I612" s="1"/>
    </row>
    <row r="613" spans="8:9">
      <c r="H613" s="1"/>
      <c r="I613" s="1"/>
    </row>
    <row r="614" spans="8:9">
      <c r="H614" s="1"/>
      <c r="I614" s="1"/>
    </row>
    <row r="615" spans="8:9">
      <c r="H615" s="1"/>
      <c r="I615" s="1"/>
    </row>
    <row r="616" spans="8:9">
      <c r="H616" s="1"/>
      <c r="I616" s="1"/>
    </row>
    <row r="617" spans="8:9">
      <c r="H617" s="1"/>
      <c r="I617" s="1"/>
    </row>
    <row r="618" spans="8:9">
      <c r="H618" s="1"/>
      <c r="I618" s="1"/>
    </row>
    <row r="619" spans="8:9">
      <c r="H619" s="1"/>
      <c r="I619" s="1"/>
    </row>
    <row r="620" spans="8:9">
      <c r="H620" s="1"/>
      <c r="I620" s="1"/>
    </row>
    <row r="621" spans="8:9">
      <c r="H621" s="1"/>
      <c r="I621" s="1"/>
    </row>
    <row r="622" spans="8:9">
      <c r="H622" s="1"/>
      <c r="I622" s="1"/>
    </row>
    <row r="623" spans="8:9">
      <c r="H623" s="1"/>
      <c r="I623" s="1"/>
    </row>
    <row r="624" spans="8:9">
      <c r="H624" s="1"/>
      <c r="I624" s="1"/>
    </row>
    <row r="625" spans="8:9">
      <c r="H625" s="1"/>
      <c r="I625" s="1"/>
    </row>
    <row r="626" spans="8:9">
      <c r="H626" s="1"/>
      <c r="I626" s="1"/>
    </row>
    <row r="627" spans="8:9">
      <c r="H627" s="1"/>
      <c r="I627" s="1"/>
    </row>
    <row r="628" spans="8:9">
      <c r="H628" s="1"/>
      <c r="I628" s="1"/>
    </row>
    <row r="629" spans="8:9">
      <c r="H629" s="1"/>
      <c r="I629" s="1"/>
    </row>
    <row r="630" spans="8:9">
      <c r="H630" s="1"/>
      <c r="I630" s="1"/>
    </row>
    <row r="631" spans="8:9">
      <c r="H631" s="1"/>
      <c r="I631" s="1"/>
    </row>
    <row r="632" spans="8:9">
      <c r="H632" s="1"/>
      <c r="I632" s="1"/>
    </row>
    <row r="633" spans="8:9">
      <c r="H633" s="1"/>
      <c r="I633" s="1"/>
    </row>
    <row r="634" spans="8:9">
      <c r="H634" s="1"/>
      <c r="I634" s="1"/>
    </row>
    <row r="635" spans="8:9">
      <c r="H635" s="1"/>
      <c r="I635" s="1"/>
    </row>
    <row r="636" spans="8:9">
      <c r="H636" s="1"/>
      <c r="I636" s="1"/>
    </row>
    <row r="637" spans="8:9">
      <c r="H637" s="1"/>
      <c r="I637" s="1"/>
    </row>
    <row r="638" spans="8:9">
      <c r="H638" s="1"/>
      <c r="I638" s="1"/>
    </row>
    <row r="639" spans="8:9">
      <c r="H639" s="1"/>
      <c r="I639" s="1"/>
    </row>
    <row r="640" spans="8:9">
      <c r="H640" s="1"/>
      <c r="I640" s="1"/>
    </row>
    <row r="641" spans="8:9">
      <c r="H641" s="1"/>
      <c r="I641" s="1"/>
    </row>
    <row r="642" spans="8:9">
      <c r="H642" s="1"/>
      <c r="I642" s="1"/>
    </row>
    <row r="643" spans="8:9">
      <c r="H643" s="1"/>
      <c r="I643" s="1"/>
    </row>
    <row r="644" spans="8:9">
      <c r="H644" s="1"/>
      <c r="I644" s="1"/>
    </row>
    <row r="645" spans="8:9">
      <c r="H645" s="1"/>
      <c r="I645" s="1"/>
    </row>
    <row r="646" spans="8:9">
      <c r="H646" s="1"/>
      <c r="I646" s="1"/>
    </row>
    <row r="647" spans="8:9">
      <c r="H647" s="1"/>
      <c r="I647" s="1"/>
    </row>
    <row r="648" spans="8:9">
      <c r="H648" s="1"/>
      <c r="I648" s="1"/>
    </row>
    <row r="649" spans="8:9">
      <c r="H649" s="1"/>
      <c r="I649" s="1"/>
    </row>
    <row r="650" spans="8:9">
      <c r="H650" s="1"/>
      <c r="I650" s="1"/>
    </row>
    <row r="651" spans="8:9">
      <c r="H651" s="1"/>
      <c r="I651" s="1"/>
    </row>
    <row r="652" spans="8:9">
      <c r="H652" s="1"/>
      <c r="I652" s="1"/>
    </row>
    <row r="653" spans="8:9">
      <c r="H653" s="1"/>
      <c r="I653" s="1"/>
    </row>
    <row r="654" spans="8:9">
      <c r="H654" s="1"/>
      <c r="I654" s="1"/>
    </row>
    <row r="655" spans="8:9">
      <c r="H655" s="1"/>
      <c r="I655" s="1"/>
    </row>
    <row r="656" spans="8:9">
      <c r="H656" s="1"/>
      <c r="I656" s="1"/>
    </row>
    <row r="657" spans="8:9">
      <c r="H657" s="1"/>
      <c r="I657" s="1"/>
    </row>
    <row r="658" spans="8:9">
      <c r="H658" s="1"/>
      <c r="I658" s="1"/>
    </row>
    <row r="659" spans="8:9">
      <c r="H659" s="1"/>
      <c r="I659" s="1"/>
    </row>
    <row r="660" spans="8:9">
      <c r="H660" s="1"/>
      <c r="I660" s="1"/>
    </row>
    <row r="661" spans="8:9">
      <c r="H661" s="1"/>
      <c r="I661" s="1"/>
    </row>
    <row r="662" spans="8:9">
      <c r="H662" s="1"/>
      <c r="I662" s="1"/>
    </row>
    <row r="663" spans="8:9">
      <c r="H663" s="1"/>
      <c r="I663" s="1"/>
    </row>
    <row r="664" spans="8:9">
      <c r="H664" s="1"/>
      <c r="I664" s="1"/>
    </row>
    <row r="665" spans="8:9">
      <c r="H665" s="1"/>
      <c r="I665" s="1"/>
    </row>
    <row r="666" spans="8:9">
      <c r="H666" s="1"/>
      <c r="I666" s="1"/>
    </row>
    <row r="667" spans="8:9">
      <c r="H667" s="1"/>
      <c r="I667" s="1"/>
    </row>
    <row r="668" spans="8:9">
      <c r="H668" s="1"/>
      <c r="I668" s="1"/>
    </row>
    <row r="669" spans="8:9">
      <c r="H669" s="1"/>
      <c r="I669" s="1"/>
    </row>
    <row r="670" spans="8:9">
      <c r="H670" s="1"/>
      <c r="I670" s="1"/>
    </row>
    <row r="671" spans="8:9">
      <c r="H671" s="1"/>
      <c r="I671" s="1"/>
    </row>
    <row r="672" spans="8:9">
      <c r="H672" s="1"/>
      <c r="I672" s="1"/>
    </row>
    <row r="673" spans="8:9">
      <c r="H673" s="1"/>
      <c r="I673" s="1"/>
    </row>
    <row r="674" spans="8:9">
      <c r="H674" s="1"/>
      <c r="I674" s="1"/>
    </row>
    <row r="675" spans="8:9">
      <c r="H675" s="1"/>
      <c r="I675" s="1"/>
    </row>
    <row r="676" spans="8:9">
      <c r="H676" s="1"/>
      <c r="I676" s="1"/>
    </row>
    <row r="677" spans="8:9">
      <c r="H677" s="1"/>
      <c r="I677" s="1"/>
    </row>
    <row r="678" spans="8:9">
      <c r="H678" s="1"/>
      <c r="I678" s="1"/>
    </row>
    <row r="679" spans="8:9">
      <c r="H679" s="1"/>
      <c r="I679" s="1"/>
    </row>
    <row r="680" spans="8:9">
      <c r="H680" s="1"/>
      <c r="I680" s="1"/>
    </row>
    <row r="681" spans="8:9">
      <c r="H681" s="1"/>
      <c r="I681" s="1"/>
    </row>
    <row r="682" spans="8:9">
      <c r="H682" s="1"/>
      <c r="I682" s="1"/>
    </row>
    <row r="683" spans="8:9">
      <c r="H683" s="1"/>
      <c r="I683" s="1"/>
    </row>
    <row r="684" spans="8:9">
      <c r="H684" s="1"/>
      <c r="I684" s="1"/>
    </row>
    <row r="685" spans="8:9">
      <c r="H685" s="1"/>
      <c r="I685" s="1"/>
    </row>
    <row r="686" spans="8:9">
      <c r="H686" s="1"/>
      <c r="I686" s="1"/>
    </row>
    <row r="687" spans="8:9">
      <c r="H687" s="1"/>
      <c r="I687" s="1"/>
    </row>
    <row r="688" spans="8:9">
      <c r="H688" s="1"/>
      <c r="I688" s="1"/>
    </row>
    <row r="689" spans="8:9">
      <c r="H689" s="1"/>
      <c r="I689" s="1"/>
    </row>
    <row r="690" spans="8:9">
      <c r="H690" s="1"/>
      <c r="I690" s="1"/>
    </row>
    <row r="691" spans="8:9">
      <c r="H691" s="1"/>
      <c r="I691" s="1"/>
    </row>
    <row r="692" spans="8:9">
      <c r="H692" s="1"/>
      <c r="I692" s="1"/>
    </row>
    <row r="693" spans="8:9">
      <c r="H693" s="1"/>
      <c r="I693" s="1"/>
    </row>
    <row r="694" spans="8:9">
      <c r="H694" s="1"/>
      <c r="I694" s="1"/>
    </row>
    <row r="695" spans="8:9">
      <c r="H695" s="1"/>
      <c r="I695" s="1"/>
    </row>
    <row r="696" spans="8:9">
      <c r="H696" s="1"/>
      <c r="I696" s="1"/>
    </row>
    <row r="697" spans="8:9">
      <c r="H697" s="1"/>
      <c r="I697" s="1"/>
    </row>
    <row r="698" spans="8:9">
      <c r="H698" s="1"/>
      <c r="I698" s="1"/>
    </row>
    <row r="699" spans="8:9">
      <c r="H699" s="1"/>
      <c r="I699" s="1"/>
    </row>
    <row r="700" spans="8:9">
      <c r="H700" s="1"/>
      <c r="I700" s="1"/>
    </row>
    <row r="701" spans="8:9">
      <c r="H701" s="1"/>
      <c r="I701" s="1"/>
    </row>
    <row r="702" spans="8:9">
      <c r="H702" s="1"/>
      <c r="I702" s="1"/>
    </row>
    <row r="703" spans="8:9">
      <c r="H703" s="1"/>
      <c r="I703" s="1"/>
    </row>
    <row r="704" spans="8:9">
      <c r="H704" s="1"/>
      <c r="I704" s="1"/>
    </row>
    <row r="705" spans="8:9">
      <c r="H705" s="1"/>
      <c r="I705" s="1"/>
    </row>
    <row r="706" spans="8:9">
      <c r="H706" s="1"/>
      <c r="I706" s="1"/>
    </row>
    <row r="707" spans="8:9">
      <c r="H707" s="1"/>
      <c r="I707" s="1"/>
    </row>
    <row r="708" spans="8:9">
      <c r="H708" s="1"/>
      <c r="I708" s="1"/>
    </row>
    <row r="709" spans="8:9">
      <c r="H709" s="1"/>
      <c r="I709" s="1"/>
    </row>
    <row r="710" spans="8:9">
      <c r="H710" s="1"/>
      <c r="I710" s="1"/>
    </row>
    <row r="711" spans="8:9">
      <c r="H711" s="1"/>
      <c r="I711" s="1"/>
    </row>
    <row r="712" spans="8:9">
      <c r="H712" s="1"/>
      <c r="I712" s="1"/>
    </row>
    <row r="713" spans="8:9">
      <c r="H713" s="1"/>
      <c r="I713" s="1"/>
    </row>
    <row r="714" spans="8:9">
      <c r="H714" s="1"/>
      <c r="I714" s="1"/>
    </row>
    <row r="715" spans="8:9">
      <c r="H715" s="1"/>
      <c r="I715" s="1"/>
    </row>
    <row r="716" spans="8:9">
      <c r="H716" s="1"/>
      <c r="I716" s="1"/>
    </row>
    <row r="717" spans="8:9">
      <c r="H717" s="1"/>
      <c r="I717" s="1"/>
    </row>
    <row r="718" spans="8:9">
      <c r="H718" s="1"/>
      <c r="I718" s="1"/>
    </row>
    <row r="719" spans="8:9">
      <c r="H719" s="1"/>
      <c r="I719" s="1"/>
    </row>
    <row r="720" spans="8:9">
      <c r="H720" s="1"/>
      <c r="I720" s="1"/>
    </row>
    <row r="721" spans="8:9">
      <c r="H721" s="1"/>
      <c r="I721" s="1"/>
    </row>
    <row r="722" spans="8:9">
      <c r="H722" s="1"/>
      <c r="I722" s="1"/>
    </row>
    <row r="723" spans="8:9">
      <c r="H723" s="1"/>
      <c r="I723" s="1"/>
    </row>
    <row r="724" spans="8:9">
      <c r="H724" s="1"/>
      <c r="I724" s="1"/>
    </row>
    <row r="725" spans="8:9">
      <c r="H725" s="1"/>
      <c r="I725" s="1"/>
    </row>
    <row r="726" spans="8:9">
      <c r="H726" s="1"/>
      <c r="I726" s="1"/>
    </row>
    <row r="727" spans="8:9">
      <c r="H727" s="1"/>
      <c r="I727" s="1"/>
    </row>
    <row r="728" spans="8:9">
      <c r="H728" s="1"/>
      <c r="I728" s="1"/>
    </row>
    <row r="729" spans="8:9">
      <c r="H729" s="1"/>
      <c r="I729" s="1"/>
    </row>
    <row r="730" spans="8:9">
      <c r="H730" s="1"/>
      <c r="I730" s="1"/>
    </row>
    <row r="731" spans="8:9">
      <c r="H731" s="1"/>
      <c r="I731" s="1"/>
    </row>
    <row r="732" spans="8:9">
      <c r="H732" s="1"/>
      <c r="I732" s="1"/>
    </row>
    <row r="733" spans="8:9">
      <c r="H733" s="1"/>
      <c r="I733" s="1"/>
    </row>
    <row r="734" spans="8:9">
      <c r="H734" s="1"/>
      <c r="I734" s="1"/>
    </row>
    <row r="735" spans="8:9">
      <c r="H735" s="1"/>
      <c r="I735" s="1"/>
    </row>
    <row r="736" spans="8:9">
      <c r="H736" s="1"/>
      <c r="I736" s="1"/>
    </row>
    <row r="737" spans="8:9">
      <c r="H737" s="1"/>
      <c r="I737" s="1"/>
    </row>
    <row r="738" spans="8:9">
      <c r="H738" s="1"/>
      <c r="I738" s="1"/>
    </row>
    <row r="739" spans="8:9">
      <c r="H739" s="1"/>
      <c r="I739" s="1"/>
    </row>
    <row r="740" spans="8:9">
      <c r="H740" s="1"/>
      <c r="I740" s="1"/>
    </row>
    <row r="741" spans="8:9">
      <c r="H741" s="1"/>
      <c r="I741" s="1"/>
    </row>
    <row r="742" spans="8:9">
      <c r="H742" s="1"/>
      <c r="I742" s="1"/>
    </row>
    <row r="743" spans="8:9">
      <c r="H743" s="1"/>
      <c r="I743" s="1"/>
    </row>
    <row r="744" spans="8:9">
      <c r="H744" s="1"/>
      <c r="I744" s="1"/>
    </row>
    <row r="745" spans="8:9">
      <c r="H745" s="1"/>
      <c r="I745" s="1"/>
    </row>
    <row r="746" spans="8:9">
      <c r="H746" s="1"/>
      <c r="I746" s="1"/>
    </row>
    <row r="747" spans="8:9">
      <c r="H747" s="1"/>
      <c r="I747" s="1"/>
    </row>
    <row r="748" spans="8:9">
      <c r="H748" s="1"/>
      <c r="I748" s="1"/>
    </row>
    <row r="749" spans="8:9">
      <c r="H749" s="1"/>
      <c r="I749" s="1"/>
    </row>
    <row r="750" spans="8:9">
      <c r="H750" s="1"/>
      <c r="I750" s="1"/>
    </row>
    <row r="751" spans="8:9">
      <c r="H751" s="1"/>
      <c r="I751" s="1"/>
    </row>
    <row r="752" spans="8:9">
      <c r="H752" s="1"/>
      <c r="I752" s="1"/>
    </row>
    <row r="753" spans="8:9">
      <c r="H753" s="1"/>
      <c r="I753" s="1"/>
    </row>
    <row r="754" spans="8:9">
      <c r="H754" s="1"/>
      <c r="I754" s="1"/>
    </row>
    <row r="755" spans="8:9">
      <c r="H755" s="1"/>
      <c r="I755" s="1"/>
    </row>
    <row r="756" spans="8:9">
      <c r="H756" s="1"/>
      <c r="I756" s="1"/>
    </row>
    <row r="757" spans="8:9">
      <c r="H757" s="1"/>
      <c r="I757" s="1"/>
    </row>
    <row r="758" spans="8:9">
      <c r="H758" s="1"/>
      <c r="I758" s="1"/>
    </row>
    <row r="759" spans="8:9">
      <c r="H759" s="1"/>
      <c r="I759" s="1"/>
    </row>
    <row r="760" spans="8:9">
      <c r="H760" s="1"/>
      <c r="I760" s="1"/>
    </row>
    <row r="761" spans="8:9">
      <c r="H761" s="1"/>
      <c r="I761" s="1"/>
    </row>
    <row r="762" spans="8:9">
      <c r="H762" s="1"/>
      <c r="I762" s="1"/>
    </row>
    <row r="763" spans="8:9">
      <c r="H763" s="1"/>
      <c r="I763" s="1"/>
    </row>
    <row r="764" spans="8:9">
      <c r="H764" s="1"/>
      <c r="I764" s="1"/>
    </row>
    <row r="765" spans="8:9">
      <c r="H765" s="1"/>
      <c r="I765" s="1"/>
    </row>
    <row r="766" spans="8:9">
      <c r="H766" s="1"/>
      <c r="I766" s="1"/>
    </row>
    <row r="767" spans="8:9">
      <c r="H767" s="1"/>
      <c r="I767" s="1"/>
    </row>
    <row r="768" spans="8:9">
      <c r="H768" s="1"/>
      <c r="I768" s="1"/>
    </row>
    <row r="769" spans="8:9">
      <c r="H769" s="1"/>
      <c r="I769" s="1"/>
    </row>
    <row r="770" spans="8:9">
      <c r="H770" s="1"/>
      <c r="I770" s="1"/>
    </row>
    <row r="771" spans="8:9">
      <c r="H771" s="1"/>
      <c r="I771" s="1"/>
    </row>
    <row r="772" spans="8:9">
      <c r="H772" s="1"/>
      <c r="I772" s="1"/>
    </row>
    <row r="773" spans="8:9">
      <c r="H773" s="1"/>
      <c r="I773" s="1"/>
    </row>
    <row r="774" spans="8:9">
      <c r="H774" s="1"/>
      <c r="I774" s="1"/>
    </row>
    <row r="775" spans="8:9">
      <c r="H775" s="1"/>
      <c r="I775" s="1"/>
    </row>
    <row r="776" spans="8:9">
      <c r="H776" s="1"/>
      <c r="I776" s="1"/>
    </row>
    <row r="777" spans="8:9">
      <c r="H777" s="1"/>
      <c r="I777" s="1"/>
    </row>
    <row r="778" spans="8:9">
      <c r="H778" s="1"/>
      <c r="I778" s="1"/>
    </row>
    <row r="779" spans="8:9">
      <c r="H779" s="1"/>
      <c r="I779" s="1"/>
    </row>
    <row r="780" spans="8:9">
      <c r="H780" s="1"/>
      <c r="I780" s="1"/>
    </row>
    <row r="781" spans="8:9">
      <c r="H781" s="1"/>
      <c r="I781" s="1"/>
    </row>
    <row r="782" spans="8:9">
      <c r="H782" s="1"/>
      <c r="I782" s="1"/>
    </row>
    <row r="783" spans="8:9">
      <c r="H783" s="1"/>
      <c r="I783" s="1"/>
    </row>
    <row r="784" spans="8:9">
      <c r="H784" s="1"/>
      <c r="I784" s="1"/>
    </row>
    <row r="785" spans="8:9">
      <c r="H785" s="1"/>
      <c r="I785" s="1"/>
    </row>
    <row r="786" spans="8:9">
      <c r="H786" s="1"/>
      <c r="I786" s="1"/>
    </row>
    <row r="787" spans="8:9">
      <c r="H787" s="1"/>
      <c r="I787" s="1"/>
    </row>
    <row r="788" spans="8:9">
      <c r="H788" s="1"/>
      <c r="I788" s="1"/>
    </row>
    <row r="789" spans="8:9">
      <c r="H789" s="1"/>
      <c r="I789" s="1"/>
    </row>
    <row r="790" spans="8:9">
      <c r="H790" s="1"/>
      <c r="I790" s="1"/>
    </row>
    <row r="791" spans="8:9">
      <c r="H791" s="1"/>
      <c r="I791" s="1"/>
    </row>
    <row r="792" spans="8:9">
      <c r="H792" s="1"/>
      <c r="I792" s="1"/>
    </row>
    <row r="793" spans="8:9">
      <c r="H793" s="1"/>
      <c r="I793" s="1"/>
    </row>
    <row r="794" spans="8:9">
      <c r="H794" s="1"/>
      <c r="I794" s="1"/>
    </row>
    <row r="795" spans="8:9">
      <c r="H795" s="1"/>
      <c r="I795" s="1"/>
    </row>
    <row r="796" spans="8:9">
      <c r="H796" s="1"/>
      <c r="I796" s="1"/>
    </row>
    <row r="797" spans="8:9">
      <c r="H797" s="1"/>
      <c r="I797" s="1"/>
    </row>
    <row r="798" spans="8:9">
      <c r="H798" s="1"/>
      <c r="I798" s="1"/>
    </row>
    <row r="799" spans="8:9">
      <c r="H799" s="1"/>
      <c r="I799" s="1"/>
    </row>
    <row r="800" spans="8:9">
      <c r="H800" s="1"/>
      <c r="I800" s="1"/>
    </row>
    <row r="801" spans="8:9">
      <c r="H801" s="1"/>
      <c r="I801" s="1"/>
    </row>
    <row r="802" spans="8:9">
      <c r="H802" s="1"/>
      <c r="I802" s="1"/>
    </row>
    <row r="803" spans="8:9">
      <c r="H803" s="1"/>
      <c r="I803" s="1"/>
    </row>
    <row r="804" spans="8:9">
      <c r="H804" s="1"/>
      <c r="I804" s="1"/>
    </row>
    <row r="805" spans="8:9">
      <c r="H805" s="1"/>
      <c r="I805" s="1"/>
    </row>
    <row r="806" spans="8:9">
      <c r="H806" s="1"/>
      <c r="I806" s="1"/>
    </row>
    <row r="807" spans="8:9">
      <c r="H807" s="1"/>
      <c r="I807" s="1"/>
    </row>
    <row r="808" spans="8:9">
      <c r="H808" s="1"/>
      <c r="I808" s="1"/>
    </row>
    <row r="809" spans="8:9">
      <c r="H809" s="1"/>
      <c r="I809" s="1"/>
    </row>
    <row r="810" spans="8:9">
      <c r="H810" s="1"/>
      <c r="I810" s="1"/>
    </row>
    <row r="811" spans="8:9">
      <c r="H811" s="1"/>
      <c r="I811" s="1"/>
    </row>
    <row r="812" spans="8:9">
      <c r="H812" s="1"/>
      <c r="I812" s="1"/>
    </row>
    <row r="813" spans="8:9">
      <c r="H813" s="1"/>
      <c r="I813" s="1"/>
    </row>
    <row r="814" spans="8:9">
      <c r="H814" s="1"/>
      <c r="I814" s="1"/>
    </row>
    <row r="815" spans="8:9">
      <c r="H815" s="1"/>
      <c r="I815" s="1"/>
    </row>
    <row r="816" spans="8:9">
      <c r="H816" s="1"/>
      <c r="I816" s="1"/>
    </row>
    <row r="817" spans="8:9">
      <c r="H817" s="1"/>
      <c r="I817" s="1"/>
    </row>
    <row r="818" spans="8:9">
      <c r="H818" s="1"/>
      <c r="I818" s="1"/>
    </row>
    <row r="819" spans="8:9">
      <c r="H819" s="1"/>
      <c r="I819" s="1"/>
    </row>
    <row r="820" spans="8:9">
      <c r="H820" s="1"/>
      <c r="I820" s="1"/>
    </row>
    <row r="821" spans="8:9">
      <c r="H821" s="1"/>
      <c r="I821" s="1"/>
    </row>
    <row r="822" spans="8:9">
      <c r="H822" s="1"/>
      <c r="I822" s="1"/>
    </row>
    <row r="823" spans="8:9">
      <c r="H823" s="1"/>
      <c r="I823" s="1"/>
    </row>
    <row r="824" spans="8:9">
      <c r="H824" s="1"/>
      <c r="I824" s="1"/>
    </row>
    <row r="825" spans="8:9">
      <c r="H825" s="1"/>
      <c r="I825" s="1"/>
    </row>
    <row r="826" spans="8:9">
      <c r="H826" s="1"/>
      <c r="I826" s="1"/>
    </row>
    <row r="827" spans="8:9">
      <c r="H827" s="1"/>
      <c r="I827" s="1"/>
    </row>
    <row r="828" spans="8:9">
      <c r="H828" s="1"/>
      <c r="I828" s="1"/>
    </row>
    <row r="829" spans="8:9">
      <c r="H829" s="1"/>
      <c r="I829" s="1"/>
    </row>
    <row r="830" spans="8:9">
      <c r="H830" s="1"/>
      <c r="I830" s="1"/>
    </row>
    <row r="831" spans="8:9">
      <c r="H831" s="1"/>
      <c r="I831" s="1"/>
    </row>
    <row r="832" spans="8:9">
      <c r="H832" s="1"/>
      <c r="I832" s="1"/>
    </row>
    <row r="833" spans="8:9">
      <c r="H833" s="1"/>
      <c r="I833" s="1"/>
    </row>
    <row r="834" spans="8:9">
      <c r="H834" s="1"/>
      <c r="I834" s="1"/>
    </row>
    <row r="835" spans="8:9">
      <c r="H835" s="1"/>
      <c r="I835" s="1"/>
    </row>
    <row r="836" spans="8:9">
      <c r="H836" s="1"/>
      <c r="I836" s="1"/>
    </row>
    <row r="837" spans="8:9">
      <c r="H837" s="1"/>
      <c r="I837" s="1"/>
    </row>
    <row r="838" spans="8:9">
      <c r="H838" s="1"/>
      <c r="I838" s="1"/>
    </row>
    <row r="839" spans="8:9">
      <c r="H839" s="1"/>
      <c r="I839" s="1"/>
    </row>
    <row r="840" spans="8:9">
      <c r="H840" s="1"/>
      <c r="I840" s="1"/>
    </row>
    <row r="841" spans="8:9">
      <c r="H841" s="1"/>
      <c r="I841" s="1"/>
    </row>
    <row r="842" spans="8:9">
      <c r="H842" s="1"/>
      <c r="I842" s="1"/>
    </row>
    <row r="843" spans="8:9">
      <c r="H843" s="1"/>
      <c r="I843" s="1"/>
    </row>
    <row r="844" spans="8:9">
      <c r="H844" s="1"/>
      <c r="I844" s="1"/>
    </row>
    <row r="845" spans="8:9">
      <c r="H845" s="1"/>
      <c r="I845" s="1"/>
    </row>
    <row r="846" spans="8:9">
      <c r="H846" s="1"/>
      <c r="I846" s="1"/>
    </row>
    <row r="847" spans="8:9">
      <c r="H847" s="1"/>
      <c r="I847" s="1"/>
    </row>
    <row r="848" spans="8:9">
      <c r="H848" s="1"/>
      <c r="I848" s="1"/>
    </row>
    <row r="849" spans="8:9">
      <c r="H849" s="1"/>
      <c r="I849" s="1"/>
    </row>
    <row r="850" spans="8:9">
      <c r="H850" s="1"/>
      <c r="I850" s="1"/>
    </row>
    <row r="851" spans="8:9">
      <c r="H851" s="1"/>
      <c r="I851" s="1"/>
    </row>
    <row r="852" spans="8:9">
      <c r="H852" s="1"/>
      <c r="I852" s="1"/>
    </row>
    <row r="853" spans="8:9">
      <c r="H853" s="1"/>
      <c r="I853" s="1"/>
    </row>
    <row r="854" spans="8:9">
      <c r="H854" s="1"/>
      <c r="I854" s="1"/>
    </row>
    <row r="855" spans="8:9">
      <c r="H855" s="1"/>
      <c r="I855" s="1"/>
    </row>
    <row r="856" spans="8:9">
      <c r="H856" s="1"/>
      <c r="I856" s="1"/>
    </row>
    <row r="857" spans="8:9">
      <c r="H857" s="1"/>
      <c r="I857" s="1"/>
    </row>
    <row r="858" spans="8:9">
      <c r="H858" s="1"/>
      <c r="I858" s="1"/>
    </row>
    <row r="859" spans="8:9">
      <c r="H859" s="1"/>
      <c r="I859" s="1"/>
    </row>
    <row r="860" spans="8:9">
      <c r="H860" s="1"/>
      <c r="I860" s="1"/>
    </row>
    <row r="861" spans="8:9">
      <c r="H861" s="1"/>
      <c r="I861" s="1"/>
    </row>
    <row r="862" spans="8:9">
      <c r="H862" s="1"/>
      <c r="I862" s="1"/>
    </row>
    <row r="863" spans="8:9">
      <c r="H863" s="1"/>
      <c r="I863" s="1"/>
    </row>
    <row r="864" spans="8:9">
      <c r="H864" s="1"/>
      <c r="I864" s="1"/>
    </row>
    <row r="865" spans="8:9">
      <c r="H865" s="1"/>
      <c r="I865" s="1"/>
    </row>
    <row r="866" spans="8:9">
      <c r="H866" s="1"/>
      <c r="I866" s="1"/>
    </row>
    <row r="867" spans="8:9">
      <c r="H867" s="1"/>
      <c r="I867" s="1"/>
    </row>
    <row r="868" spans="8:9">
      <c r="H868" s="1"/>
      <c r="I868" s="1"/>
    </row>
    <row r="869" spans="8:9">
      <c r="H869" s="1"/>
      <c r="I869" s="1"/>
    </row>
    <row r="870" spans="8:9">
      <c r="H870" s="1"/>
      <c r="I870" s="1"/>
    </row>
    <row r="871" spans="8:9">
      <c r="H871" s="1"/>
      <c r="I871" s="1"/>
    </row>
    <row r="872" spans="8:9">
      <c r="H872" s="1"/>
      <c r="I872" s="1"/>
    </row>
    <row r="873" spans="8:9">
      <c r="H873" s="1"/>
      <c r="I873" s="1"/>
    </row>
    <row r="874" spans="8:9">
      <c r="H874" s="1"/>
      <c r="I874" s="1"/>
    </row>
    <row r="875" spans="8:9">
      <c r="H875" s="1"/>
      <c r="I875" s="1"/>
    </row>
    <row r="876" spans="8:9">
      <c r="H876" s="1"/>
      <c r="I876" s="1"/>
    </row>
    <row r="877" spans="8:9">
      <c r="H877" s="1"/>
      <c r="I877" s="1"/>
    </row>
    <row r="878" spans="8:9">
      <c r="H878" s="1"/>
      <c r="I878" s="1"/>
    </row>
    <row r="879" spans="8:9">
      <c r="H879" s="1"/>
      <c r="I879" s="1"/>
    </row>
    <row r="880" spans="8:9">
      <c r="H880" s="1"/>
      <c r="I880" s="1"/>
    </row>
    <row r="881" spans="8:9">
      <c r="H881" s="1"/>
      <c r="I881" s="1"/>
    </row>
    <row r="882" spans="8:9">
      <c r="H882" s="1"/>
      <c r="I882" s="1"/>
    </row>
    <row r="883" spans="8:9">
      <c r="H883" s="1"/>
      <c r="I883" s="1"/>
    </row>
    <row r="884" spans="8:9">
      <c r="H884" s="1"/>
      <c r="I884" s="1"/>
    </row>
    <row r="885" spans="8:9">
      <c r="H885" s="1"/>
      <c r="I885" s="1"/>
    </row>
    <row r="886" spans="8:9">
      <c r="H886" s="1"/>
      <c r="I886" s="1"/>
    </row>
    <row r="887" spans="8:9">
      <c r="H887" s="1"/>
      <c r="I887" s="1"/>
    </row>
    <row r="888" spans="8:9">
      <c r="H888" s="1"/>
      <c r="I888" s="1"/>
    </row>
    <row r="889" spans="8:9">
      <c r="H889" s="1"/>
      <c r="I889" s="1"/>
    </row>
    <row r="890" spans="8:9">
      <c r="H890" s="1"/>
      <c r="I890" s="1"/>
    </row>
    <row r="891" spans="8:9">
      <c r="H891" s="1"/>
      <c r="I891" s="1"/>
    </row>
    <row r="892" spans="8:9">
      <c r="H892" s="1"/>
      <c r="I892" s="1"/>
    </row>
    <row r="893" spans="8:9">
      <c r="H893" s="1"/>
      <c r="I893" s="1"/>
    </row>
    <row r="894" spans="8:9">
      <c r="H894" s="1"/>
      <c r="I894" s="1"/>
    </row>
    <row r="895" spans="8:9">
      <c r="H895" s="1"/>
      <c r="I895" s="1"/>
    </row>
    <row r="896" spans="8:9">
      <c r="H896" s="1"/>
      <c r="I896" s="1"/>
    </row>
    <row r="897" spans="8:9">
      <c r="H897" s="1"/>
      <c r="I897" s="1"/>
    </row>
    <row r="898" spans="8:9">
      <c r="H898" s="1"/>
      <c r="I898" s="1"/>
    </row>
    <row r="899" spans="8:9">
      <c r="H899" s="1"/>
      <c r="I899" s="1"/>
    </row>
    <row r="900" spans="8:9">
      <c r="H900" s="1"/>
      <c r="I900" s="1"/>
    </row>
    <row r="901" spans="8:9">
      <c r="H901" s="1"/>
      <c r="I901" s="1"/>
    </row>
    <row r="902" spans="8:9">
      <c r="H902" s="1"/>
      <c r="I902" s="1"/>
    </row>
    <row r="903" spans="8:9">
      <c r="H903" s="1"/>
      <c r="I903" s="1"/>
    </row>
    <row r="904" spans="8:9">
      <c r="H904" s="1"/>
      <c r="I904" s="1"/>
    </row>
    <row r="905" spans="8:9">
      <c r="H905" s="1"/>
      <c r="I905" s="1"/>
    </row>
    <row r="906" spans="8:9">
      <c r="H906" s="1"/>
      <c r="I906" s="1"/>
    </row>
    <row r="907" spans="8:9">
      <c r="H907" s="1"/>
      <c r="I907" s="1"/>
    </row>
    <row r="908" spans="8:9">
      <c r="H908" s="1"/>
      <c r="I908" s="1"/>
    </row>
    <row r="909" spans="8:9">
      <c r="H909" s="1"/>
      <c r="I909" s="1"/>
    </row>
    <row r="910" spans="8:9">
      <c r="H910" s="1"/>
      <c r="I910" s="1"/>
    </row>
    <row r="911" spans="8:9">
      <c r="H911" s="1"/>
      <c r="I911" s="1"/>
    </row>
    <row r="912" spans="8:9">
      <c r="H912" s="1"/>
      <c r="I912" s="1"/>
    </row>
    <row r="913" spans="8:9">
      <c r="H913" s="1"/>
      <c r="I913" s="1"/>
    </row>
    <row r="914" spans="8:9">
      <c r="H914" s="1"/>
      <c r="I914" s="1"/>
    </row>
    <row r="915" spans="8:9">
      <c r="H915" s="1"/>
      <c r="I915" s="1"/>
    </row>
    <row r="916" spans="8:9">
      <c r="H916" s="1"/>
      <c r="I916" s="1"/>
    </row>
    <row r="917" spans="8:9">
      <c r="H917" s="1"/>
      <c r="I917" s="1"/>
    </row>
    <row r="918" spans="8:9">
      <c r="H918" s="1"/>
      <c r="I918" s="1"/>
    </row>
    <row r="919" spans="8:9">
      <c r="H919" s="1"/>
      <c r="I919" s="1"/>
    </row>
    <row r="920" spans="8:9">
      <c r="H920" s="1"/>
      <c r="I920" s="1"/>
    </row>
    <row r="921" spans="8:9">
      <c r="H921" s="1"/>
      <c r="I921" s="1"/>
    </row>
    <row r="922" spans="8:9">
      <c r="H922" s="1"/>
      <c r="I922" s="1"/>
    </row>
    <row r="923" spans="8:9">
      <c r="H923" s="1"/>
      <c r="I923" s="1"/>
    </row>
    <row r="924" spans="8:9">
      <c r="H924" s="1"/>
      <c r="I924" s="1"/>
    </row>
    <row r="925" spans="8:9">
      <c r="H925" s="1"/>
      <c r="I925" s="1"/>
    </row>
    <row r="926" spans="8:9">
      <c r="H926" s="1"/>
      <c r="I926" s="1"/>
    </row>
    <row r="927" spans="8:9">
      <c r="H927" s="1"/>
      <c r="I927" s="1"/>
    </row>
    <row r="928" spans="8:9">
      <c r="H928" s="1"/>
      <c r="I928" s="1"/>
    </row>
    <row r="929" spans="8:9">
      <c r="H929" s="1"/>
      <c r="I929" s="1"/>
    </row>
    <row r="930" spans="8:9">
      <c r="H930" s="1"/>
      <c r="I930" s="1"/>
    </row>
    <row r="931" spans="8:9">
      <c r="H931" s="1"/>
      <c r="I931" s="1"/>
    </row>
    <row r="932" spans="8:9">
      <c r="H932" s="1"/>
      <c r="I932" s="1"/>
    </row>
    <row r="933" spans="8:9">
      <c r="H933" s="1"/>
      <c r="I933" s="1"/>
    </row>
    <row r="934" spans="8:9">
      <c r="H934" s="1"/>
      <c r="I934" s="1"/>
    </row>
    <row r="935" spans="8:9">
      <c r="H935" s="1"/>
      <c r="I935" s="1"/>
    </row>
    <row r="936" spans="8:9">
      <c r="H936" s="1"/>
      <c r="I936" s="1"/>
    </row>
    <row r="937" spans="8:9">
      <c r="H937" s="1"/>
      <c r="I937" s="1"/>
    </row>
    <row r="938" spans="8:9">
      <c r="H938" s="1"/>
      <c r="I938" s="1"/>
    </row>
    <row r="939" spans="8:9">
      <c r="H939" s="1"/>
      <c r="I939" s="1"/>
    </row>
    <row r="940" spans="8:9">
      <c r="H940" s="1"/>
      <c r="I940" s="1"/>
    </row>
    <row r="941" spans="8:9">
      <c r="H941" s="1"/>
      <c r="I941" s="1"/>
    </row>
    <row r="942" spans="8:9">
      <c r="H942" s="1"/>
      <c r="I942" s="1"/>
    </row>
    <row r="943" spans="8:9">
      <c r="H943" s="1"/>
      <c r="I943" s="1"/>
    </row>
    <row r="944" spans="8:9">
      <c r="H944" s="1"/>
      <c r="I944" s="1"/>
    </row>
    <row r="945" spans="8:9">
      <c r="H945" s="1"/>
      <c r="I945" s="1"/>
    </row>
    <row r="946" spans="8:9">
      <c r="H946" s="1"/>
      <c r="I946" s="1"/>
    </row>
    <row r="947" spans="8:9">
      <c r="H947" s="1"/>
      <c r="I947" s="1"/>
    </row>
    <row r="948" spans="8:9">
      <c r="H948" s="1"/>
      <c r="I948" s="1"/>
    </row>
    <row r="949" spans="8:9">
      <c r="H949" s="1"/>
      <c r="I949" s="1"/>
    </row>
    <row r="950" spans="8:9">
      <c r="H950" s="1"/>
      <c r="I950" s="1"/>
    </row>
    <row r="951" spans="8:9">
      <c r="H951" s="1"/>
      <c r="I951" s="1"/>
    </row>
    <row r="952" spans="8:9">
      <c r="H952" s="1"/>
      <c r="I952" s="1"/>
    </row>
    <row r="953" spans="8:9">
      <c r="H953" s="1"/>
      <c r="I953" s="1"/>
    </row>
    <row r="954" spans="8:9">
      <c r="H954" s="1"/>
      <c r="I954" s="1"/>
    </row>
    <row r="955" spans="8:9">
      <c r="H955" s="1"/>
      <c r="I955" s="1"/>
    </row>
    <row r="956" spans="8:9">
      <c r="H956" s="1"/>
      <c r="I956" s="1"/>
    </row>
    <row r="957" spans="8:9">
      <c r="H957" s="1"/>
      <c r="I957" s="1"/>
    </row>
    <row r="958" spans="8:9">
      <c r="H958" s="1"/>
      <c r="I958" s="1"/>
    </row>
    <row r="959" spans="8:9">
      <c r="H959" s="1"/>
      <c r="I959" s="1"/>
    </row>
    <row r="960" spans="8:9">
      <c r="H960" s="1"/>
      <c r="I960" s="1"/>
    </row>
    <row r="961" spans="8:9">
      <c r="H961" s="1"/>
      <c r="I961" s="1"/>
    </row>
    <row r="962" spans="8:9">
      <c r="H962" s="1"/>
      <c r="I962" s="1"/>
    </row>
    <row r="963" spans="8:9">
      <c r="H963" s="1"/>
      <c r="I963" s="1"/>
    </row>
    <row r="964" spans="8:9">
      <c r="H964" s="1"/>
      <c r="I964" s="1"/>
    </row>
    <row r="965" spans="8:9">
      <c r="H965" s="1"/>
      <c r="I965" s="1"/>
    </row>
    <row r="966" spans="8:9">
      <c r="H966" s="1"/>
      <c r="I966" s="1"/>
    </row>
    <row r="967" spans="8:9">
      <c r="H967" s="1"/>
      <c r="I967" s="1"/>
    </row>
    <row r="968" spans="8:9">
      <c r="H968" s="1"/>
      <c r="I968" s="1"/>
    </row>
    <row r="969" spans="8:9">
      <c r="H969" s="1"/>
      <c r="I969" s="1"/>
    </row>
    <row r="970" spans="8:9">
      <c r="H970" s="1"/>
      <c r="I970" s="1"/>
    </row>
    <row r="971" spans="8:9">
      <c r="H971" s="1"/>
      <c r="I971" s="1"/>
    </row>
    <row r="972" spans="8:9">
      <c r="H972" s="1"/>
      <c r="I972" s="1"/>
    </row>
    <row r="973" spans="8:9">
      <c r="H973" s="1"/>
      <c r="I973" s="1"/>
    </row>
    <row r="974" spans="8:9">
      <c r="H974" s="1"/>
      <c r="I974" s="1"/>
    </row>
    <row r="975" spans="8:9">
      <c r="H975" s="1"/>
      <c r="I975" s="1"/>
    </row>
    <row r="976" spans="8:9">
      <c r="H976" s="1"/>
      <c r="I976" s="1"/>
    </row>
    <row r="977" spans="8:9">
      <c r="H977" s="1"/>
      <c r="I977" s="1"/>
    </row>
    <row r="978" spans="8:9">
      <c r="H978" s="1"/>
      <c r="I978" s="1"/>
    </row>
    <row r="979" spans="8:9">
      <c r="H979" s="1"/>
      <c r="I979" s="1"/>
    </row>
    <row r="980" spans="8:9">
      <c r="H980" s="1"/>
      <c r="I980" s="1"/>
    </row>
    <row r="981" spans="8:9">
      <c r="H981" s="1"/>
      <c r="I981" s="1"/>
    </row>
    <row r="982" spans="8:9">
      <c r="H982" s="1"/>
      <c r="I982" s="1"/>
    </row>
    <row r="983" spans="8:9">
      <c r="H983" s="1"/>
      <c r="I983" s="1"/>
    </row>
    <row r="984" spans="8:9">
      <c r="H984" s="1"/>
      <c r="I984" s="1"/>
    </row>
    <row r="985" spans="8:9">
      <c r="H985" s="1"/>
      <c r="I985" s="1"/>
    </row>
    <row r="986" spans="8:9">
      <c r="H986" s="1"/>
      <c r="I986" s="1"/>
    </row>
    <row r="987" spans="8:9">
      <c r="H987" s="1"/>
      <c r="I987" s="1"/>
    </row>
    <row r="988" spans="8:9">
      <c r="H988" s="1"/>
      <c r="I988" s="1"/>
    </row>
    <row r="989" spans="8:9">
      <c r="H989" s="1"/>
      <c r="I989" s="1"/>
    </row>
    <row r="990" spans="8:9">
      <c r="H990" s="1"/>
      <c r="I990" s="1"/>
    </row>
    <row r="991" spans="8:9">
      <c r="H991" s="1"/>
      <c r="I991" s="1"/>
    </row>
    <row r="992" spans="8:9">
      <c r="H992" s="1"/>
      <c r="I992" s="1"/>
    </row>
    <row r="993" spans="8:9">
      <c r="H993" s="1"/>
      <c r="I993" s="1"/>
    </row>
    <row r="994" spans="8:9">
      <c r="H994" s="1"/>
      <c r="I994" s="1"/>
    </row>
    <row r="995" spans="8:9">
      <c r="H995" s="1"/>
      <c r="I995" s="1"/>
    </row>
    <row r="996" spans="8:9">
      <c r="H996" s="1"/>
      <c r="I996" s="1"/>
    </row>
    <row r="997" spans="8:9">
      <c r="H997" s="1"/>
      <c r="I997" s="1"/>
    </row>
    <row r="998" spans="8:9">
      <c r="H998" s="1"/>
      <c r="I998" s="1"/>
    </row>
    <row r="999" spans="8:9">
      <c r="H999" s="1"/>
      <c r="I999" s="1"/>
    </row>
    <row r="1000" spans="8:9">
      <c r="H1000" s="1"/>
      <c r="I1000" s="1"/>
    </row>
    <row r="1001" spans="8:9">
      <c r="H1001" s="1"/>
      <c r="I1001" s="1"/>
    </row>
    <row r="1002" spans="8:9">
      <c r="H1002" s="1"/>
      <c r="I1002" s="1"/>
    </row>
    <row r="1003" spans="8:9">
      <c r="H1003" s="1"/>
      <c r="I1003" s="1"/>
    </row>
    <row r="1004" spans="8:9">
      <c r="H1004" s="1"/>
      <c r="I1004" s="1"/>
    </row>
    <row r="1005" spans="8:9">
      <c r="H1005" s="1"/>
      <c r="I1005" s="1"/>
    </row>
    <row r="1006" spans="8:9">
      <c r="H1006" s="1"/>
      <c r="I1006" s="1"/>
    </row>
    <row r="1007" spans="8:9">
      <c r="H1007" s="1"/>
      <c r="I1007" s="1"/>
    </row>
    <row r="1008" spans="8:9">
      <c r="H1008" s="1"/>
      <c r="I1008" s="1"/>
    </row>
    <row r="1009" spans="8:9">
      <c r="H1009" s="1"/>
      <c r="I1009" s="1"/>
    </row>
    <row r="1010" spans="8:9">
      <c r="H1010" s="1"/>
      <c r="I1010" s="1"/>
    </row>
    <row r="1011" spans="8:9">
      <c r="H1011" s="1"/>
      <c r="I1011" s="1"/>
    </row>
    <row r="1012" spans="8:9">
      <c r="H1012" s="1"/>
      <c r="I1012" s="1"/>
    </row>
    <row r="1013" spans="8:9">
      <c r="H1013" s="1"/>
      <c r="I1013" s="1"/>
    </row>
    <row r="1014" spans="8:9">
      <c r="H1014" s="1"/>
      <c r="I1014" s="1"/>
    </row>
    <row r="1015" spans="8:9">
      <c r="H1015" s="1"/>
      <c r="I1015" s="1"/>
    </row>
    <row r="1016" spans="8:9">
      <c r="H1016" s="1"/>
      <c r="I1016" s="1"/>
    </row>
    <row r="1017" spans="8:9">
      <c r="H1017" s="1"/>
      <c r="I1017" s="1"/>
    </row>
    <row r="1018" spans="8:9">
      <c r="H1018" s="1"/>
      <c r="I1018" s="1"/>
    </row>
    <row r="1019" spans="8:9">
      <c r="H1019" s="1"/>
      <c r="I1019" s="1"/>
    </row>
    <row r="1020" spans="8:9">
      <c r="H1020" s="1"/>
      <c r="I1020" s="1"/>
    </row>
    <row r="1021" spans="8:9">
      <c r="H1021" s="1"/>
      <c r="I1021" s="1"/>
    </row>
    <row r="1022" spans="8:9">
      <c r="H1022" s="1"/>
      <c r="I1022" s="1"/>
    </row>
    <row r="1023" spans="8:9">
      <c r="H1023" s="1"/>
      <c r="I1023" s="1"/>
    </row>
    <row r="1024" spans="8:9">
      <c r="H1024" s="1"/>
      <c r="I1024" s="1"/>
    </row>
    <row r="1025" spans="8:9">
      <c r="H1025" s="1"/>
      <c r="I1025" s="1"/>
    </row>
    <row r="1026" spans="8:9">
      <c r="H1026" s="1"/>
      <c r="I1026" s="1"/>
    </row>
    <row r="1027" spans="8:9">
      <c r="H1027" s="1"/>
      <c r="I1027" s="1"/>
    </row>
    <row r="1028" spans="8:9">
      <c r="H1028" s="1"/>
      <c r="I1028" s="1"/>
    </row>
    <row r="1029" spans="8:9">
      <c r="H1029" s="1"/>
      <c r="I1029" s="1"/>
    </row>
    <row r="1030" spans="8:9">
      <c r="H1030" s="1"/>
      <c r="I1030" s="1"/>
    </row>
    <row r="1031" spans="8:9">
      <c r="H1031" s="1"/>
      <c r="I1031" s="1"/>
    </row>
    <row r="1032" spans="8:9">
      <c r="H1032" s="1"/>
      <c r="I1032" s="1"/>
    </row>
    <row r="1033" spans="8:9">
      <c r="H1033" s="1"/>
      <c r="I1033" s="1"/>
    </row>
    <row r="1034" spans="8:9">
      <c r="H1034" s="1"/>
      <c r="I1034" s="1"/>
    </row>
    <row r="1035" spans="8:9">
      <c r="H1035" s="1"/>
      <c r="I1035" s="1"/>
    </row>
    <row r="1036" spans="8:9">
      <c r="H1036" s="1"/>
      <c r="I1036" s="1"/>
    </row>
    <row r="1037" spans="8:9">
      <c r="H1037" s="1"/>
      <c r="I1037" s="1"/>
    </row>
    <row r="1038" spans="8:9">
      <c r="H1038" s="1"/>
      <c r="I1038" s="1"/>
    </row>
    <row r="1039" spans="8:9">
      <c r="H1039" s="1"/>
      <c r="I1039" s="1"/>
    </row>
    <row r="1040" spans="8:9">
      <c r="H1040" s="1"/>
      <c r="I1040" s="1"/>
    </row>
    <row r="1041" spans="8:9">
      <c r="H1041" s="1"/>
      <c r="I1041" s="1"/>
    </row>
    <row r="1042" spans="8:9">
      <c r="H1042" s="1"/>
      <c r="I1042" s="1"/>
    </row>
    <row r="1043" spans="8:9">
      <c r="H1043" s="1"/>
      <c r="I1043" s="1"/>
    </row>
    <row r="1044" spans="8:9">
      <c r="H1044" s="1"/>
      <c r="I1044" s="1"/>
    </row>
    <row r="1045" spans="8:9">
      <c r="H1045" s="1"/>
      <c r="I1045" s="1"/>
    </row>
    <row r="1046" spans="8:9">
      <c r="H1046" s="1"/>
      <c r="I1046" s="1"/>
    </row>
    <row r="1047" spans="8:9">
      <c r="H1047" s="1"/>
      <c r="I1047" s="1"/>
    </row>
    <row r="1048" spans="8:9">
      <c r="H1048" s="1"/>
      <c r="I1048" s="1"/>
    </row>
    <row r="1049" spans="8:9">
      <c r="H1049" s="1"/>
      <c r="I1049" s="1"/>
    </row>
    <row r="1050" spans="8:9">
      <c r="H1050" s="1"/>
      <c r="I1050" s="1"/>
    </row>
    <row r="1051" spans="8:9">
      <c r="H1051" s="1"/>
      <c r="I1051" s="1"/>
    </row>
    <row r="1052" spans="8:9">
      <c r="H1052" s="1"/>
      <c r="I1052" s="1"/>
    </row>
    <row r="1053" spans="8:9">
      <c r="H1053" s="1"/>
      <c r="I1053" s="1"/>
    </row>
    <row r="1054" spans="8:9">
      <c r="H1054" s="1"/>
      <c r="I1054" s="1"/>
    </row>
    <row r="1055" spans="8:9">
      <c r="H1055" s="1"/>
      <c r="I1055" s="1"/>
    </row>
    <row r="1056" spans="8:9">
      <c r="H1056" s="1"/>
      <c r="I1056" s="1"/>
    </row>
    <row r="1057" spans="8:9">
      <c r="H1057" s="1"/>
      <c r="I1057" s="1"/>
    </row>
    <row r="1058" spans="8:9">
      <c r="H1058" s="1"/>
      <c r="I1058" s="1"/>
    </row>
    <row r="1059" spans="8:9">
      <c r="H1059" s="1"/>
      <c r="I1059" s="1"/>
    </row>
    <row r="1060" spans="8:9">
      <c r="H1060" s="1"/>
      <c r="I1060" s="1"/>
    </row>
    <row r="1061" spans="8:9">
      <c r="H1061" s="1"/>
      <c r="I1061" s="1"/>
    </row>
    <row r="1062" spans="8:9">
      <c r="H1062" s="1"/>
      <c r="I1062" s="1"/>
    </row>
    <row r="1063" spans="8:9">
      <c r="H1063" s="1"/>
      <c r="I1063" s="1"/>
    </row>
    <row r="1064" spans="8:9">
      <c r="H1064" s="1"/>
      <c r="I1064" s="1"/>
    </row>
    <row r="1065" spans="8:9">
      <c r="H1065" s="1"/>
      <c r="I1065" s="1"/>
    </row>
    <row r="1066" spans="8:9">
      <c r="H1066" s="1"/>
      <c r="I1066" s="1"/>
    </row>
    <row r="1067" spans="8:9">
      <c r="H1067" s="1"/>
      <c r="I1067" s="1"/>
    </row>
    <row r="1068" spans="8:9">
      <c r="H1068" s="1"/>
      <c r="I1068" s="1"/>
    </row>
    <row r="1069" spans="8:9">
      <c r="H1069" s="1"/>
      <c r="I1069" s="1"/>
    </row>
    <row r="1070" spans="8:9">
      <c r="H1070" s="1"/>
      <c r="I1070" s="1"/>
    </row>
    <row r="1071" spans="8:9">
      <c r="H1071" s="1"/>
      <c r="I1071" s="1"/>
    </row>
    <row r="1072" spans="8:9">
      <c r="H1072" s="1"/>
      <c r="I1072" s="1"/>
    </row>
    <row r="1073" spans="8:9">
      <c r="H1073" s="1"/>
      <c r="I1073" s="1"/>
    </row>
    <row r="1074" spans="8:9">
      <c r="H1074" s="1"/>
      <c r="I1074" s="1"/>
    </row>
    <row r="1075" spans="8:9">
      <c r="H1075" s="1"/>
      <c r="I1075" s="1"/>
    </row>
    <row r="1076" spans="8:9">
      <c r="H1076" s="1"/>
      <c r="I1076" s="1"/>
    </row>
    <row r="1077" spans="8:9">
      <c r="H1077" s="1"/>
      <c r="I1077" s="1"/>
    </row>
    <row r="1078" spans="8:9">
      <c r="H1078" s="1"/>
      <c r="I1078" s="1"/>
    </row>
    <row r="1079" spans="8:9">
      <c r="H1079" s="1"/>
      <c r="I1079" s="1"/>
    </row>
    <row r="1080" spans="8:9">
      <c r="H1080" s="1"/>
      <c r="I1080" s="1"/>
    </row>
    <row r="1081" spans="8:9">
      <c r="H1081" s="1"/>
      <c r="I1081" s="1"/>
    </row>
    <row r="1082" spans="8:9">
      <c r="H1082" s="1"/>
      <c r="I1082" s="1"/>
    </row>
    <row r="1083" spans="8:9">
      <c r="H1083" s="1"/>
      <c r="I1083" s="1"/>
    </row>
    <row r="1084" spans="8:9">
      <c r="H1084" s="1"/>
      <c r="I1084" s="1"/>
    </row>
    <row r="1085" spans="8:9">
      <c r="H1085" s="1"/>
      <c r="I1085" s="1"/>
    </row>
    <row r="1086" spans="8:9">
      <c r="H1086" s="1"/>
      <c r="I1086" s="1"/>
    </row>
    <row r="1087" spans="8:9">
      <c r="H1087" s="1"/>
      <c r="I1087" s="1"/>
    </row>
    <row r="1088" spans="8:9">
      <c r="H1088" s="1"/>
      <c r="I1088" s="1"/>
    </row>
    <row r="1089" spans="8:9">
      <c r="H1089" s="1"/>
      <c r="I1089" s="1"/>
    </row>
    <row r="1090" spans="8:9">
      <c r="H1090" s="1"/>
      <c r="I1090" s="1"/>
    </row>
    <row r="1091" spans="8:9">
      <c r="H1091" s="1"/>
      <c r="I1091" s="1"/>
    </row>
    <row r="1092" spans="8:9">
      <c r="H1092" s="1"/>
      <c r="I1092" s="1"/>
    </row>
    <row r="1093" spans="8:9">
      <c r="H1093" s="1"/>
      <c r="I1093" s="1"/>
    </row>
    <row r="1094" spans="8:9">
      <c r="H1094" s="1"/>
      <c r="I1094" s="1"/>
    </row>
    <row r="1095" spans="8:9">
      <c r="H1095" s="1"/>
      <c r="I1095" s="1"/>
    </row>
    <row r="1096" spans="8:9">
      <c r="H1096" s="1"/>
      <c r="I1096" s="1"/>
    </row>
    <row r="1097" spans="8:9">
      <c r="H1097" s="1"/>
      <c r="I1097" s="1"/>
    </row>
    <row r="1098" spans="8:9">
      <c r="H1098" s="1"/>
      <c r="I1098" s="1"/>
    </row>
    <row r="1099" spans="8:9">
      <c r="H1099" s="1"/>
      <c r="I1099" s="1"/>
    </row>
    <row r="1100" spans="8:9">
      <c r="H1100" s="1"/>
      <c r="I1100" s="1"/>
    </row>
    <row r="1101" spans="8:9">
      <c r="H1101" s="1"/>
      <c r="I1101" s="1"/>
    </row>
    <row r="1102" spans="8:9">
      <c r="H1102" s="1"/>
      <c r="I1102" s="1"/>
    </row>
    <row r="1103" spans="8:9">
      <c r="H1103" s="1"/>
      <c r="I1103" s="1"/>
    </row>
    <row r="1104" spans="8:9">
      <c r="H1104" s="1"/>
      <c r="I1104" s="1"/>
    </row>
    <row r="1105" spans="8:9">
      <c r="H1105" s="1"/>
      <c r="I1105" s="1"/>
    </row>
    <row r="1106" spans="8:9">
      <c r="H1106" s="1"/>
      <c r="I1106" s="1"/>
    </row>
    <row r="1107" spans="8:9">
      <c r="H1107" s="1"/>
      <c r="I1107" s="1"/>
    </row>
    <row r="1108" spans="8:9">
      <c r="H1108" s="1"/>
      <c r="I1108" s="1"/>
    </row>
    <row r="1109" spans="8:9">
      <c r="H1109" s="1"/>
      <c r="I1109" s="1"/>
    </row>
    <row r="1110" spans="8:9">
      <c r="H1110" s="1"/>
      <c r="I1110" s="1"/>
    </row>
    <row r="1111" spans="8:9">
      <c r="H1111" s="1"/>
      <c r="I1111" s="1"/>
    </row>
    <row r="1112" spans="8:9">
      <c r="H1112" s="1"/>
      <c r="I1112" s="1"/>
    </row>
    <row r="1113" spans="8:9">
      <c r="H1113" s="1"/>
      <c r="I1113" s="1"/>
    </row>
    <row r="1114" spans="8:9">
      <c r="H1114" s="1"/>
      <c r="I1114" s="1"/>
    </row>
    <row r="1115" spans="8:9">
      <c r="H1115" s="1"/>
      <c r="I1115" s="1"/>
    </row>
    <row r="1116" spans="8:9">
      <c r="H1116" s="1"/>
      <c r="I1116" s="1"/>
    </row>
    <row r="1117" spans="8:9">
      <c r="H1117" s="1"/>
      <c r="I1117" s="1"/>
    </row>
    <row r="1118" spans="8:9">
      <c r="H1118" s="1"/>
      <c r="I1118" s="1"/>
    </row>
    <row r="1119" spans="8:9">
      <c r="H1119" s="1"/>
      <c r="I1119" s="1"/>
    </row>
    <row r="1120" spans="8:9">
      <c r="H1120" s="1"/>
      <c r="I1120" s="1"/>
    </row>
    <row r="1121" spans="8:9">
      <c r="H1121" s="1"/>
      <c r="I1121" s="1"/>
    </row>
    <row r="1122" spans="8:9">
      <c r="H1122" s="1"/>
      <c r="I1122" s="1"/>
    </row>
    <row r="1123" spans="8:9">
      <c r="H1123" s="1"/>
      <c r="I1123" s="1"/>
    </row>
    <row r="1124" spans="8:9">
      <c r="H1124" s="1"/>
      <c r="I1124" s="1"/>
    </row>
    <row r="1125" spans="8:9">
      <c r="H1125" s="1"/>
      <c r="I1125" s="1"/>
    </row>
    <row r="1126" spans="8:9">
      <c r="H1126" s="1"/>
      <c r="I1126" s="1"/>
    </row>
    <row r="1127" spans="8:9">
      <c r="H1127" s="1"/>
      <c r="I1127" s="1"/>
    </row>
    <row r="1128" spans="8:9">
      <c r="H1128" s="1"/>
      <c r="I1128" s="1"/>
    </row>
    <row r="1129" spans="8:9">
      <c r="H1129" s="1"/>
      <c r="I1129" s="1"/>
    </row>
    <row r="1130" spans="8:9">
      <c r="H1130" s="1"/>
      <c r="I1130" s="1"/>
    </row>
    <row r="1131" spans="8:9">
      <c r="H1131" s="1"/>
      <c r="I1131" s="1"/>
    </row>
    <row r="1132" spans="8:9">
      <c r="H1132" s="1"/>
      <c r="I1132" s="1"/>
    </row>
    <row r="1133" spans="8:9">
      <c r="H1133" s="1"/>
      <c r="I1133" s="1"/>
    </row>
    <row r="1134" spans="8:9">
      <c r="H1134" s="1"/>
      <c r="I1134" s="1"/>
    </row>
    <row r="1135" spans="8:9">
      <c r="H1135" s="1"/>
      <c r="I1135" s="1"/>
    </row>
    <row r="1136" spans="8:9">
      <c r="H1136" s="1"/>
      <c r="I1136" s="1"/>
    </row>
    <row r="1137" spans="8:9">
      <c r="H1137" s="1"/>
      <c r="I1137" s="1"/>
    </row>
    <row r="1138" spans="8:9">
      <c r="H1138" s="1"/>
      <c r="I1138" s="1"/>
    </row>
    <row r="1139" spans="8:9">
      <c r="H1139" s="1"/>
      <c r="I1139" s="1"/>
    </row>
    <row r="1140" spans="8:9">
      <c r="H1140" s="1"/>
      <c r="I1140" s="1"/>
    </row>
    <row r="1141" spans="8:9">
      <c r="H1141" s="1"/>
      <c r="I1141" s="1"/>
    </row>
    <row r="1142" spans="8:9">
      <c r="H1142" s="1"/>
      <c r="I1142" s="1"/>
    </row>
    <row r="1143" spans="8:9">
      <c r="H1143" s="1"/>
      <c r="I1143" s="1"/>
    </row>
    <row r="1144" spans="8:9">
      <c r="H1144" s="1"/>
      <c r="I1144" s="1"/>
    </row>
    <row r="1145" spans="8:9">
      <c r="H1145" s="1"/>
      <c r="I1145" s="1"/>
    </row>
    <row r="1146" spans="8:9">
      <c r="H1146" s="1"/>
      <c r="I1146" s="1"/>
    </row>
    <row r="1147" spans="8:9">
      <c r="H1147" s="1"/>
      <c r="I1147" s="1"/>
    </row>
    <row r="1148" spans="8:9">
      <c r="H1148" s="1"/>
      <c r="I1148" s="1"/>
    </row>
    <row r="1149" spans="8:9">
      <c r="H1149" s="1"/>
      <c r="I1149" s="1"/>
    </row>
    <row r="1150" spans="8:9">
      <c r="H1150" s="1"/>
      <c r="I1150" s="1"/>
    </row>
    <row r="1151" spans="8:9">
      <c r="H1151" s="1"/>
      <c r="I1151" s="1"/>
    </row>
    <row r="1152" spans="8:9">
      <c r="H1152" s="1"/>
      <c r="I1152" s="1"/>
    </row>
    <row r="1153" spans="8:9">
      <c r="H1153" s="1"/>
      <c r="I1153" s="1"/>
    </row>
    <row r="1154" spans="8:9">
      <c r="H1154" s="1"/>
      <c r="I1154" s="1"/>
    </row>
    <row r="1155" spans="8:9">
      <c r="H1155" s="1"/>
      <c r="I1155" s="1"/>
    </row>
    <row r="1156" spans="8:9">
      <c r="H1156" s="1"/>
      <c r="I1156" s="1"/>
    </row>
    <row r="1157" spans="8:9">
      <c r="H1157" s="1"/>
      <c r="I1157" s="1"/>
    </row>
    <row r="1158" spans="8:9">
      <c r="H1158" s="1"/>
      <c r="I1158" s="1"/>
    </row>
    <row r="1159" spans="8:9">
      <c r="H1159" s="1"/>
      <c r="I1159" s="1"/>
    </row>
    <row r="1160" spans="8:9">
      <c r="H1160" s="1"/>
      <c r="I1160" s="1"/>
    </row>
    <row r="1161" spans="8:9">
      <c r="H1161" s="1"/>
      <c r="I1161" s="1"/>
    </row>
    <row r="1162" spans="8:9">
      <c r="H1162" s="1"/>
      <c r="I1162" s="1"/>
    </row>
    <row r="1163" spans="8:9">
      <c r="H1163" s="1"/>
      <c r="I1163" s="1"/>
    </row>
    <row r="1164" spans="8:9">
      <c r="H1164" s="1"/>
      <c r="I1164" s="1"/>
    </row>
    <row r="1165" spans="8:9">
      <c r="H1165" s="1"/>
      <c r="I1165" s="1"/>
    </row>
    <row r="1166" spans="8:9">
      <c r="H1166" s="1"/>
      <c r="I1166" s="1"/>
    </row>
    <row r="1167" spans="8:9">
      <c r="H1167" s="1"/>
      <c r="I1167" s="1"/>
    </row>
    <row r="1168" spans="8:9">
      <c r="H1168" s="1"/>
      <c r="I1168" s="1"/>
    </row>
    <row r="1169" spans="8:9">
      <c r="H1169" s="1"/>
      <c r="I1169" s="1"/>
    </row>
    <row r="1170" spans="8:9">
      <c r="H1170" s="1"/>
      <c r="I1170" s="1"/>
    </row>
    <row r="1171" spans="8:9">
      <c r="H1171" s="1"/>
      <c r="I1171" s="1"/>
    </row>
    <row r="1172" spans="8:9">
      <c r="H1172" s="1"/>
      <c r="I1172" s="1"/>
    </row>
    <row r="1173" spans="8:9">
      <c r="H1173" s="1"/>
      <c r="I1173" s="1"/>
    </row>
    <row r="1174" spans="8:9">
      <c r="H1174" s="1"/>
      <c r="I1174" s="1"/>
    </row>
    <row r="1175" spans="8:9">
      <c r="H1175" s="1"/>
      <c r="I1175" s="1"/>
    </row>
    <row r="1176" spans="8:9">
      <c r="H1176" s="1"/>
      <c r="I1176" s="1"/>
    </row>
    <row r="1177" spans="8:9">
      <c r="H1177" s="1"/>
      <c r="I1177" s="1"/>
    </row>
    <row r="1178" spans="8:9">
      <c r="H1178" s="1"/>
      <c r="I1178" s="1"/>
    </row>
    <row r="1179" spans="8:9">
      <c r="H1179" s="1"/>
      <c r="I1179" s="1"/>
    </row>
    <row r="1180" spans="8:9">
      <c r="H1180" s="1"/>
      <c r="I1180" s="1"/>
    </row>
    <row r="1181" spans="8:9">
      <c r="H1181" s="1"/>
      <c r="I1181" s="1"/>
    </row>
    <row r="1182" spans="8:9">
      <c r="H1182" s="1"/>
      <c r="I1182" s="1"/>
    </row>
    <row r="1183" spans="8:9">
      <c r="H1183" s="1"/>
      <c r="I1183" s="1"/>
    </row>
    <row r="1184" spans="8:9">
      <c r="H1184" s="1"/>
      <c r="I1184" s="1"/>
    </row>
    <row r="1185" spans="8:9">
      <c r="H1185" s="1"/>
      <c r="I1185" s="1"/>
    </row>
    <row r="1186" spans="8:9">
      <c r="H1186" s="1"/>
      <c r="I1186" s="1"/>
    </row>
    <row r="1187" spans="8:9">
      <c r="H1187" s="1"/>
      <c r="I1187" s="1"/>
    </row>
    <row r="1188" spans="8:9">
      <c r="H1188" s="1"/>
      <c r="I1188" s="1"/>
    </row>
    <row r="1189" spans="8:9">
      <c r="H1189" s="1"/>
      <c r="I1189" s="1"/>
    </row>
    <row r="1190" spans="8:9">
      <c r="H1190" s="1"/>
      <c r="I1190" s="1"/>
    </row>
    <row r="1191" spans="8:9">
      <c r="H1191" s="1"/>
      <c r="I1191" s="1"/>
    </row>
    <row r="1192" spans="8:9">
      <c r="H1192" s="1"/>
      <c r="I1192" s="1"/>
    </row>
    <row r="1193" spans="8:9">
      <c r="H1193" s="1"/>
      <c r="I1193" s="1"/>
    </row>
    <row r="1194" spans="8:9">
      <c r="H1194" s="1"/>
      <c r="I1194" s="1"/>
    </row>
    <row r="1195" spans="8:9">
      <c r="H1195" s="1"/>
      <c r="I1195" s="1"/>
    </row>
    <row r="1196" spans="8:9">
      <c r="H1196" s="1"/>
      <c r="I1196" s="1"/>
    </row>
    <row r="1197" spans="8:9">
      <c r="H1197" s="1"/>
      <c r="I1197" s="1"/>
    </row>
    <row r="1198" spans="8:9">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2025-08-05T14:20:40Z</dcterms:modified>
</cp:coreProperties>
</file>