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12EC16AF-304F-43A3-BF1F-BE8C7D54C00E}"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onus_jobs_facts">Constants!$B$164</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AE136" i="1" l="1"/>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J4" i="2" l="1"/>
  <c r="AS2" i="8"/>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CE4" i="8" l="1"/>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C1270" i="1"/>
  <c r="B1270" i="11"/>
  <c r="C1270" i="2"/>
  <c r="A1270" i="10"/>
  <c r="B1270" i="7"/>
  <c r="A1270" i="5"/>
  <c r="B1270" i="8"/>
  <c r="P5" i="2"/>
  <c r="I6" i="12" l="1"/>
  <c r="I7" i="12" s="1"/>
  <c r="K35" i="12"/>
  <c r="J36" i="12"/>
  <c r="N36" i="12" s="1"/>
  <c r="N39" i="12" s="1"/>
  <c r="J6" i="12"/>
  <c r="K24" i="12"/>
  <c r="G6" i="8"/>
  <c r="O6" i="2" s="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R4" i="5"/>
  <c r="H4" i="5" s="1"/>
  <c r="CU4" i="5"/>
  <c r="K4" i="5" s="1"/>
  <c r="CF6" i="8"/>
  <c r="K5" i="11"/>
  <c r="A5" i="14"/>
  <c r="CA5" i="14" s="1"/>
  <c r="A5" i="9"/>
  <c r="A5" i="7"/>
  <c r="R5" i="7" s="1"/>
  <c r="A5" i="2"/>
  <c r="A5" i="5"/>
  <c r="CQ5" i="5" s="1"/>
  <c r="A5" i="8"/>
  <c r="J6" i="10"/>
  <c r="N6" i="5" s="1"/>
  <c r="BY5" i="11"/>
  <c r="K4" i="10"/>
  <c r="AA4" i="7"/>
  <c r="AF4" i="8" s="1"/>
  <c r="AU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CV5" i="5" l="1"/>
  <c r="G7" i="8"/>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J5" i="2" l="1"/>
  <c r="I4" i="2" s="1"/>
  <c r="I4" i="11" s="1"/>
  <c r="K7" i="11"/>
  <c r="BI6" i="5" a="1"/>
  <c r="BI6" i="5" s="1"/>
  <c r="BI7" i="5" s="1" a="1"/>
  <c r="BI7" i="5" s="1"/>
  <c r="BH6" i="5" a="1"/>
  <c r="BH6" i="5" s="1"/>
  <c r="BH7" i="5" s="1" a="1"/>
  <c r="BH7" i="5" s="1"/>
  <c r="G8" i="8"/>
  <c r="CE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AZ7" i="5" l="1" a="1"/>
  <c r="AZ7" i="5" s="1"/>
  <c r="AZ8" i="5" s="1" a="1"/>
  <c r="AZ8" i="5" s="1"/>
  <c r="J6" i="2"/>
  <c r="BF7" i="5" a="1"/>
  <c r="BF7" i="5" s="1"/>
  <c r="AE6" i="1" s="1"/>
  <c r="AE5" i="1"/>
  <c r="G9" i="8"/>
  <c r="CE8" i="8"/>
  <c r="O8" i="2"/>
  <c r="BQ8" i="5" a="1"/>
  <c r="BQ8" i="5" s="1"/>
  <c r="BJ8" i="5" a="1"/>
  <c r="BJ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AE7" i="1"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W5" i="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J7" i="2" l="1"/>
  <c r="BJ9" i="5" a="1"/>
  <c r="BJ9" i="5" s="1"/>
  <c r="G10" i="8"/>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AE8" i="1" s="1"/>
  <c r="BH9" i="5" a="1"/>
  <c r="BH9" i="5" s="1"/>
  <c r="BC9" i="5" a="1"/>
  <c r="BC9" i="5" s="1"/>
  <c r="BK9" i="5" a="1"/>
  <c r="BK9" i="5" s="1"/>
  <c r="V7" i="2"/>
  <c r="AO4" i="5"/>
  <c r="AV5" i="5"/>
  <c r="BP8" i="5" a="1"/>
  <c r="BP8" i="5" s="1"/>
  <c r="J8" i="2" s="1"/>
  <c r="BG5" i="8"/>
  <c r="BT5" i="8" s="1"/>
  <c r="O13" i="1"/>
  <c r="AM4" i="5"/>
  <c r="BT4" i="8"/>
  <c r="BS4" i="8"/>
  <c r="BO4" i="8"/>
  <c r="BP4" i="8"/>
  <c r="BM4" i="8"/>
  <c r="BN4" i="8"/>
  <c r="BK4" i="8"/>
  <c r="BL4" i="8"/>
  <c r="BI4" i="8"/>
  <c r="BJ4" i="8"/>
  <c r="BW4" i="8"/>
  <c r="CC4" i="8" s="1"/>
  <c r="AC4" i="10"/>
  <c r="X4" i="10" s="1"/>
  <c r="AN4" i="5"/>
  <c r="AR4" i="5" s="1"/>
  <c r="AS8" i="5"/>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G11" i="8" l="1"/>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J9" i="2" s="1"/>
  <c r="BS5" i="8"/>
  <c r="AG5" i="7"/>
  <c r="AI5" i="7" s="1"/>
  <c r="AG4" i="7"/>
  <c r="AI4" i="7" s="1"/>
  <c r="AA4" i="8" s="1"/>
  <c r="O14" i="1"/>
  <c r="CD4" i="8"/>
  <c r="CU4" i="8" s="1"/>
  <c r="CV4" i="8" s="1"/>
  <c r="BN5" i="8"/>
  <c r="BO5" i="8"/>
  <c r="BL5" i="8"/>
  <c r="BM5" i="8"/>
  <c r="BJ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W7" i="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I13" i="12"/>
  <c r="J12" i="12"/>
  <c r="G12" i="8" l="1"/>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P4" i="8"/>
  <c r="DC4" i="8" s="1"/>
  <c r="G4" i="1" s="1"/>
  <c r="N4" i="8" s="1"/>
  <c r="P5" i="8"/>
  <c r="F13" i="8"/>
  <c r="CN5" i="8"/>
  <c r="CR5" i="8" s="1"/>
  <c r="AO6" i="5"/>
  <c r="AV7" i="5"/>
  <c r="BP10" i="5" a="1"/>
  <c r="BP10" i="5" s="1"/>
  <c r="J10" i="2" s="1"/>
  <c r="O15" i="1"/>
  <c r="D7" i="9"/>
  <c r="BS6" i="8"/>
  <c r="BN6" i="8"/>
  <c r="BO6" i="8"/>
  <c r="BL6" i="8"/>
  <c r="BM6" i="8"/>
  <c r="BJ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G13" i="8" l="1"/>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J11" i="2" s="1"/>
  <c r="AG6" i="7"/>
  <c r="AI6" i="7" s="1"/>
  <c r="O16" i="1"/>
  <c r="BS7" i="8"/>
  <c r="BN7" i="8"/>
  <c r="BO7" i="8"/>
  <c r="BL7" i="8"/>
  <c r="BM7" i="8"/>
  <c r="BJ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G14" i="8" l="1"/>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J12" i="2" s="1"/>
  <c r="AG7" i="7"/>
  <c r="AI7" i="7" s="1"/>
  <c r="O17" i="1"/>
  <c r="BS8" i="8"/>
  <c r="BN8" i="8"/>
  <c r="BO8" i="8"/>
  <c r="BL8" i="8"/>
  <c r="BM8" i="8"/>
  <c r="BJ8" i="8"/>
  <c r="BK8" i="8"/>
  <c r="BI8" i="8"/>
  <c r="AC8" i="10"/>
  <c r="X8" i="10" s="1"/>
  <c r="AN8" i="5"/>
  <c r="AM8" i="5"/>
  <c r="Z4" i="2"/>
  <c r="AA5" i="8" s="1"/>
  <c r="E5" i="2" s="1"/>
  <c r="AS12" i="5"/>
  <c r="E15" i="8"/>
  <c r="AK12" i="11"/>
  <c r="AH12" i="11"/>
  <c r="AM12" i="1"/>
  <c r="DF11" i="5"/>
  <c r="DB11" i="5"/>
  <c r="DE11" i="5"/>
  <c r="DH11" i="5"/>
  <c r="AE13" i="8"/>
  <c r="AT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G15" i="8" l="1"/>
  <c r="CE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J13" i="2" s="1"/>
  <c r="X10" i="8"/>
  <c r="DA10" i="8" s="1"/>
  <c r="AG8" i="7"/>
  <c r="AI8" i="7" s="1"/>
  <c r="O18" i="1"/>
  <c r="BS9" i="8"/>
  <c r="BN9" i="8"/>
  <c r="BO9" i="8"/>
  <c r="BL9" i="8"/>
  <c r="BM9" i="8"/>
  <c r="BJ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W11" i="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G16" i="8" l="1"/>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C7" i="8"/>
  <c r="G7" i="1" s="1"/>
  <c r="N7" i="8" s="1"/>
  <c r="P9" i="8"/>
  <c r="F18" i="8"/>
  <c r="AO10" i="5"/>
  <c r="AV11" i="5"/>
  <c r="BP14" i="5" a="1"/>
  <c r="BP14" i="5" s="1"/>
  <c r="J14" i="2" s="1"/>
  <c r="DE11" i="8"/>
  <c r="DF11" i="8" s="1"/>
  <c r="AG9" i="7"/>
  <c r="AI9" i="7" s="1"/>
  <c r="O19" i="1"/>
  <c r="BS10" i="8"/>
  <c r="BN10" i="8"/>
  <c r="BO10" i="8"/>
  <c r="BL10" i="8"/>
  <c r="BM10" i="8"/>
  <c r="AN10" i="5"/>
  <c r="BJ10" i="8"/>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W12" i="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G17" i="8" l="1"/>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J15" i="2" s="1"/>
  <c r="DE12" i="8"/>
  <c r="DF12" i="8" s="1"/>
  <c r="AG10" i="7"/>
  <c r="AI10" i="7" s="1"/>
  <c r="AG11" i="7"/>
  <c r="AI11" i="7" s="1"/>
  <c r="O20" i="1"/>
  <c r="BS11" i="8"/>
  <c r="BN11" i="8"/>
  <c r="BO11" i="8"/>
  <c r="BL11" i="8"/>
  <c r="BM11" i="8"/>
  <c r="BJ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CZ14" i="5"/>
  <c r="AC13" i="1"/>
  <c r="DA13" i="5"/>
  <c r="DG13" i="5" s="1" a="1"/>
  <c r="DG13" i="5" s="1"/>
  <c r="AB14" i="1"/>
  <c r="DI14" i="5"/>
  <c r="AF23" i="9"/>
  <c r="AJ23" i="9"/>
  <c r="AD85" i="9"/>
  <c r="B7" i="14"/>
  <c r="S16" i="2"/>
  <c r="P17" i="2"/>
  <c r="N17" i="2"/>
  <c r="R17" i="2"/>
  <c r="Q16" i="2"/>
  <c r="M17" i="2"/>
  <c r="F15" i="12"/>
  <c r="E15" i="12" s="1"/>
  <c r="D16" i="12"/>
  <c r="J18" i="10"/>
  <c r="N18" i="5" s="1"/>
  <c r="G18" i="8" l="1"/>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J16" i="2" s="1"/>
  <c r="B13" i="9"/>
  <c r="X13" i="9" s="1"/>
  <c r="O21" i="1"/>
  <c r="BW12" i="8"/>
  <c r="CC12" i="8" s="1"/>
  <c r="BS12" i="8"/>
  <c r="BN12" i="8"/>
  <c r="BO12" i="8"/>
  <c r="BL12" i="8"/>
  <c r="BM12" i="8"/>
  <c r="BJ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W14" i="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G19" i="8" l="1"/>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C10" i="8"/>
  <c r="G10" i="1" s="1"/>
  <c r="N10" i="8" s="1"/>
  <c r="P12" i="8"/>
  <c r="CN12" i="8"/>
  <c r="CR12" i="8" s="1"/>
  <c r="F21" i="8"/>
  <c r="AO13" i="5"/>
  <c r="AV14" i="5"/>
  <c r="BP17" i="5" a="1"/>
  <c r="BP17" i="5" s="1"/>
  <c r="J17" i="2" s="1"/>
  <c r="AG12" i="7"/>
  <c r="AI12" i="7" s="1"/>
  <c r="O22" i="1"/>
  <c r="CD12" i="8"/>
  <c r="CU12" i="8" s="1"/>
  <c r="CV12" i="8" s="1"/>
  <c r="BS13" i="8"/>
  <c r="BN13" i="8"/>
  <c r="BO13" i="8"/>
  <c r="BL13" i="8"/>
  <c r="BM13" i="8"/>
  <c r="BJ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BT14" i="5"/>
  <c r="A14" i="11"/>
  <c r="B14" i="7"/>
  <c r="X14" i="8"/>
  <c r="DA14" i="8" s="1"/>
  <c r="CZ16" i="5"/>
  <c r="AC15" i="1"/>
  <c r="DA15" i="5"/>
  <c r="DG15" i="5" s="1" a="1"/>
  <c r="DG15" i="5" s="1"/>
  <c r="DI16" i="5"/>
  <c r="AB16" i="1"/>
  <c r="AF25" i="9"/>
  <c r="AJ25" i="9"/>
  <c r="AD87" i="9"/>
  <c r="B9" i="14"/>
  <c r="S18" i="2"/>
  <c r="P19" i="2"/>
  <c r="N19" i="2"/>
  <c r="R19" i="2"/>
  <c r="Q18" i="2"/>
  <c r="M19" i="2"/>
  <c r="J20" i="10"/>
  <c r="N20" i="5" s="1"/>
  <c r="G20" i="8" l="1"/>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J18" i="2" s="1"/>
  <c r="BG15" i="8"/>
  <c r="BT15" i="8" s="1"/>
  <c r="AG13" i="7"/>
  <c r="AI13" i="7" s="1"/>
  <c r="O23" i="1"/>
  <c r="BS14" i="8"/>
  <c r="BT14" i="8"/>
  <c r="BN14" i="8"/>
  <c r="BO14" i="8"/>
  <c r="BL14" i="8"/>
  <c r="BM14" i="8"/>
  <c r="BJ14" i="8"/>
  <c r="BK14" i="8"/>
  <c r="BI14" i="8"/>
  <c r="AC14" i="10"/>
  <c r="X14" i="10" s="1"/>
  <c r="AM14" i="5"/>
  <c r="AN14" i="5"/>
  <c r="AS18" i="5"/>
  <c r="E22" i="8"/>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G21" i="8" l="1"/>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J19" i="2" s="1"/>
  <c r="AG14" i="7"/>
  <c r="AI14" i="7" s="1"/>
  <c r="O24" i="1"/>
  <c r="BN15" i="8"/>
  <c r="BO15" i="8"/>
  <c r="BL15" i="8"/>
  <c r="BM15" i="8"/>
  <c r="BJ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W17" i="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C17" i="5"/>
  <c r="F17" i="5" s="1"/>
  <c r="AW17" i="5" s="1"/>
  <c r="CZ18" i="5"/>
  <c r="C18" i="5"/>
  <c r="AC17" i="1"/>
  <c r="DA17" i="5"/>
  <c r="DG17" i="5" s="1" a="1"/>
  <c r="DG17" i="5" s="1"/>
  <c r="AB18" i="1"/>
  <c r="DI18" i="5"/>
  <c r="AF27" i="9"/>
  <c r="AJ27" i="9"/>
  <c r="AD89" i="9"/>
  <c r="B11" i="14"/>
  <c r="S20" i="2"/>
  <c r="P21" i="2"/>
  <c r="N21" i="2"/>
  <c r="R21" i="2"/>
  <c r="Q20" i="2"/>
  <c r="J22" i="10"/>
  <c r="N22" i="5" s="1"/>
  <c r="M21" i="2"/>
  <c r="G22" i="8" l="1"/>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J20" i="2" s="1"/>
  <c r="AG15" i="7"/>
  <c r="AI15" i="7" s="1"/>
  <c r="O25" i="1"/>
  <c r="BS16" i="8"/>
  <c r="BN16" i="8"/>
  <c r="BO16" i="8"/>
  <c r="BL16" i="8"/>
  <c r="BM16" i="8"/>
  <c r="BJ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G23" i="8" l="1"/>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J21" i="2" s="1"/>
  <c r="AI18" i="5"/>
  <c r="AN18" i="5" s="1"/>
  <c r="AG16" i="7"/>
  <c r="AI16" i="7" s="1"/>
  <c r="O26" i="1"/>
  <c r="BS17" i="8"/>
  <c r="BN17" i="8"/>
  <c r="BO17" i="8"/>
  <c r="BL17" i="8"/>
  <c r="BM17" i="8"/>
  <c r="BJ17" i="8"/>
  <c r="BK17" i="8"/>
  <c r="BI17" i="8"/>
  <c r="AC17" i="10"/>
  <c r="X17" i="10" s="1"/>
  <c r="AM17" i="5"/>
  <c r="AN17" i="5"/>
  <c r="AS21" i="5"/>
  <c r="AH21" i="11"/>
  <c r="E25" i="8"/>
  <c r="DF20" i="5"/>
  <c r="DE20" i="5"/>
  <c r="AK21" i="11"/>
  <c r="AJ21" i="1"/>
  <c r="DB20" i="5"/>
  <c r="AF19" i="1"/>
  <c r="Y19" i="1"/>
  <c r="DJ20" i="5"/>
  <c r="W19" i="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J24" i="10"/>
  <c r="N24" i="5" s="1"/>
  <c r="G24" i="8" l="1"/>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J22" i="2" s="1"/>
  <c r="AG17" i="7"/>
  <c r="AI17" i="7" s="1"/>
  <c r="O27" i="1"/>
  <c r="BS18" i="8"/>
  <c r="BN18" i="8"/>
  <c r="BO18" i="8"/>
  <c r="BL18" i="8"/>
  <c r="BM18" i="8"/>
  <c r="BJ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P25" i="2"/>
  <c r="M24" i="2"/>
  <c r="G25" i="8" l="1"/>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C16" i="8"/>
  <c r="G16" i="1" s="1"/>
  <c r="N16" i="8" s="1"/>
  <c r="P18" i="8"/>
  <c r="CN18" i="8"/>
  <c r="CR18" i="8" s="1"/>
  <c r="F27" i="8"/>
  <c r="AQ18" i="5"/>
  <c r="AO19" i="5"/>
  <c r="AV20" i="5"/>
  <c r="BP23" i="5" a="1"/>
  <c r="BP23" i="5" s="1"/>
  <c r="J23" i="2" s="1"/>
  <c r="AG18" i="7"/>
  <c r="AI18" i="7" s="1"/>
  <c r="O28" i="1"/>
  <c r="X18" i="10"/>
  <c r="BS19" i="8"/>
  <c r="BT19" i="8"/>
  <c r="BN19" i="8"/>
  <c r="BO19" i="8"/>
  <c r="BL19" i="8"/>
  <c r="BM19" i="8"/>
  <c r="BJ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W21" i="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AC21" i="1"/>
  <c r="DA21" i="5"/>
  <c r="DG21" i="5" s="1" a="1"/>
  <c r="DG21" i="5" s="1"/>
  <c r="AF31" i="9"/>
  <c r="AJ31" i="9"/>
  <c r="AD93" i="9"/>
  <c r="B17" i="14"/>
  <c r="N7" i="1"/>
  <c r="S24" i="2"/>
  <c r="N25" i="2"/>
  <c r="R25" i="2"/>
  <c r="Q24" i="2"/>
  <c r="P26" i="2"/>
  <c r="M25" i="2"/>
  <c r="J26" i="10"/>
  <c r="N26" i="5" s="1"/>
  <c r="G26" i="8" l="1"/>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J24" i="2" s="1"/>
  <c r="DE21" i="8"/>
  <c r="DF21" i="8" s="1"/>
  <c r="AG19" i="7"/>
  <c r="AI19" i="7" s="1"/>
  <c r="O29" i="1"/>
  <c r="BS20" i="8"/>
  <c r="BN20" i="8"/>
  <c r="BO20" i="8"/>
  <c r="BL20" i="8"/>
  <c r="BM20" i="8"/>
  <c r="BJ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W22" i="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G27" i="8" l="1"/>
  <c r="CE26" i="8"/>
  <c r="O26" i="2"/>
  <c r="BK26" i="5" a="1"/>
  <c r="BK26" i="5" s="1"/>
  <c r="AL33" i="9"/>
  <c r="BQ21" i="8"/>
  <c r="BR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J25" i="2" s="1"/>
  <c r="AG21" i="7"/>
  <c r="AI21" i="7" s="1"/>
  <c r="AG20" i="7"/>
  <c r="AI20" i="7" s="1"/>
  <c r="O30" i="1"/>
  <c r="BS21" i="8"/>
  <c r="BN21" i="8"/>
  <c r="BO21" i="8"/>
  <c r="BL21" i="8"/>
  <c r="BM21" i="8"/>
  <c r="BJ21" i="8"/>
  <c r="BK21" i="8"/>
  <c r="BI21" i="8"/>
  <c r="AC21" i="10"/>
  <c r="X21" i="10" s="1"/>
  <c r="AM21" i="5"/>
  <c r="AN21" i="5"/>
  <c r="AH25" i="11"/>
  <c r="AS25" i="5"/>
  <c r="E29" i="8"/>
  <c r="DB24" i="5"/>
  <c r="D22" i="9"/>
  <c r="DF24" i="5"/>
  <c r="AM25" i="1"/>
  <c r="AJ25" i="1"/>
  <c r="DD24" i="5"/>
  <c r="DE24" i="5"/>
  <c r="W23" i="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G28" i="8" l="1"/>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J26" i="2" s="1"/>
  <c r="DE23" i="8"/>
  <c r="DF23" i="8" s="1"/>
  <c r="O31" i="1"/>
  <c r="BS22" i="8"/>
  <c r="BN22" i="8"/>
  <c r="BO22" i="8"/>
  <c r="BL22" i="8"/>
  <c r="BM22" i="8"/>
  <c r="BJ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G29" i="8" l="1"/>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P21" i="8"/>
  <c r="CH23" i="8"/>
  <c r="CX23" i="8" s="1"/>
  <c r="P22" i="8"/>
  <c r="F31" i="8"/>
  <c r="AO23" i="5"/>
  <c r="AV24" i="5"/>
  <c r="BP27" i="5" a="1"/>
  <c r="BP27" i="5" s="1"/>
  <c r="J27" i="2" s="1"/>
  <c r="AG22" i="7"/>
  <c r="AI22" i="7" s="1"/>
  <c r="AG23" i="7"/>
  <c r="AI23" i="7" s="1"/>
  <c r="O32" i="1"/>
  <c r="BS23" i="8"/>
  <c r="AN23" i="5"/>
  <c r="BN23" i="8"/>
  <c r="BO23" i="8"/>
  <c r="BL23" i="8"/>
  <c r="BM23" i="8"/>
  <c r="BJ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AQ22" i="5"/>
  <c r="CO22" i="8"/>
  <c r="AB26" i="1"/>
  <c r="DI26" i="5"/>
  <c r="AC25" i="1"/>
  <c r="DA25" i="5"/>
  <c r="DG25" i="5" s="1" a="1"/>
  <c r="DG25" i="5" s="1"/>
  <c r="AF35" i="9"/>
  <c r="AJ35" i="9"/>
  <c r="AD97" i="9"/>
  <c r="B21" i="14"/>
  <c r="N11" i="1"/>
  <c r="S28" i="2"/>
  <c r="N29" i="2"/>
  <c r="R29" i="2"/>
  <c r="Q28" i="2"/>
  <c r="J30" i="10"/>
  <c r="N30" i="5" s="1"/>
  <c r="M29" i="2"/>
  <c r="P30" i="2"/>
  <c r="G30" i="8" l="1"/>
  <c r="CE29" i="8"/>
  <c r="O29" i="2"/>
  <c r="BN29" i="5" a="1"/>
  <c r="BN29" i="5" s="1"/>
  <c r="AD27" i="1"/>
  <c r="BH29" i="5" a="1"/>
  <c r="BH29" i="5" s="1"/>
  <c r="AL36" i="9"/>
  <c r="BQ24" i="8"/>
  <c r="BR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J28" i="2" s="1"/>
  <c r="BH25" i="8"/>
  <c r="AT28" i="5"/>
  <c r="O33" i="1"/>
  <c r="BS24" i="8"/>
  <c r="BT24" i="8"/>
  <c r="BN24" i="8"/>
  <c r="BO24" i="8"/>
  <c r="BL24" i="8"/>
  <c r="BM24" i="8"/>
  <c r="BJ24" i="8"/>
  <c r="BK24" i="8"/>
  <c r="BI24" i="8"/>
  <c r="AC24" i="10"/>
  <c r="X24" i="10" s="1"/>
  <c r="AM24" i="5"/>
  <c r="AN24" i="5"/>
  <c r="AH28" i="11"/>
  <c r="AS28" i="5"/>
  <c r="E32" i="8"/>
  <c r="DE27" i="5"/>
  <c r="DB27" i="5"/>
  <c r="DF27" i="5"/>
  <c r="AJ28" i="1"/>
  <c r="AE29" i="8"/>
  <c r="AT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G31" i="8" l="1"/>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J29" i="2" s="1"/>
  <c r="AG24" i="7"/>
  <c r="AI24" i="7" s="1"/>
  <c r="O34" i="1"/>
  <c r="BS25" i="8"/>
  <c r="BN25" i="8"/>
  <c r="BO25" i="8"/>
  <c r="BL25" i="8"/>
  <c r="BM25" i="8"/>
  <c r="BJ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AB28" i="1"/>
  <c r="DI28" i="5"/>
  <c r="AC27" i="1"/>
  <c r="DA27" i="5"/>
  <c r="DG27" i="5" s="1" a="1"/>
  <c r="DG27" i="5" s="1"/>
  <c r="AF37" i="9"/>
  <c r="AJ37" i="9"/>
  <c r="AD99" i="9"/>
  <c r="B23" i="14"/>
  <c r="N13" i="1"/>
  <c r="S30" i="2"/>
  <c r="N31" i="2"/>
  <c r="R31" i="2"/>
  <c r="Q30" i="2"/>
  <c r="P32" i="2"/>
  <c r="J32" i="10"/>
  <c r="N32" i="5" s="1"/>
  <c r="M31" i="2"/>
  <c r="G32" i="8" l="1"/>
  <c r="CE31" i="8"/>
  <c r="O31" i="2"/>
  <c r="AL38" i="9"/>
  <c r="BQ26" i="8"/>
  <c r="BR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J30" i="2" s="1"/>
  <c r="AG25" i="7"/>
  <c r="AI25" i="7" s="1"/>
  <c r="O35" i="1"/>
  <c r="BS26" i="8"/>
  <c r="BT26" i="8"/>
  <c r="BN26" i="8"/>
  <c r="BO26" i="8"/>
  <c r="BL26" i="8"/>
  <c r="BM26" i="8"/>
  <c r="BJ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G33" i="8" l="1"/>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P25" i="8"/>
  <c r="P26" i="8"/>
  <c r="F35" i="8"/>
  <c r="AO27" i="5"/>
  <c r="AV28" i="5"/>
  <c r="BP31" i="5" a="1"/>
  <c r="BP31" i="5" s="1"/>
  <c r="J31" i="2" s="1"/>
  <c r="E28" i="1"/>
  <c r="AG26" i="7"/>
  <c r="AI26" i="7" s="1"/>
  <c r="O36" i="1"/>
  <c r="BW27" i="8"/>
  <c r="CC27" i="8" s="1"/>
  <c r="BS27" i="8"/>
  <c r="BN27" i="8"/>
  <c r="BO27" i="8"/>
  <c r="BL27" i="8"/>
  <c r="BM27" i="8"/>
  <c r="BJ27" i="8"/>
  <c r="BK27" i="8"/>
  <c r="BI27" i="8"/>
  <c r="AC27" i="10"/>
  <c r="X27" i="10" s="1"/>
  <c r="AN27" i="5"/>
  <c r="AM27" i="5"/>
  <c r="AH31" i="11"/>
  <c r="AS31" i="5"/>
  <c r="E35" i="8"/>
  <c r="CU25" i="8"/>
  <c r="CV25" i="8" s="1"/>
  <c r="DE30" i="5"/>
  <c r="DF30" i="5"/>
  <c r="DB30" i="5"/>
  <c r="AJ31" i="1"/>
  <c r="DH30" i="5"/>
  <c r="AF29" i="1"/>
  <c r="AM31" i="1"/>
  <c r="W29" i="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G34" i="8" l="1"/>
  <c r="CE33" i="8"/>
  <c r="O33" i="2"/>
  <c r="BB33" i="5" a="1"/>
  <c r="BB33" i="5" s="1"/>
  <c r="BF33" i="5" a="1"/>
  <c r="BF33" i="5" s="1"/>
  <c r="AE32" i="1"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J32" i="2"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G35" i="8" l="1"/>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J33" i="2"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AR28" i="5"/>
  <c r="AQ28" i="5"/>
  <c r="CZ32" i="5"/>
  <c r="C32" i="5"/>
  <c r="AC31" i="1"/>
  <c r="DA31" i="5"/>
  <c r="DG31" i="5" s="1" a="1"/>
  <c r="DG31" i="5" s="1"/>
  <c r="AB32" i="1"/>
  <c r="DI32" i="5"/>
  <c r="AF41" i="9"/>
  <c r="AJ41" i="9"/>
  <c r="AD103" i="9"/>
  <c r="B29" i="14"/>
  <c r="N17" i="1"/>
  <c r="S34" i="2"/>
  <c r="N35" i="2"/>
  <c r="R35" i="2"/>
  <c r="Q34" i="2"/>
  <c r="P36" i="2"/>
  <c r="J36" i="10"/>
  <c r="N36" i="5" s="1"/>
  <c r="M35" i="2"/>
  <c r="G36" i="8" l="1"/>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H30" i="8"/>
  <c r="CX30" i="8" s="1"/>
  <c r="CY30" i="8" s="1"/>
  <c r="P29" i="8"/>
  <c r="CN29" i="8"/>
  <c r="CR29" i="8" s="1"/>
  <c r="F38" i="8"/>
  <c r="AO30" i="5"/>
  <c r="AV31" i="5"/>
  <c r="BP34" i="5" a="1"/>
  <c r="BP34" i="5" s="1"/>
  <c r="J34" i="2" s="1"/>
  <c r="A31" i="10"/>
  <c r="AA31" i="10" s="1"/>
  <c r="O39" i="1"/>
  <c r="BS30" i="8"/>
  <c r="BN30" i="8"/>
  <c r="BO30" i="8"/>
  <c r="BL30" i="8"/>
  <c r="BM30" i="8"/>
  <c r="BJ30" i="8"/>
  <c r="BK30" i="8"/>
  <c r="BI30" i="8"/>
  <c r="AC30" i="10"/>
  <c r="X30" i="10" s="1"/>
  <c r="AM30" i="5"/>
  <c r="AN30" i="5"/>
  <c r="AS34" i="5"/>
  <c r="E38" i="8"/>
  <c r="AK34" i="11"/>
  <c r="AQ29" i="5"/>
  <c r="DE33" i="5"/>
  <c r="AJ34" i="1"/>
  <c r="DB33" i="5"/>
  <c r="AT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CZ33" i="5"/>
  <c r="AB33" i="1"/>
  <c r="DI33" i="5"/>
  <c r="AC32" i="1"/>
  <c r="DA32" i="5"/>
  <c r="DG32" i="5" s="1" a="1"/>
  <c r="DG32" i="5" s="1"/>
  <c r="AF42" i="9"/>
  <c r="AJ42" i="9"/>
  <c r="AD104" i="9"/>
  <c r="N18" i="1"/>
  <c r="S35" i="2"/>
  <c r="N36" i="2"/>
  <c r="R36" i="2"/>
  <c r="Q35" i="2"/>
  <c r="M36" i="2"/>
  <c r="J37" i="10"/>
  <c r="N37" i="5" s="1"/>
  <c r="P37" i="2"/>
  <c r="G37" i="8" l="1"/>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J35" i="2" s="1"/>
  <c r="BG32" i="8"/>
  <c r="BT32" i="8" s="1"/>
  <c r="AG30" i="7"/>
  <c r="AI30" i="7" s="1"/>
  <c r="AG31" i="7"/>
  <c r="AI31" i="7" s="1"/>
  <c r="O40" i="1"/>
  <c r="BW31" i="8"/>
  <c r="CC31" i="8" s="1"/>
  <c r="BS31" i="8"/>
  <c r="BN31" i="8"/>
  <c r="BO31" i="8"/>
  <c r="BL31" i="8"/>
  <c r="BM31" i="8"/>
  <c r="BJ31" i="8"/>
  <c r="BK31" i="8"/>
  <c r="BI31" i="8"/>
  <c r="AC31" i="10"/>
  <c r="X31" i="10" s="1"/>
  <c r="AN31" i="5"/>
  <c r="AM31" i="5"/>
  <c r="AS35" i="5"/>
  <c r="E39" i="8"/>
  <c r="AH35" i="11"/>
  <c r="AK35" i="11"/>
  <c r="DB34" i="5"/>
  <c r="DF34" i="5"/>
  <c r="AT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CZ34" i="5"/>
  <c r="AC33" i="1"/>
  <c r="DA33" i="5"/>
  <c r="DG33" i="5" s="1" a="1"/>
  <c r="DG33" i="5" s="1"/>
  <c r="AB34" i="1"/>
  <c r="DI34" i="5"/>
  <c r="AF43" i="9"/>
  <c r="AJ43" i="9"/>
  <c r="AD105" i="9"/>
  <c r="B31" i="14"/>
  <c r="N19" i="1"/>
  <c r="S36" i="2"/>
  <c r="N37" i="2"/>
  <c r="R37" i="2"/>
  <c r="Q36" i="2"/>
  <c r="J38" i="10"/>
  <c r="N38" i="5" s="1"/>
  <c r="P38" i="2"/>
  <c r="M37" i="2"/>
  <c r="G38" i="8" l="1"/>
  <c r="CE37" i="8"/>
  <c r="O37" i="2"/>
  <c r="BK37" i="5" a="1"/>
  <c r="BK37" i="5" s="1"/>
  <c r="BM37" i="5" a="1"/>
  <c r="BM37" i="5" s="1"/>
  <c r="BN37" i="5" a="1"/>
  <c r="BN37" i="5" s="1"/>
  <c r="AL44" i="9"/>
  <c r="BQ32" i="8"/>
  <c r="BR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J36" i="2"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CZ35" i="5"/>
  <c r="C34" i="5"/>
  <c r="F34" i="5" s="1"/>
  <c r="AW34" i="5" s="1"/>
  <c r="DI35" i="5"/>
  <c r="AB35" i="1"/>
  <c r="C35" i="5"/>
  <c r="AC34" i="1"/>
  <c r="DA34" i="5"/>
  <c r="DG34" i="5" s="1" a="1"/>
  <c r="DG34" i="5" s="1"/>
  <c r="AF44" i="9"/>
  <c r="AJ44" i="9"/>
  <c r="AD106" i="9"/>
  <c r="B32" i="14"/>
  <c r="N20" i="1"/>
  <c r="S37" i="2"/>
  <c r="N38" i="2"/>
  <c r="R38" i="2"/>
  <c r="Q37" i="2"/>
  <c r="P39" i="2"/>
  <c r="M38" i="2"/>
  <c r="J39" i="10"/>
  <c r="N39" i="5" s="1"/>
  <c r="G39" i="8" l="1"/>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J37" i="2" s="1"/>
  <c r="O42" i="1"/>
  <c r="BS33" i="8"/>
  <c r="BN33" i="8"/>
  <c r="BO33" i="8"/>
  <c r="BL33" i="8"/>
  <c r="BM33" i="8"/>
  <c r="BJ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AC35" i="1"/>
  <c r="DA35" i="5"/>
  <c r="DG35" i="5" s="1" a="1"/>
  <c r="DG35" i="5" s="1"/>
  <c r="AB36" i="1"/>
  <c r="DI36" i="5"/>
  <c r="AF45" i="9"/>
  <c r="AJ45" i="9"/>
  <c r="AD107" i="9"/>
  <c r="N21" i="1"/>
  <c r="S38" i="2"/>
  <c r="N39" i="2"/>
  <c r="R39" i="2"/>
  <c r="Q38" i="2"/>
  <c r="J40" i="10"/>
  <c r="N40" i="5" s="1"/>
  <c r="P40" i="2"/>
  <c r="M39" i="2"/>
  <c r="G40" i="8" l="1"/>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J38" i="2" s="1"/>
  <c r="DE35" i="8"/>
  <c r="DF35" i="8" s="1"/>
  <c r="AG33" i="7"/>
  <c r="AI33" i="7" s="1"/>
  <c r="O43" i="1"/>
  <c r="BW34" i="8"/>
  <c r="CC34" i="8" s="1"/>
  <c r="BS34" i="8"/>
  <c r="BN34" i="8"/>
  <c r="BO34" i="8"/>
  <c r="BL34" i="8"/>
  <c r="BM34" i="8"/>
  <c r="BJ34" i="8"/>
  <c r="BK34" i="8"/>
  <c r="BI34" i="8"/>
  <c r="AC34" i="10"/>
  <c r="X34" i="10" s="1"/>
  <c r="AM34" i="5"/>
  <c r="AN34" i="5"/>
  <c r="AS38" i="5"/>
  <c r="AK38" i="11"/>
  <c r="E42" i="8"/>
  <c r="DF37" i="5"/>
  <c r="AH38" i="11"/>
  <c r="DB37" i="5"/>
  <c r="DE37" i="5"/>
  <c r="K40" i="11"/>
  <c r="A40" i="14"/>
  <c r="CA40" i="14" s="1"/>
  <c r="A40" i="8"/>
  <c r="A40" i="2"/>
  <c r="A40" i="7"/>
  <c r="R40" i="7" s="1"/>
  <c r="A40" i="5"/>
  <c r="A40" i="9"/>
  <c r="W36" i="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G41" i="8" l="1"/>
  <c r="CE40" i="8"/>
  <c r="O40" i="2"/>
  <c r="BF40" i="5" a="1"/>
  <c r="BF40" i="5" s="1"/>
  <c r="AE39" i="1"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J39" i="2" s="1"/>
  <c r="AG35" i="7"/>
  <c r="AI35" i="7" s="1"/>
  <c r="AG34" i="7"/>
  <c r="AI34" i="7" s="1"/>
  <c r="O44" i="1"/>
  <c r="CD34" i="8"/>
  <c r="CU34" i="8" s="1"/>
  <c r="CV34" i="8" s="1"/>
  <c r="BS35" i="8"/>
  <c r="BN35" i="8"/>
  <c r="BO35" i="8"/>
  <c r="BL35" i="8"/>
  <c r="BM35" i="8"/>
  <c r="BJ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CZ38" i="5"/>
  <c r="AI36" i="5"/>
  <c r="BT36" i="5"/>
  <c r="AC36" i="8"/>
  <c r="BP36" i="8" s="1"/>
  <c r="A36" i="11"/>
  <c r="A36" i="10"/>
  <c r="AA36" i="10" s="1"/>
  <c r="B36" i="7"/>
  <c r="X36" i="8"/>
  <c r="DA36" i="8" s="1"/>
  <c r="E36" i="1"/>
  <c r="B36" i="9"/>
  <c r="X36" i="9" s="1"/>
  <c r="AJ36" i="5"/>
  <c r="AP36" i="5" s="1"/>
  <c r="AC37" i="1"/>
  <c r="DA37" i="5"/>
  <c r="DG37" i="5" s="1" a="1"/>
  <c r="DG37" i="5" s="1"/>
  <c r="AB38" i="1"/>
  <c r="DI38" i="5"/>
  <c r="AF47" i="9"/>
  <c r="AJ47" i="9"/>
  <c r="AD109" i="9"/>
  <c r="B35" i="14"/>
  <c r="N23" i="1"/>
  <c r="S40" i="2"/>
  <c r="N41" i="2"/>
  <c r="R41" i="2"/>
  <c r="Q40" i="2"/>
  <c r="J42" i="10"/>
  <c r="N42" i="5" s="1"/>
  <c r="M41" i="2"/>
  <c r="P42" i="2"/>
  <c r="G42" i="8" l="1"/>
  <c r="CE41" i="8"/>
  <c r="O41" i="2"/>
  <c r="AT40" i="5"/>
  <c r="BF41" i="5" a="1"/>
  <c r="BF41" i="5" s="1"/>
  <c r="AE40" i="1"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J40" i="2" s="1"/>
  <c r="A37" i="11"/>
  <c r="AD36" i="11" s="1"/>
  <c r="AI36" i="1" s="1"/>
  <c r="O45" i="1"/>
  <c r="BW36" i="8"/>
  <c r="CC36" i="8" s="1"/>
  <c r="BS36" i="8"/>
  <c r="BN36" i="8"/>
  <c r="BO36" i="8"/>
  <c r="BL36" i="8"/>
  <c r="BM36" i="8"/>
  <c r="AN36" i="5"/>
  <c r="BJ36" i="8"/>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G43" i="8" l="1"/>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P35" i="8"/>
  <c r="AB36" i="11"/>
  <c r="Q36" i="8" s="1"/>
  <c r="AC36" i="11"/>
  <c r="U36" i="8" s="1"/>
  <c r="AA36" i="11"/>
  <c r="AK36" i="1" s="1"/>
  <c r="Z36" i="11"/>
  <c r="N37" i="11"/>
  <c r="P36" i="8"/>
  <c r="F45" i="8"/>
  <c r="AO37" i="5"/>
  <c r="AV38" i="5"/>
  <c r="BP41" i="5" a="1"/>
  <c r="BP41" i="5" s="1"/>
  <c r="J41" i="2"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AR36" i="5"/>
  <c r="C40" i="5"/>
  <c r="AC39" i="1"/>
  <c r="DA39" i="5"/>
  <c r="DG39" i="5" s="1" a="1"/>
  <c r="DG39" i="5" s="1"/>
  <c r="AB40" i="1"/>
  <c r="DI40" i="5"/>
  <c r="AF49" i="9"/>
  <c r="AJ49" i="9"/>
  <c r="AD111" i="9"/>
  <c r="N25" i="1"/>
  <c r="S42" i="2"/>
  <c r="N43" i="2"/>
  <c r="R43" i="2"/>
  <c r="Q42" i="2"/>
  <c r="M43" i="2"/>
  <c r="P44" i="2"/>
  <c r="J44" i="10"/>
  <c r="N44" i="5" s="1"/>
  <c r="G44" i="8" l="1"/>
  <c r="CE43" i="8"/>
  <c r="O43" i="2"/>
  <c r="AL50" i="9"/>
  <c r="BQ38" i="8"/>
  <c r="BR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J42" i="2" s="1"/>
  <c r="BG39" i="8"/>
  <c r="BT39" i="8" s="1"/>
  <c r="O47" i="1"/>
  <c r="BS38" i="8"/>
  <c r="BT38" i="8"/>
  <c r="BN38" i="8"/>
  <c r="BO38" i="8"/>
  <c r="BL38" i="8"/>
  <c r="BM38" i="8"/>
  <c r="BJ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CZ41" i="5"/>
  <c r="AB41" i="1"/>
  <c r="DI41" i="5"/>
  <c r="AC40" i="1"/>
  <c r="DA40" i="5"/>
  <c r="DG40" i="5" s="1" a="1"/>
  <c r="DG40" i="5" s="1"/>
  <c r="AF50" i="9"/>
  <c r="AJ50" i="9"/>
  <c r="AD112" i="9"/>
  <c r="N26" i="1"/>
  <c r="S43" i="2"/>
  <c r="N44" i="2"/>
  <c r="R44" i="2"/>
  <c r="Q43" i="2"/>
  <c r="J45" i="10"/>
  <c r="N45" i="5" s="1"/>
  <c r="P45" i="2"/>
  <c r="M44" i="2"/>
  <c r="G45" i="8" l="1"/>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J43" i="2" s="1"/>
  <c r="D40" i="9"/>
  <c r="BS39" i="8"/>
  <c r="BW39" i="8"/>
  <c r="CC39" i="8" s="1"/>
  <c r="BH40" i="8"/>
  <c r="AG38" i="7"/>
  <c r="AI38" i="7" s="1"/>
  <c r="O48" i="1"/>
  <c r="AN39" i="5"/>
  <c r="BN39" i="8"/>
  <c r="BO39" i="8"/>
  <c r="BL39" i="8"/>
  <c r="BM39" i="8"/>
  <c r="BJ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C41" i="5"/>
  <c r="F41" i="5" s="1"/>
  <c r="AW41" i="5" s="1"/>
  <c r="B38" i="14"/>
  <c r="AC41" i="1"/>
  <c r="DA41" i="5"/>
  <c r="DG41" i="5" s="1" a="1"/>
  <c r="DG41" i="5" s="1"/>
  <c r="AB42" i="1"/>
  <c r="DI42" i="5"/>
  <c r="AF51" i="9"/>
  <c r="AJ51" i="9"/>
  <c r="AD113" i="9"/>
  <c r="N27" i="1"/>
  <c r="S44" i="2"/>
  <c r="N45" i="2"/>
  <c r="R45" i="2"/>
  <c r="Q44" i="2"/>
  <c r="P46" i="2"/>
  <c r="J46" i="10"/>
  <c r="N46" i="5" s="1"/>
  <c r="M45" i="2"/>
  <c r="G46" i="8" l="1"/>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N39" i="8"/>
  <c r="CR39" i="8" s="1"/>
  <c r="AO40" i="5"/>
  <c r="AV41" i="5"/>
  <c r="BP44" i="5" a="1"/>
  <c r="BP44" i="5" s="1"/>
  <c r="J44" i="2" s="1"/>
  <c r="CD39" i="8"/>
  <c r="CU39" i="8" s="1"/>
  <c r="CV39" i="8" s="1"/>
  <c r="AG39" i="7"/>
  <c r="AI39" i="7" s="1"/>
  <c r="O49" i="1"/>
  <c r="BS40" i="8"/>
  <c r="BN40" i="8"/>
  <c r="BO40" i="8"/>
  <c r="BL40" i="8"/>
  <c r="BM40" i="8"/>
  <c r="BJ40" i="8"/>
  <c r="BK40" i="8"/>
  <c r="BI40" i="8"/>
  <c r="AC40" i="10"/>
  <c r="X40" i="10" s="1"/>
  <c r="AM40" i="5"/>
  <c r="AN40" i="5"/>
  <c r="AS44" i="5"/>
  <c r="E48" i="8"/>
  <c r="AK44" i="11"/>
  <c r="DE43" i="5"/>
  <c r="AH44" i="11"/>
  <c r="AM44" i="1"/>
  <c r="DB43" i="5"/>
  <c r="DF43" i="5"/>
  <c r="AE45" i="8"/>
  <c r="AT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G47" i="8" l="1"/>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J45" i="2" s="1"/>
  <c r="AG40" i="7"/>
  <c r="AI40" i="7" s="1"/>
  <c r="O50" i="1"/>
  <c r="BS41" i="8"/>
  <c r="BN41" i="8"/>
  <c r="BO41" i="8"/>
  <c r="BL41" i="8"/>
  <c r="BM41" i="8"/>
  <c r="BJ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W43" i="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G48" i="8" l="1"/>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J46" i="2" s="1"/>
  <c r="AG41" i="7"/>
  <c r="AI41" i="7" s="1"/>
  <c r="O51" i="1"/>
  <c r="BS42" i="8"/>
  <c r="BN42" i="8"/>
  <c r="BO42" i="8"/>
  <c r="BL42" i="8"/>
  <c r="BM42" i="8"/>
  <c r="BJ42" i="8"/>
  <c r="BK42" i="8"/>
  <c r="BI42" i="8"/>
  <c r="AC42" i="10"/>
  <c r="X42" i="10" s="1"/>
  <c r="AM42" i="5"/>
  <c r="AN42" i="5"/>
  <c r="AS46" i="5"/>
  <c r="E50" i="8"/>
  <c r="AK46" i="11"/>
  <c r="DB45" i="5"/>
  <c r="AH46" i="11"/>
  <c r="AM46" i="1"/>
  <c r="DF45" i="5"/>
  <c r="K48" i="11"/>
  <c r="A48" i="14"/>
  <c r="CA48" i="14" s="1"/>
  <c r="A48" i="8"/>
  <c r="A48" i="2"/>
  <c r="A48" i="9"/>
  <c r="A48" i="7"/>
  <c r="R48" i="7" s="1"/>
  <c r="A48" i="5"/>
  <c r="DH45" i="5"/>
  <c r="W44" i="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G49" i="8" l="1"/>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J47" i="2" s="1"/>
  <c r="X44" i="8"/>
  <c r="DA44" i="8" s="1"/>
  <c r="AG42" i="7"/>
  <c r="AI42" i="7" s="1"/>
  <c r="O52" i="1"/>
  <c r="BS43" i="8"/>
  <c r="BN43" i="8"/>
  <c r="BO43" i="8"/>
  <c r="BL43" i="8"/>
  <c r="BM43" i="8"/>
  <c r="BJ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G50" i="8" l="1"/>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S44" i="8"/>
  <c r="BN44" i="8"/>
  <c r="BO44" i="8"/>
  <c r="BL44" i="8"/>
  <c r="BM44" i="8"/>
  <c r="BJ44" i="8"/>
  <c r="BK44" i="8"/>
  <c r="BI44" i="8"/>
  <c r="AC44" i="10"/>
  <c r="X44" i="10" s="1"/>
  <c r="AN44" i="5"/>
  <c r="AM44" i="5"/>
  <c r="AS48" i="5"/>
  <c r="E52" i="8"/>
  <c r="CH44" i="8"/>
  <c r="CX44" i="8" s="1"/>
  <c r="AH48" i="11"/>
  <c r="DE47" i="5"/>
  <c r="AJ48" i="1"/>
  <c r="DB47" i="5"/>
  <c r="AM48" i="1"/>
  <c r="Y46" i="1"/>
  <c r="DJ47" i="5"/>
  <c r="W46" i="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M50" i="2"/>
  <c r="G51" i="8" l="1"/>
  <c r="CE50" i="8"/>
  <c r="O50" i="2"/>
  <c r="BK50" i="5" a="1"/>
  <c r="BK50" i="5" s="1"/>
  <c r="AL57" i="9"/>
  <c r="BQ45" i="8"/>
  <c r="BR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J49" i="2" s="1"/>
  <c r="AG44" i="7"/>
  <c r="O54" i="1"/>
  <c r="BS45" i="8"/>
  <c r="BT45" i="8"/>
  <c r="BN45" i="8"/>
  <c r="BO45" i="8"/>
  <c r="BL45" i="8"/>
  <c r="BM45" i="8"/>
  <c r="BJ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BX45" i="8"/>
  <c r="BY45" i="8"/>
  <c r="CA45" i="8"/>
  <c r="CQ45" i="8" s="1"/>
  <c r="CB45" i="8"/>
  <c r="CS45" i="8" s="1"/>
  <c r="CT45" i="8" s="1"/>
  <c r="CG45" i="8"/>
  <c r="CW45" i="8" s="1"/>
  <c r="BZ45" i="8"/>
  <c r="CZ48" i="5"/>
  <c r="AE45" i="7"/>
  <c r="AF45" i="7" s="1"/>
  <c r="Q45" i="7"/>
  <c r="AB48" i="1"/>
  <c r="DI48" i="5"/>
  <c r="AC47" i="1"/>
  <c r="DA47" i="5"/>
  <c r="DG47" i="5" s="1" a="1"/>
  <c r="DG47" i="5" s="1"/>
  <c r="AF57" i="9"/>
  <c r="AJ57" i="9"/>
  <c r="AD119" i="9"/>
  <c r="N33" i="1"/>
  <c r="S50" i="2"/>
  <c r="N51" i="2"/>
  <c r="R51" i="2"/>
  <c r="Q50" i="2"/>
  <c r="M51" i="2"/>
  <c r="P52" i="2"/>
  <c r="J52" i="10"/>
  <c r="N52" i="5" s="1"/>
  <c r="G52" i="8" l="1"/>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J50" i="2" s="1"/>
  <c r="AG45" i="7"/>
  <c r="O55" i="1"/>
  <c r="BS46" i="8"/>
  <c r="BN46" i="8"/>
  <c r="BO46" i="8"/>
  <c r="BL46" i="8"/>
  <c r="BM46" i="8"/>
  <c r="BJ46" i="8"/>
  <c r="BK46" i="8"/>
  <c r="BI46" i="8"/>
  <c r="AN46" i="5"/>
  <c r="AC46" i="10"/>
  <c r="X46" i="10" s="1"/>
  <c r="AM46" i="5"/>
  <c r="AS50" i="5"/>
  <c r="E54" i="8"/>
  <c r="AH50" i="11"/>
  <c r="AK50" i="11"/>
  <c r="DB49" i="5"/>
  <c r="Y48" i="1"/>
  <c r="DJ49" i="5"/>
  <c r="W48" i="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AC48" i="1"/>
  <c r="DA48" i="5"/>
  <c r="DG48" i="5" s="1" a="1"/>
  <c r="DG48" i="5" s="1"/>
  <c r="AB49" i="1"/>
  <c r="DI49" i="5"/>
  <c r="AF58" i="9"/>
  <c r="AJ58" i="9"/>
  <c r="AD120" i="9"/>
  <c r="N34" i="1"/>
  <c r="S51" i="2"/>
  <c r="N52" i="2"/>
  <c r="R52" i="2"/>
  <c r="Q51" i="2"/>
  <c r="J53" i="10"/>
  <c r="N53" i="5" s="1"/>
  <c r="M52" i="2"/>
  <c r="P53" i="2"/>
  <c r="G53" i="8" l="1"/>
  <c r="CE52" i="8"/>
  <c r="O52" i="2"/>
  <c r="AT51" i="5"/>
  <c r="BI52" i="5" a="1"/>
  <c r="BI52" i="5" s="1"/>
  <c r="BF52" i="5" a="1"/>
  <c r="BF52" i="5" s="1"/>
  <c r="AE51" i="1"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J51" i="2" s="1"/>
  <c r="AG46" i="7"/>
  <c r="O56" i="1"/>
  <c r="BW47" i="8"/>
  <c r="CC47" i="8" s="1"/>
  <c r="BS47" i="8"/>
  <c r="BN47" i="8"/>
  <c r="BO47" i="8"/>
  <c r="BL47" i="8"/>
  <c r="BM47" i="8"/>
  <c r="BJ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M53" i="2"/>
  <c r="J54" i="10"/>
  <c r="N54" i="5" s="1"/>
  <c r="G54" i="8" l="1"/>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J52" i="2" s="1"/>
  <c r="AG47" i="7"/>
  <c r="O57" i="1"/>
  <c r="CD47" i="8"/>
  <c r="CU47" i="8" s="1"/>
  <c r="CV47" i="8" s="1"/>
  <c r="BS48" i="8"/>
  <c r="BN48" i="8"/>
  <c r="BO48" i="8"/>
  <c r="BL48" i="8"/>
  <c r="BM48" i="8"/>
  <c r="BJ48" i="8"/>
  <c r="BK48" i="8"/>
  <c r="BI48" i="8"/>
  <c r="AC48" i="10"/>
  <c r="X48" i="10" s="1"/>
  <c r="AM48" i="5"/>
  <c r="AN48" i="5"/>
  <c r="AT52" i="5"/>
  <c r="AS52" i="5"/>
  <c r="E56" i="8"/>
  <c r="AH52" i="11"/>
  <c r="AJ52" i="1"/>
  <c r="DF51" i="5"/>
  <c r="AM52" i="1"/>
  <c r="AK52" i="11"/>
  <c r="DE51" i="5"/>
  <c r="DB51" i="5"/>
  <c r="DH51" i="5"/>
  <c r="Y50" i="1"/>
  <c r="DJ51" i="5"/>
  <c r="W50" i="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G55" i="8" l="1"/>
  <c r="CE54" i="8"/>
  <c r="O54" i="2"/>
  <c r="BK54" i="5" a="1"/>
  <c r="BK54" i="5" s="1"/>
  <c r="BF54" i="5" a="1"/>
  <c r="BF54" i="5" s="1"/>
  <c r="AE53" i="1"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S49" i="8"/>
  <c r="BN49" i="8"/>
  <c r="BO49" i="8"/>
  <c r="BL49" i="8"/>
  <c r="BM49" i="8"/>
  <c r="BJ49" i="8"/>
  <c r="BK49" i="8"/>
  <c r="BI49" i="8"/>
  <c r="AC49" i="10"/>
  <c r="X49" i="10" s="1"/>
  <c r="AM49" i="5"/>
  <c r="AS53" i="5"/>
  <c r="E57" i="8"/>
  <c r="DB52" i="5"/>
  <c r="AH53" i="11"/>
  <c r="AJ53" i="1"/>
  <c r="Y51" i="1"/>
  <c r="DJ52" i="5"/>
  <c r="AK53" i="11"/>
  <c r="AE54" i="8"/>
  <c r="AT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C51" i="5"/>
  <c r="F51" i="5" s="1"/>
  <c r="AW51" i="5" s="1"/>
  <c r="CO48" i="8"/>
  <c r="DI52" i="5"/>
  <c r="AB52" i="1"/>
  <c r="AC51" i="1"/>
  <c r="DA51" i="5"/>
  <c r="DG51" i="5" s="1" a="1"/>
  <c r="DG51" i="5" s="1"/>
  <c r="AQ5" i="5"/>
  <c r="AF61" i="9"/>
  <c r="AJ61" i="9"/>
  <c r="AD123" i="9"/>
  <c r="N37" i="1"/>
  <c r="S54" i="2"/>
  <c r="N55" i="2"/>
  <c r="R55" i="2"/>
  <c r="Q54" i="2"/>
  <c r="M55" i="2"/>
  <c r="J56" i="10"/>
  <c r="N56" i="5" s="1"/>
  <c r="P56" i="2"/>
  <c r="G56" i="8" l="1"/>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U48" i="8"/>
  <c r="CV48" i="8" s="1"/>
  <c r="P48" i="8"/>
  <c r="F58" i="8"/>
  <c r="AO50" i="5"/>
  <c r="AV51" i="5"/>
  <c r="BP54" i="5" a="1"/>
  <c r="BP54" i="5" s="1"/>
  <c r="J54" i="2" s="1"/>
  <c r="AG50" i="7"/>
  <c r="AG49" i="7"/>
  <c r="O59" i="1"/>
  <c r="BS50" i="8"/>
  <c r="BN50" i="8"/>
  <c r="BO50" i="8"/>
  <c r="BL50" i="8"/>
  <c r="BM50" i="8"/>
  <c r="BJ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AC52" i="1"/>
  <c r="DA52" i="5"/>
  <c r="DG52" i="5" s="1" a="1"/>
  <c r="DG52" i="5" s="1"/>
  <c r="AB53" i="1"/>
  <c r="DI53" i="5"/>
  <c r="AF62" i="9"/>
  <c r="AJ62" i="9"/>
  <c r="AD124" i="9"/>
  <c r="N38" i="1"/>
  <c r="S55" i="2"/>
  <c r="N56" i="2"/>
  <c r="R56" i="2"/>
  <c r="Q55" i="2"/>
  <c r="P57" i="2"/>
  <c r="J57" i="10"/>
  <c r="N57" i="5" s="1"/>
  <c r="M56" i="2"/>
  <c r="G57" i="8" l="1"/>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J55" i="2" s="1"/>
  <c r="O60" i="1"/>
  <c r="BS51" i="8"/>
  <c r="BN51" i="8"/>
  <c r="BO51" i="8"/>
  <c r="BL51" i="8"/>
  <c r="BM51" i="8"/>
  <c r="BJ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C53" i="5"/>
  <c r="F53" i="5" s="1"/>
  <c r="AW53" i="5" s="1"/>
  <c r="AB54" i="1"/>
  <c r="DI54" i="5"/>
  <c r="AC53" i="1"/>
  <c r="DA53" i="5"/>
  <c r="DG53" i="5" s="1" a="1"/>
  <c r="DG53" i="5" s="1"/>
  <c r="AF63" i="9"/>
  <c r="AJ63" i="9"/>
  <c r="AD125" i="9"/>
  <c r="N39" i="1"/>
  <c r="S56" i="2"/>
  <c r="N57" i="2"/>
  <c r="R57" i="2"/>
  <c r="Q56" i="2"/>
  <c r="P58" i="2"/>
  <c r="M57" i="2"/>
  <c r="J58" i="10"/>
  <c r="N58" i="5" s="1"/>
  <c r="G58" i="8" l="1"/>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J56" i="2" s="1"/>
  <c r="AG51" i="7"/>
  <c r="O61" i="1"/>
  <c r="AN52" i="5"/>
  <c r="BW52" i="8"/>
  <c r="CC52" i="8" s="1"/>
  <c r="BS52" i="8"/>
  <c r="BN52" i="8"/>
  <c r="BO52" i="8"/>
  <c r="BL52" i="8"/>
  <c r="BM52" i="8"/>
  <c r="BJ52" i="8"/>
  <c r="BK52" i="8"/>
  <c r="BI52" i="8"/>
  <c r="AC52" i="10"/>
  <c r="X52" i="10" s="1"/>
  <c r="AM52" i="5"/>
  <c r="AS56" i="5"/>
  <c r="AH56" i="11"/>
  <c r="E60" i="8"/>
  <c r="DB55" i="5"/>
  <c r="AK56" i="11"/>
  <c r="DF55" i="5"/>
  <c r="DE55" i="5"/>
  <c r="Y54" i="1"/>
  <c r="DJ55" i="5"/>
  <c r="W54" i="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G59" i="8" l="1"/>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J57" i="2" s="1"/>
  <c r="AG52" i="7"/>
  <c r="O62" i="1"/>
  <c r="CD52" i="8"/>
  <c r="CU52" i="8" s="1"/>
  <c r="CV52" i="8" s="1"/>
  <c r="BS53" i="8"/>
  <c r="BN53" i="8"/>
  <c r="BO53" i="8"/>
  <c r="BL53" i="8"/>
  <c r="BM53" i="8"/>
  <c r="BJ53" i="8"/>
  <c r="BK53" i="8"/>
  <c r="BI53" i="8"/>
  <c r="AC53" i="10"/>
  <c r="X53" i="10" s="1"/>
  <c r="AN53" i="5"/>
  <c r="AM53" i="5"/>
  <c r="AS57" i="5"/>
  <c r="AH57" i="11"/>
  <c r="E61" i="8"/>
  <c r="DF56" i="5"/>
  <c r="DE56" i="5"/>
  <c r="AM57" i="1"/>
  <c r="DB56" i="5"/>
  <c r="AT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AC55" i="1"/>
  <c r="DA55" i="5"/>
  <c r="DG55" i="5" s="1" a="1"/>
  <c r="DG55" i="5" s="1"/>
  <c r="AF65" i="9"/>
  <c r="AJ65" i="9"/>
  <c r="AD127" i="9"/>
  <c r="N41" i="1"/>
  <c r="S58" i="2"/>
  <c r="N59" i="2"/>
  <c r="R59" i="2"/>
  <c r="Q58" i="2"/>
  <c r="M59" i="2"/>
  <c r="P60" i="2"/>
  <c r="J60" i="10"/>
  <c r="N60" i="5" s="1"/>
  <c r="G60" i="8" l="1"/>
  <c r="CE59" i="8"/>
  <c r="O59" i="2"/>
  <c r="BQ59" i="5" a="1"/>
  <c r="BQ59" i="5" s="1"/>
  <c r="BN59" i="5" a="1"/>
  <c r="BN59" i="5" s="1"/>
  <c r="AZ59" i="5" a="1"/>
  <c r="AZ59" i="5" s="1"/>
  <c r="BJ59" i="5" a="1"/>
  <c r="BJ59" i="5" s="1"/>
  <c r="BD59" i="5" a="1"/>
  <c r="BD59" i="5" s="1"/>
  <c r="AL66" i="9"/>
  <c r="BQ54" i="8"/>
  <c r="BR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J58" i="2" s="1"/>
  <c r="A55" i="10"/>
  <c r="AA55" i="10" s="1"/>
  <c r="AG53" i="7"/>
  <c r="O63" i="1"/>
  <c r="BW54" i="8"/>
  <c r="CC54" i="8" s="1"/>
  <c r="BS54" i="8"/>
  <c r="BN54" i="8"/>
  <c r="BO54" i="8"/>
  <c r="BL54" i="8"/>
  <c r="BM54" i="8"/>
  <c r="BJ54" i="8"/>
  <c r="BK54" i="8"/>
  <c r="BI54" i="8"/>
  <c r="AC54" i="10"/>
  <c r="X54" i="10" s="1"/>
  <c r="AN54" i="5"/>
  <c r="AM54" i="5"/>
  <c r="AS58" i="5"/>
  <c r="AH58" i="11"/>
  <c r="E62" i="8"/>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AC56" i="1"/>
  <c r="DA56" i="5"/>
  <c r="DG56" i="5" s="1" a="1"/>
  <c r="DG56" i="5" s="1"/>
  <c r="AB57" i="1"/>
  <c r="DI57" i="5"/>
  <c r="AF66" i="9"/>
  <c r="AJ66" i="9"/>
  <c r="AD128" i="9"/>
  <c r="N42" i="1"/>
  <c r="S59" i="2"/>
  <c r="N60" i="2"/>
  <c r="R60" i="2"/>
  <c r="Q59" i="2"/>
  <c r="J61" i="10"/>
  <c r="N61" i="5" s="1"/>
  <c r="P61" i="2"/>
  <c r="M60" i="2"/>
  <c r="G61" i="8" l="1"/>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N55" i="8"/>
  <c r="CR55" i="8" s="1"/>
  <c r="F63" i="8"/>
  <c r="AO55" i="5"/>
  <c r="AV56" i="5"/>
  <c r="BP59" i="5" a="1"/>
  <c r="BP59" i="5" s="1"/>
  <c r="J59" i="2" s="1"/>
  <c r="AG54" i="7"/>
  <c r="O64" i="1"/>
  <c r="CD54" i="8"/>
  <c r="CU54" i="8" s="1"/>
  <c r="CV54" i="8" s="1"/>
  <c r="BS55" i="8"/>
  <c r="BN55" i="8"/>
  <c r="BO55" i="8"/>
  <c r="BL55" i="8"/>
  <c r="BM55" i="8"/>
  <c r="BJ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J62" i="10"/>
  <c r="N62" i="5" s="1"/>
  <c r="M61" i="2"/>
  <c r="P62" i="2"/>
  <c r="G62" i="8" l="1"/>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S56" i="8"/>
  <c r="BN56" i="8"/>
  <c r="BO56" i="8"/>
  <c r="BL56" i="8"/>
  <c r="BM56" i="8"/>
  <c r="BJ56" i="8"/>
  <c r="BK56" i="8"/>
  <c r="BI56" i="8"/>
  <c r="AC56" i="10"/>
  <c r="X56" i="10" s="1"/>
  <c r="AN56" i="5"/>
  <c r="AM56" i="5"/>
  <c r="AH60" i="11"/>
  <c r="E64" i="8"/>
  <c r="DF59" i="5"/>
  <c r="AK60" i="11"/>
  <c r="DE59" i="5"/>
  <c r="W58" i="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G63" i="8" l="1"/>
  <c r="CE62" i="8"/>
  <c r="O62" i="2"/>
  <c r="AS61" i="5"/>
  <c r="BG62" i="5" a="1"/>
  <c r="BG62" i="5" s="1"/>
  <c r="AL69" i="9"/>
  <c r="BQ57" i="8"/>
  <c r="BR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J61" i="2" s="1"/>
  <c r="AG56" i="7"/>
  <c r="O66" i="1"/>
  <c r="BW57" i="8"/>
  <c r="CD57" i="8" s="1"/>
  <c r="BS57" i="8"/>
  <c r="BN57" i="8"/>
  <c r="BO57" i="8"/>
  <c r="BL57" i="8"/>
  <c r="BM57" i="8"/>
  <c r="AN57" i="5"/>
  <c r="BJ57" i="8"/>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Q57" i="7"/>
  <c r="AE57" i="7"/>
  <c r="AF57" i="7" s="1"/>
  <c r="AB60" i="1"/>
  <c r="DI60" i="5"/>
  <c r="AC59" i="1"/>
  <c r="DA59" i="5"/>
  <c r="DG59" i="5" s="1" a="1"/>
  <c r="DG59" i="5" s="1"/>
  <c r="AF69" i="9"/>
  <c r="AJ69" i="9"/>
  <c r="AD131" i="9"/>
  <c r="N45" i="1"/>
  <c r="S62" i="2"/>
  <c r="N63" i="2"/>
  <c r="R63" i="2"/>
  <c r="Q62" i="2"/>
  <c r="J64" i="10"/>
  <c r="N64" i="5" s="1"/>
  <c r="P64" i="2"/>
  <c r="M63" i="2"/>
  <c r="G64" i="8" l="1"/>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C57" i="8"/>
  <c r="BW58" i="8"/>
  <c r="CC58" i="8" s="1"/>
  <c r="BS58" i="8"/>
  <c r="BN58" i="8"/>
  <c r="BO58" i="8"/>
  <c r="BL58" i="8"/>
  <c r="BM58" i="8"/>
  <c r="BJ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G65" i="8" l="1"/>
  <c r="CE64" i="8"/>
  <c r="O64" i="2"/>
  <c r="AS63" i="5"/>
  <c r="BM64" i="5" a="1"/>
  <c r="BM64" i="5" s="1"/>
  <c r="AL71" i="9"/>
  <c r="BQ59" i="8"/>
  <c r="BR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J63" i="2" s="1"/>
  <c r="AG58" i="7"/>
  <c r="O68" i="1"/>
  <c r="CD58" i="8"/>
  <c r="CU58" i="8" s="1"/>
  <c r="CV58" i="8" s="1"/>
  <c r="BW59" i="8"/>
  <c r="CC59" i="8" s="1"/>
  <c r="BS59" i="8"/>
  <c r="BN59" i="8"/>
  <c r="BO59" i="8"/>
  <c r="BL59" i="8"/>
  <c r="BM59" i="8"/>
  <c r="BJ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G66" i="8" l="1"/>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C57" i="8"/>
  <c r="G57" i="1" s="1"/>
  <c r="N57" i="8" s="1"/>
  <c r="P59" i="8"/>
  <c r="F68" i="8"/>
  <c r="AO60" i="5"/>
  <c r="AV61" i="5"/>
  <c r="BP64" i="5" a="1"/>
  <c r="BP64" i="5" s="1"/>
  <c r="J64" i="2"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G67" i="8" l="1"/>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J65" i="2"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G68" i="8" l="1"/>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W64" i="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G69" i="8" l="1"/>
  <c r="CE68" i="8"/>
  <c r="O68" i="2"/>
  <c r="AQ62" i="5"/>
  <c r="AS67" i="5"/>
  <c r="AL75" i="9"/>
  <c r="BQ63" i="8"/>
  <c r="BR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J67" i="2"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M69" i="2"/>
  <c r="J70" i="10"/>
  <c r="N70" i="5" s="1"/>
  <c r="P70" i="2"/>
  <c r="G70" i="8" l="1"/>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J68" i="2"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G71" i="8" l="1"/>
  <c r="CE70" i="8"/>
  <c r="O70" i="2"/>
  <c r="AQ64" i="5"/>
  <c r="AS69" i="5"/>
  <c r="BD70" i="5" a="1"/>
  <c r="BD70" i="5" s="1"/>
  <c r="BI70" i="5" a="1"/>
  <c r="BI70" i="5" s="1"/>
  <c r="BN70" i="5" a="1"/>
  <c r="BN70" i="5" s="1"/>
  <c r="BC70" i="5" a="1"/>
  <c r="BC70" i="5" s="1"/>
  <c r="AL77" i="9"/>
  <c r="BQ65" i="8"/>
  <c r="BR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J69" i="2"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CZ68" i="5"/>
  <c r="B64" i="14"/>
  <c r="C67" i="5"/>
  <c r="F67" i="5" s="1"/>
  <c r="AW67" i="5" s="1"/>
  <c r="AB68" i="1"/>
  <c r="DI68" i="5"/>
  <c r="AC67" i="1"/>
  <c r="DA67" i="5"/>
  <c r="DG67" i="5" s="1" a="1"/>
  <c r="DG67" i="5" s="1"/>
  <c r="AF77" i="9"/>
  <c r="AJ77" i="9"/>
  <c r="N53" i="1"/>
  <c r="S70" i="2"/>
  <c r="N71" i="2"/>
  <c r="R71" i="2"/>
  <c r="Q70" i="2"/>
  <c r="M71" i="2"/>
  <c r="J72" i="10"/>
  <c r="N72" i="5" s="1"/>
  <c r="P72" i="2"/>
  <c r="G72" i="8" l="1"/>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U64" i="8"/>
  <c r="CV64" i="8" s="1"/>
  <c r="P65" i="8"/>
  <c r="CN65" i="8"/>
  <c r="CR65" i="8" s="1"/>
  <c r="F74" i="8"/>
  <c r="AO66" i="5"/>
  <c r="AV67" i="5"/>
  <c r="BP70" i="5" a="1"/>
  <c r="BP70" i="5" s="1"/>
  <c r="J70" i="2"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G73" i="8" l="1"/>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J71" i="2" s="1"/>
  <c r="O76" i="1"/>
  <c r="CC66" i="8"/>
  <c r="BS67" i="8"/>
  <c r="BT67" i="8"/>
  <c r="AH71" i="11"/>
  <c r="BN67" i="8"/>
  <c r="BO67" i="8"/>
  <c r="BL67" i="8"/>
  <c r="BM67" i="8"/>
  <c r="BJ67" i="8"/>
  <c r="BK67" i="8"/>
  <c r="BI67" i="8"/>
  <c r="AC67" i="10"/>
  <c r="X67" i="10" s="1"/>
  <c r="AM67" i="5"/>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AQ67" i="5" l="1"/>
  <c r="G74" i="8"/>
  <c r="CE73" i="8"/>
  <c r="O73" i="2"/>
  <c r="AS72" i="5"/>
  <c r="BJ73" i="5" a="1"/>
  <c r="BJ73" i="5" s="1"/>
  <c r="BC73" i="5" a="1"/>
  <c r="BC73" i="5" s="1"/>
  <c r="BE73" i="5" a="1"/>
  <c r="BE73" i="5" s="1"/>
  <c r="BF73" i="5" a="1"/>
  <c r="BF73" i="5" s="1"/>
  <c r="AE72" i="1"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J72" i="2"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CO67" i="8"/>
  <c r="CH68" i="8"/>
  <c r="CX68" i="8" s="1"/>
  <c r="AC70" i="1"/>
  <c r="DA70" i="5"/>
  <c r="DG70" i="5" s="1" a="1"/>
  <c r="DG70" i="5" s="1"/>
  <c r="AB71" i="1"/>
  <c r="DI71" i="5"/>
  <c r="AF80" i="9"/>
  <c r="AJ80" i="9"/>
  <c r="N56" i="1"/>
  <c r="S73" i="2"/>
  <c r="N74" i="2"/>
  <c r="R74" i="2"/>
  <c r="Q73" i="2"/>
  <c r="J75" i="10"/>
  <c r="N75" i="5" s="1"/>
  <c r="M74" i="2"/>
  <c r="P75" i="2"/>
  <c r="G75" i="8" l="1"/>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C66" i="8"/>
  <c r="G66" i="1" s="1"/>
  <c r="N66" i="8" s="1"/>
  <c r="V72" i="2"/>
  <c r="P68" i="8"/>
  <c r="CU67" i="8"/>
  <c r="CV67" i="8" s="1"/>
  <c r="P67" i="8"/>
  <c r="F77" i="8"/>
  <c r="AO69" i="5"/>
  <c r="AV70" i="5"/>
  <c r="BP73" i="5" a="1"/>
  <c r="BP73" i="5" s="1"/>
  <c r="J73" i="2"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W71" i="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CE75" i="8" l="1"/>
  <c r="G76" i="8"/>
  <c r="B38" i="4" s="1"/>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J74" i="2"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M76" i="2"/>
  <c r="P77" i="2"/>
  <c r="B39" i="4"/>
  <c r="D88" i="4" l="1"/>
  <c r="CE76" i="8"/>
  <c r="G77" i="8"/>
  <c r="O76" i="2"/>
  <c r="AS75" i="5"/>
  <c r="AQ70" i="5"/>
  <c r="BO76" i="5" a="1"/>
  <c r="BO76" i="5" s="1"/>
  <c r="AL83" i="9"/>
  <c r="BQ71" i="8"/>
  <c r="BR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J75" i="2"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C89" i="4" s="1"/>
  <c r="J78" i="10"/>
  <c r="N78" i="5" s="1"/>
  <c r="P78" i="2"/>
  <c r="G78" i="8" l="1"/>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P70" i="8"/>
  <c r="DC70" i="8" s="1"/>
  <c r="G70" i="1" s="1"/>
  <c r="N70" i="8" s="1"/>
  <c r="CH72" i="8"/>
  <c r="CX72" i="8" s="1"/>
  <c r="P71" i="8"/>
  <c r="F80" i="8"/>
  <c r="AO72" i="5"/>
  <c r="AV73" i="5"/>
  <c r="BP76" i="5" a="1"/>
  <c r="BP76" i="5" s="1"/>
  <c r="J76" i="2"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M78" i="2"/>
  <c r="J79" i="10"/>
  <c r="N79" i="5" s="1"/>
  <c r="P79" i="2"/>
  <c r="G79" i="8" l="1"/>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J77" i="2"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G80" i="8" l="1"/>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J78" i="2"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G81" i="8" l="1"/>
  <c r="CE80" i="8"/>
  <c r="O80" i="2"/>
  <c r="AQ74" i="5"/>
  <c r="BG80" i="5" a="1"/>
  <c r="BG80" i="5" s="1"/>
  <c r="BK80" i="5" a="1"/>
  <c r="BK80" i="5" s="1"/>
  <c r="BO80" i="5" a="1"/>
  <c r="BO80" i="5" s="1"/>
  <c r="AL87" i="9"/>
  <c r="BQ75" i="8"/>
  <c r="BR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J79" i="2"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B74" i="14"/>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G82" i="8" l="1"/>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P75" i="8"/>
  <c r="F84" i="8"/>
  <c r="AO76" i="5"/>
  <c r="AV77" i="5"/>
  <c r="BP80" i="5" a="1"/>
  <c r="BP80" i="5" s="1"/>
  <c r="J80" i="2"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AC78" i="1"/>
  <c r="DA78" i="5"/>
  <c r="DG78" i="5" s="1" a="1"/>
  <c r="DG78" i="5" s="1"/>
  <c r="AB79" i="1"/>
  <c r="DI79" i="5"/>
  <c r="AF88" i="9"/>
  <c r="AJ88" i="9"/>
  <c r="L35" i="11"/>
  <c r="AU35" i="8"/>
  <c r="B71" i="14"/>
  <c r="N64" i="1"/>
  <c r="S81" i="2"/>
  <c r="N82" i="2"/>
  <c r="R82" i="2"/>
  <c r="Q81" i="2"/>
  <c r="P83" i="2"/>
  <c r="J83" i="10"/>
  <c r="N83" i="5" s="1"/>
  <c r="M82" i="2"/>
  <c r="G83" i="8" l="1"/>
  <c r="CE82" i="8"/>
  <c r="O82" i="2"/>
  <c r="AQ76" i="5"/>
  <c r="I61" i="4" s="1"/>
  <c r="C77" i="4"/>
  <c r="D76" i="4"/>
  <c r="BA82" i="5" a="1"/>
  <c r="BA82" i="5" s="1"/>
  <c r="D81" i="4"/>
  <c r="AD80" i="1"/>
  <c r="BF82" i="5" a="1"/>
  <c r="BF82" i="5" s="1"/>
  <c r="AE81" i="1"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J81" i="2"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G84" i="8" l="1"/>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N77" i="8"/>
  <c r="CR77" i="8" s="1"/>
  <c r="F86" i="8"/>
  <c r="AO78" i="5"/>
  <c r="AV79" i="5"/>
  <c r="BP82" i="5" a="1"/>
  <c r="BP82" i="5" s="1"/>
  <c r="J82" i="2"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BN84" i="5" l="1" a="1"/>
  <c r="BN84" i="5" s="1"/>
  <c r="AZ84" i="5" a="1"/>
  <c r="AZ84" i="5" s="1"/>
  <c r="G85" i="8"/>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J83" i="2"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W81" i="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C81" i="5"/>
  <c r="F81" i="5" s="1"/>
  <c r="AW81" i="5" s="1"/>
  <c r="CH79" i="8"/>
  <c r="CX79" i="8" s="1"/>
  <c r="AE79" i="7"/>
  <c r="AF79" i="7" s="1"/>
  <c r="Q79" i="7"/>
  <c r="DI82" i="5"/>
  <c r="AB82" i="1"/>
  <c r="AC81" i="1"/>
  <c r="DA81" i="5"/>
  <c r="DG81" i="5" s="1" a="1"/>
  <c r="DG81" i="5" s="1"/>
  <c r="AF91" i="9"/>
  <c r="AJ91" i="9"/>
  <c r="N67" i="1"/>
  <c r="S84" i="2"/>
  <c r="N85" i="2"/>
  <c r="R85" i="2"/>
  <c r="Q84" i="2"/>
  <c r="P86" i="2"/>
  <c r="J86" i="10"/>
  <c r="N86" i="5" s="1"/>
  <c r="M85" i="2"/>
  <c r="AD83" i="1" l="1"/>
  <c r="G86" i="8"/>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J84" i="2"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CO79" i="8"/>
  <c r="AC82" i="1"/>
  <c r="DA82" i="5"/>
  <c r="DG82" i="5" s="1" a="1"/>
  <c r="DG82" i="5" s="1"/>
  <c r="AB83" i="1"/>
  <c r="DI83" i="5"/>
  <c r="AF92" i="9"/>
  <c r="AJ92" i="9"/>
  <c r="N68" i="1"/>
  <c r="S85" i="2"/>
  <c r="N86" i="2"/>
  <c r="R86" i="2"/>
  <c r="Q85" i="2"/>
  <c r="J87" i="10"/>
  <c r="N87" i="5" s="1"/>
  <c r="P87" i="2"/>
  <c r="M86" i="2"/>
  <c r="BA86" i="5" l="1" a="1"/>
  <c r="BA86" i="5" s="1"/>
  <c r="G87" i="8"/>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DC78" i="8"/>
  <c r="G78" i="1" s="1"/>
  <c r="N78" i="8" s="1"/>
  <c r="V84" i="2"/>
  <c r="P80" i="8"/>
  <c r="F89" i="8"/>
  <c r="AO81" i="5"/>
  <c r="AV82" i="5"/>
  <c r="BP85" i="5" a="1"/>
  <c r="BP85" i="5" s="1"/>
  <c r="J85" i="2"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AC83" i="1"/>
  <c r="DA83" i="5"/>
  <c r="DG83" i="5" s="1" a="1"/>
  <c r="DG83" i="5" s="1"/>
  <c r="AF93" i="9"/>
  <c r="AJ93" i="9"/>
  <c r="N69" i="1"/>
  <c r="S86" i="2"/>
  <c r="N87" i="2"/>
  <c r="R87" i="2"/>
  <c r="Q86" i="2"/>
  <c r="M87" i="2"/>
  <c r="J88" i="10"/>
  <c r="N88" i="5" s="1"/>
  <c r="P88" i="2"/>
  <c r="G88" i="8" l="1"/>
  <c r="CE87" i="8"/>
  <c r="O87" i="2"/>
  <c r="AD85" i="1"/>
  <c r="BN87" i="5" a="1"/>
  <c r="BN87" i="5" s="1"/>
  <c r="BK87" i="5" a="1"/>
  <c r="BK87" i="5" s="1"/>
  <c r="BA87" i="5" a="1"/>
  <c r="BA87" i="5" s="1"/>
  <c r="BB87" i="5" a="1"/>
  <c r="BB87" i="5" s="1"/>
  <c r="AL94" i="9"/>
  <c r="BQ82" i="8"/>
  <c r="BR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J86" i="2"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G89" i="8" l="1"/>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W85" i="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B84" i="9"/>
  <c r="X84" i="9" s="1"/>
  <c r="AI84" i="5"/>
  <c r="A84" i="11"/>
  <c r="AC84" i="8"/>
  <c r="BP84" i="8" s="1"/>
  <c r="BT84" i="5"/>
  <c r="A84" i="10"/>
  <c r="AA84" i="10" s="1"/>
  <c r="B84" i="7"/>
  <c r="X84" i="8"/>
  <c r="DA84" i="8" s="1"/>
  <c r="E84" i="1"/>
  <c r="AJ84" i="5"/>
  <c r="AP84" i="5" s="1"/>
  <c r="CZ86" i="5"/>
  <c r="AB86" i="1"/>
  <c r="DI86" i="5"/>
  <c r="AC85" i="1"/>
  <c r="DA85" i="5"/>
  <c r="DG85" i="5" s="1" a="1"/>
  <c r="DG85" i="5" s="1"/>
  <c r="AF95" i="9"/>
  <c r="AJ95" i="9"/>
  <c r="N71" i="1"/>
  <c r="S88" i="2"/>
  <c r="N89" i="2"/>
  <c r="R89" i="2"/>
  <c r="Q88" i="2"/>
  <c r="J90" i="10"/>
  <c r="N90" i="5" s="1"/>
  <c r="P90" i="2"/>
  <c r="U1269" i="14"/>
  <c r="U1270" i="14" s="1"/>
  <c r="M89" i="2"/>
  <c r="G90" i="8" l="1"/>
  <c r="CE89" i="8"/>
  <c r="O89" i="2"/>
  <c r="BF89" i="5" a="1"/>
  <c r="BF89" i="5" s="1"/>
  <c r="AE88" i="1"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J88" i="2"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G91" i="8" l="1"/>
  <c r="CE90" i="8"/>
  <c r="O90" i="2"/>
  <c r="BF90" i="5" a="1"/>
  <c r="BF90" i="5" s="1"/>
  <c r="AE89" i="1"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J89" i="2"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G92" i="8" l="1"/>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DC83" i="8"/>
  <c r="G83" i="1" s="1"/>
  <c r="N83" i="8" s="1"/>
  <c r="CN85" i="8"/>
  <c r="CR85" i="8" s="1"/>
  <c r="F94" i="8"/>
  <c r="AO86" i="5"/>
  <c r="AV87" i="5"/>
  <c r="BP90" i="5" a="1"/>
  <c r="BP90" i="5" s="1"/>
  <c r="J90" i="2"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G93" i="8" l="1"/>
  <c r="CE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J91" i="2"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P94" i="2"/>
  <c r="G94" i="8" l="1"/>
  <c r="CE93" i="8"/>
  <c r="O93" i="2"/>
  <c r="BM93" i="5" a="1"/>
  <c r="BM93" i="5" s="1"/>
  <c r="AD91" i="1"/>
  <c r="AL100" i="9"/>
  <c r="BQ88" i="8"/>
  <c r="BR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J92" i="2"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W90" i="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G95" i="8" l="1"/>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J93" i="2"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G96" i="8" l="1"/>
  <c r="CE95" i="8"/>
  <c r="O95" i="2"/>
  <c r="AD93" i="1"/>
  <c r="AL102" i="9"/>
  <c r="BQ90" i="8"/>
  <c r="BR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G97" i="8" l="1"/>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U89" i="8"/>
  <c r="CV89" i="8" s="1"/>
  <c r="P89" i="8"/>
  <c r="F99" i="8"/>
  <c r="AO91" i="5"/>
  <c r="AV92" i="5"/>
  <c r="BP95" i="5" a="1"/>
  <c r="BP95" i="5" s="1"/>
  <c r="J95" i="2"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CO90" i="8"/>
  <c r="B90" i="14"/>
  <c r="CZ94" i="5"/>
  <c r="AQ90" i="5"/>
  <c r="AB94" i="1"/>
  <c r="DI94" i="5"/>
  <c r="C94" i="5"/>
  <c r="AC93" i="1"/>
  <c r="DA93" i="5"/>
  <c r="DG93" i="5" s="1" a="1"/>
  <c r="DG93" i="5" s="1"/>
  <c r="AF103" i="9"/>
  <c r="AJ103" i="9"/>
  <c r="N79" i="1"/>
  <c r="S96" i="2"/>
  <c r="N97" i="2"/>
  <c r="R97" i="2"/>
  <c r="Q96" i="2"/>
  <c r="M97" i="2"/>
  <c r="J98" i="10"/>
  <c r="N98" i="5" s="1"/>
  <c r="P98" i="2"/>
  <c r="G98" i="8" l="1"/>
  <c r="CE97" i="8"/>
  <c r="O97" i="2"/>
  <c r="BM97" i="5" a="1"/>
  <c r="BM97" i="5" s="1"/>
  <c r="AD95" i="1"/>
  <c r="AZ97" i="5" a="1"/>
  <c r="AZ97" i="5" s="1"/>
  <c r="BF97" i="5" a="1"/>
  <c r="BF97" i="5" s="1"/>
  <c r="AE96" i="1"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J96" i="2"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W94" i="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AC94" i="1"/>
  <c r="DA94" i="5"/>
  <c r="DG94" i="5" s="1" a="1"/>
  <c r="DG94" i="5" s="1"/>
  <c r="AB95" i="1"/>
  <c r="DI95" i="5"/>
  <c r="AF104" i="9"/>
  <c r="AJ104" i="9"/>
  <c r="N80" i="1"/>
  <c r="S97" i="2"/>
  <c r="N98" i="2"/>
  <c r="R98" i="2"/>
  <c r="Q97" i="2"/>
  <c r="M98" i="2"/>
  <c r="J99" i="10"/>
  <c r="N99" i="5" s="1"/>
  <c r="P99" i="2"/>
  <c r="G99" i="8" l="1"/>
  <c r="CE98" i="8"/>
  <c r="O98" i="2"/>
  <c r="BF98" i="5" a="1"/>
  <c r="BF98" i="5" s="1"/>
  <c r="AE97" i="1"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J97" i="2"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C95" i="5"/>
  <c r="F95" i="5" s="1"/>
  <c r="AW95" i="5" s="1"/>
  <c r="CZ96" i="5"/>
  <c r="AB96" i="1"/>
  <c r="DI96" i="5"/>
  <c r="C96" i="5"/>
  <c r="AC95" i="1"/>
  <c r="DA95" i="5"/>
  <c r="DG95" i="5" s="1" a="1"/>
  <c r="DG95" i="5" s="1"/>
  <c r="AF105" i="9"/>
  <c r="AJ105" i="9"/>
  <c r="AD1269" i="14"/>
  <c r="AD1270" i="14" s="1"/>
  <c r="N81" i="1"/>
  <c r="S98" i="2"/>
  <c r="N99" i="2"/>
  <c r="R99" i="2"/>
  <c r="Q98" i="2"/>
  <c r="J100" i="10"/>
  <c r="N100" i="5" s="1"/>
  <c r="P100" i="2"/>
  <c r="M99" i="2"/>
  <c r="G100" i="8" l="1"/>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U92" i="8"/>
  <c r="CV92" i="8" s="1"/>
  <c r="P92" i="8"/>
  <c r="CN93" i="8"/>
  <c r="CR93" i="8" s="1"/>
  <c r="F102" i="8"/>
  <c r="AO94" i="5"/>
  <c r="AV95" i="5"/>
  <c r="BP98" i="5" a="1"/>
  <c r="BP98" i="5" s="1"/>
  <c r="J98" i="2"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C97" i="5"/>
  <c r="AC96" i="1"/>
  <c r="DA96" i="5"/>
  <c r="DG96" i="5" s="1" a="1"/>
  <c r="DG96" i="5" s="1"/>
  <c r="AB97" i="1"/>
  <c r="DI97" i="5"/>
  <c r="AF106" i="9"/>
  <c r="AJ106" i="9"/>
  <c r="AK1269" i="14"/>
  <c r="AK1270" i="14" s="1"/>
  <c r="N82" i="1"/>
  <c r="AI1269" i="14"/>
  <c r="AI1270" i="14" s="1"/>
  <c r="S99" i="2"/>
  <c r="N100" i="2"/>
  <c r="R100" i="2"/>
  <c r="Q99" i="2"/>
  <c r="M100" i="2"/>
  <c r="P101" i="2"/>
  <c r="J101" i="10"/>
  <c r="N101" i="5" s="1"/>
  <c r="G101" i="8" l="1"/>
  <c r="CE100" i="8"/>
  <c r="O100" i="2"/>
  <c r="BJ100" i="5" a="1"/>
  <c r="BJ100" i="5" s="1"/>
  <c r="AL107" i="9"/>
  <c r="BQ95" i="8"/>
  <c r="BR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J99" i="2"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CZ98" i="5"/>
  <c r="AB98" i="1"/>
  <c r="DI98" i="5"/>
  <c r="C98" i="5"/>
  <c r="AC97" i="1"/>
  <c r="DA97" i="5"/>
  <c r="DG97" i="5" s="1" a="1"/>
  <c r="DG97" i="5" s="1"/>
  <c r="AF107" i="9"/>
  <c r="AJ107" i="9"/>
  <c r="N83" i="1"/>
  <c r="S100" i="2"/>
  <c r="N101" i="2"/>
  <c r="R101" i="2"/>
  <c r="Q100" i="2"/>
  <c r="J102" i="10"/>
  <c r="N102" i="5" s="1"/>
  <c r="M101" i="2"/>
  <c r="P102" i="2"/>
  <c r="G102" i="8" l="1"/>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DC93" i="8"/>
  <c r="G93" i="1" s="1"/>
  <c r="N93" i="8" s="1"/>
  <c r="CP94" i="8"/>
  <c r="P95" i="8"/>
  <c r="F104" i="8"/>
  <c r="AV97" i="5"/>
  <c r="AC96" i="10"/>
  <c r="X96" i="10" s="1"/>
  <c r="AO96" i="5"/>
  <c r="BP100" i="5" a="1"/>
  <c r="BP100" i="5" s="1"/>
  <c r="J100" i="2"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AC98" i="1"/>
  <c r="DA98" i="5"/>
  <c r="DG98" i="5" s="1" a="1"/>
  <c r="DG98" i="5" s="1"/>
  <c r="AB99" i="1"/>
  <c r="DI99" i="5"/>
  <c r="AF108" i="9"/>
  <c r="AJ108" i="9"/>
  <c r="AC1269" i="14"/>
  <c r="AC1270" i="14" s="1"/>
  <c r="N84" i="1"/>
  <c r="Z1269" i="14"/>
  <c r="Z1270" i="14" s="1"/>
  <c r="S101" i="2"/>
  <c r="N102" i="2"/>
  <c r="R102" i="2"/>
  <c r="Q101" i="2"/>
  <c r="J103" i="10"/>
  <c r="N103" i="5" s="1"/>
  <c r="P103" i="2"/>
  <c r="M102" i="2"/>
  <c r="G103" i="8" l="1"/>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J101" i="2"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CZ100" i="5"/>
  <c r="C99" i="5"/>
  <c r="F99" i="5" s="1"/>
  <c r="AW99" i="5" s="1"/>
  <c r="AB100" i="1"/>
  <c r="DI100" i="5"/>
  <c r="C100" i="5"/>
  <c r="AC99" i="1"/>
  <c r="DA99" i="5"/>
  <c r="DG99" i="5" s="1" a="1"/>
  <c r="DG99" i="5" s="1"/>
  <c r="AF109" i="9"/>
  <c r="AJ109" i="9"/>
  <c r="N85" i="1"/>
  <c r="S102" i="2"/>
  <c r="N103" i="2"/>
  <c r="R103" i="2"/>
  <c r="Q102" i="2"/>
  <c r="J104" i="10"/>
  <c r="N104" i="5" s="1"/>
  <c r="M103" i="2"/>
  <c r="P104" i="2"/>
  <c r="G104" i="8" l="1"/>
  <c r="CE103" i="8"/>
  <c r="O103" i="2"/>
  <c r="BO103" i="5" a="1"/>
  <c r="BO103" i="5" s="1"/>
  <c r="AL110" i="9"/>
  <c r="BQ98" i="8"/>
  <c r="BR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J102" i="2"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AC100" i="1"/>
  <c r="DA100" i="5"/>
  <c r="DG100" i="5" s="1" a="1"/>
  <c r="DG100" i="5" s="1"/>
  <c r="AB101" i="1"/>
  <c r="DI101" i="5"/>
  <c r="AF110" i="9"/>
  <c r="AJ110" i="9"/>
  <c r="N86" i="1"/>
  <c r="S103" i="2"/>
  <c r="N104" i="2"/>
  <c r="R104" i="2"/>
  <c r="Q103" i="2"/>
  <c r="J105" i="10"/>
  <c r="N105" i="5" s="1"/>
  <c r="M104" i="2"/>
  <c r="P105" i="2"/>
  <c r="G105" i="8" l="1"/>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P97" i="8"/>
  <c r="CU97" i="8"/>
  <c r="CV97" i="8" s="1"/>
  <c r="P97" i="8"/>
  <c r="CN98" i="8"/>
  <c r="CR98" i="8" s="1"/>
  <c r="F107" i="8"/>
  <c r="AO99" i="5"/>
  <c r="AV100" i="5"/>
  <c r="BP103" i="5" a="1"/>
  <c r="BP103" i="5" s="1"/>
  <c r="J103" i="2"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W101" i="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G106" i="8" l="1"/>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J104" i="2"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CY99" i="8"/>
  <c r="B99" i="14"/>
  <c r="AQ99" i="5"/>
  <c r="AC102" i="1"/>
  <c r="DA102" i="5"/>
  <c r="DG102" i="5" s="1" a="1"/>
  <c r="DG102" i="5" s="1"/>
  <c r="AB103" i="1"/>
  <c r="DI103" i="5"/>
  <c r="AF112" i="9"/>
  <c r="AJ112" i="9"/>
  <c r="N88" i="1"/>
  <c r="S105" i="2"/>
  <c r="N106" i="2"/>
  <c r="R106" i="2"/>
  <c r="Q105" i="2"/>
  <c r="P107" i="2"/>
  <c r="M106" i="2"/>
  <c r="J107" i="10"/>
  <c r="N107" i="5" s="1"/>
  <c r="G107" i="8" l="1"/>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J105" i="2"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AB104" i="1"/>
  <c r="DI104" i="5"/>
  <c r="C104" i="5"/>
  <c r="AC103" i="1"/>
  <c r="DA103" i="5"/>
  <c r="DG103" i="5" s="1" a="1"/>
  <c r="DG103" i="5" s="1"/>
  <c r="AF113" i="9"/>
  <c r="AJ113" i="9"/>
  <c r="N89" i="1"/>
  <c r="S106" i="2"/>
  <c r="N107" i="2"/>
  <c r="R107" i="2"/>
  <c r="Q106" i="2"/>
  <c r="M107" i="2"/>
  <c r="J108" i="10"/>
  <c r="N108" i="5" s="1"/>
  <c r="P108" i="2"/>
  <c r="BG107" i="5" l="1" a="1"/>
  <c r="BG107" i="5" s="1"/>
  <c r="G108" i="8"/>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J106" i="2"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C105" i="5"/>
  <c r="AC104" i="1"/>
  <c r="DA104" i="5"/>
  <c r="DG104" i="5" s="1" a="1"/>
  <c r="DG104" i="5" s="1"/>
  <c r="AB105" i="1"/>
  <c r="DI105" i="5"/>
  <c r="AF114" i="9"/>
  <c r="AJ114" i="9"/>
  <c r="N90" i="1"/>
  <c r="S107" i="2"/>
  <c r="N108" i="2"/>
  <c r="R108" i="2"/>
  <c r="Q107" i="2"/>
  <c r="M108" i="2"/>
  <c r="J109" i="10"/>
  <c r="N109" i="5" s="1"/>
  <c r="P109" i="2"/>
  <c r="G109" i="8" l="1"/>
  <c r="CE108" i="8"/>
  <c r="O108" i="2"/>
  <c r="AL115" i="9"/>
  <c r="BQ103" i="8"/>
  <c r="BR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J107" i="2"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W105" i="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AB106" i="1"/>
  <c r="DI106" i="5"/>
  <c r="C106" i="5"/>
  <c r="AC105" i="1"/>
  <c r="DA105" i="5"/>
  <c r="DG105" i="5" s="1" a="1"/>
  <c r="DG105" i="5" s="1"/>
  <c r="AF115" i="9"/>
  <c r="AJ115" i="9"/>
  <c r="N91" i="1"/>
  <c r="S108" i="2"/>
  <c r="N109" i="2"/>
  <c r="R109" i="2"/>
  <c r="Q108" i="2"/>
  <c r="M109" i="2"/>
  <c r="P110" i="2"/>
  <c r="J110" i="10"/>
  <c r="N110" i="5" s="1"/>
  <c r="BH109" i="5" l="1" a="1"/>
  <c r="BH109" i="5" s="1"/>
  <c r="BJ109" i="5" a="1"/>
  <c r="BJ109" i="5" s="1"/>
  <c r="G110" i="8"/>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H104" i="8"/>
  <c r="CX104" i="8" s="1"/>
  <c r="CP102" i="8"/>
  <c r="P103" i="8"/>
  <c r="CU102" i="8"/>
  <c r="CV102" i="8" s="1"/>
  <c r="P102" i="8"/>
  <c r="F112" i="8"/>
  <c r="AO104" i="5"/>
  <c r="AV105" i="5"/>
  <c r="BP108" i="5" a="1"/>
  <c r="BP108" i="5" s="1"/>
  <c r="J108" i="2"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W106" i="1"/>
  <c r="K110" i="11"/>
  <c r="A110" i="14"/>
  <c r="CA110" i="14" s="1"/>
  <c r="A110" i="5"/>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CY103" i="8"/>
  <c r="CO103" i="8"/>
  <c r="B103" i="14"/>
  <c r="CZ107" i="5"/>
  <c r="C107" i="5"/>
  <c r="AC106" i="1"/>
  <c r="DA106" i="5"/>
  <c r="DG106" i="5" s="1" a="1"/>
  <c r="DG106" i="5" s="1"/>
  <c r="AB107" i="1"/>
  <c r="DI107" i="5"/>
  <c r="AF116" i="9"/>
  <c r="AJ116" i="9"/>
  <c r="N92" i="1"/>
  <c r="S109" i="2"/>
  <c r="N110" i="2"/>
  <c r="R110" i="2"/>
  <c r="Q109" i="2"/>
  <c r="P111" i="2"/>
  <c r="J111" i="10"/>
  <c r="N111" i="5" s="1"/>
  <c r="M110" i="2"/>
  <c r="BJ110" i="5" l="1" a="1"/>
  <c r="BJ110" i="5" s="1"/>
  <c r="BG110" i="5" a="1"/>
  <c r="BG110" i="5" s="1"/>
  <c r="BF110" i="5" a="1"/>
  <c r="BF110" i="5" s="1"/>
  <c r="AE109" i="1" s="1"/>
  <c r="G111" i="8"/>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J109" i="2"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W107" i="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CZ108" i="5"/>
  <c r="AB108" i="1"/>
  <c r="DI108" i="5"/>
  <c r="C108" i="5"/>
  <c r="AC107" i="1"/>
  <c r="DA107" i="5"/>
  <c r="DG107" i="5" s="1" a="1"/>
  <c r="DG107" i="5" s="1"/>
  <c r="AF117" i="9"/>
  <c r="AJ117" i="9"/>
  <c r="N93" i="1"/>
  <c r="S110" i="2"/>
  <c r="N111" i="2"/>
  <c r="R111" i="2"/>
  <c r="Q110" i="2"/>
  <c r="J112" i="10"/>
  <c r="N112" i="5" s="1"/>
  <c r="P112" i="2"/>
  <c r="M111" i="2"/>
  <c r="G112" i="8" l="1"/>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P104" i="8"/>
  <c r="DC104" i="8" s="1"/>
  <c r="G104" i="1" s="1"/>
  <c r="N104" i="8" s="1"/>
  <c r="P105" i="8"/>
  <c r="F114" i="8"/>
  <c r="AO106" i="5"/>
  <c r="AV107" i="5"/>
  <c r="BP110" i="5" a="1"/>
  <c r="BP110" i="5" s="1"/>
  <c r="J110" i="2"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AC108" i="1"/>
  <c r="DA108" i="5"/>
  <c r="DG108" i="5" s="1" a="1"/>
  <c r="DG108" i="5" s="1"/>
  <c r="AB109" i="1"/>
  <c r="DI109" i="5"/>
  <c r="AF118" i="9"/>
  <c r="AJ118" i="9"/>
  <c r="N94" i="1"/>
  <c r="S111" i="2"/>
  <c r="N112" i="2"/>
  <c r="R112" i="2"/>
  <c r="Q111" i="2"/>
  <c r="M112" i="2"/>
  <c r="P113" i="2"/>
  <c r="J113" i="10"/>
  <c r="N113" i="5" s="1"/>
  <c r="G113" i="8" l="1"/>
  <c r="CE112" i="8"/>
  <c r="O112" i="2"/>
  <c r="AL119" i="9"/>
  <c r="BQ107" i="8"/>
  <c r="BR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J111" i="2"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CZ110" i="5"/>
  <c r="C109" i="5"/>
  <c r="F109" i="5" s="1"/>
  <c r="AW109" i="5" s="1"/>
  <c r="AB110" i="1"/>
  <c r="DI110" i="5"/>
  <c r="AC109" i="1"/>
  <c r="DA109" i="5"/>
  <c r="DG109" i="5" s="1" a="1"/>
  <c r="DG109" i="5" s="1"/>
  <c r="AF119" i="9"/>
  <c r="AJ119" i="9"/>
  <c r="N95" i="1"/>
  <c r="S112" i="2"/>
  <c r="N113" i="2"/>
  <c r="R113" i="2"/>
  <c r="Q112" i="2"/>
  <c r="J114" i="10"/>
  <c r="N114" i="5" s="1"/>
  <c r="M113" i="2"/>
  <c r="P114" i="2"/>
  <c r="G114" i="8" l="1"/>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P106" i="8"/>
  <c r="V111" i="2"/>
  <c r="P107" i="8"/>
  <c r="CU106" i="8"/>
  <c r="CV106" i="8" s="1"/>
  <c r="P106" i="8"/>
  <c r="CN107" i="8"/>
  <c r="CR107" i="8" s="1"/>
  <c r="F116" i="8"/>
  <c r="AO108" i="5"/>
  <c r="AV109" i="5"/>
  <c r="BP112" i="5" a="1"/>
  <c r="BP112" i="5" s="1"/>
  <c r="J112" i="2"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W110" i="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C110" i="5"/>
  <c r="F110" i="5" s="1"/>
  <c r="AW110" i="5" s="1"/>
  <c r="AC110" i="1"/>
  <c r="DA110" i="5"/>
  <c r="DG110" i="5" s="1" a="1"/>
  <c r="DG110" i="5" s="1"/>
  <c r="AB111" i="1"/>
  <c r="DI111" i="5"/>
  <c r="AF120" i="9"/>
  <c r="AJ120" i="9"/>
  <c r="N96" i="1"/>
  <c r="S113" i="2"/>
  <c r="N114" i="2"/>
  <c r="R114" i="2"/>
  <c r="Q113" i="2"/>
  <c r="M114" i="2"/>
  <c r="J115" i="10"/>
  <c r="N115" i="5" s="1"/>
  <c r="P115" i="2"/>
  <c r="G115" i="8" l="1"/>
  <c r="CE114" i="8"/>
  <c r="O114" i="2"/>
  <c r="AL121" i="9"/>
  <c r="BQ109" i="8"/>
  <c r="BR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J113" i="2"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G116" i="8" l="1"/>
  <c r="CE115" i="8"/>
  <c r="O115" i="2"/>
  <c r="AL122" i="9"/>
  <c r="BQ110" i="8"/>
  <c r="BR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J114" i="2"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G117" i="8" l="1"/>
  <c r="CE116" i="8"/>
  <c r="O116" i="2"/>
  <c r="BF116" i="5" a="1"/>
  <c r="BF116" i="5" s="1"/>
  <c r="AE115" i="1"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BI117" i="5" l="1" a="1"/>
  <c r="BI117" i="5" s="1"/>
  <c r="G118" i="8"/>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P111" i="8"/>
  <c r="CU110" i="8"/>
  <c r="CV110" i="8" s="1"/>
  <c r="P110" i="8"/>
  <c r="F120" i="8"/>
  <c r="AO112" i="5"/>
  <c r="AV113" i="5"/>
  <c r="BP116" i="5" a="1"/>
  <c r="BP116" i="5" s="1"/>
  <c r="J116" i="2"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C114" i="5"/>
  <c r="F114" i="5" s="1"/>
  <c r="AW114" i="5" s="1"/>
  <c r="CZ115" i="5"/>
  <c r="CO111" i="8"/>
  <c r="B111" i="14"/>
  <c r="C115" i="5"/>
  <c r="AC114" i="1"/>
  <c r="DA114" i="5"/>
  <c r="DG114" i="5" s="1" a="1"/>
  <c r="DG114" i="5" s="1"/>
  <c r="AB115" i="1"/>
  <c r="DI115" i="5"/>
  <c r="AF124" i="9"/>
  <c r="AJ124" i="9"/>
  <c r="N100" i="1"/>
  <c r="S117" i="2"/>
  <c r="N118" i="2"/>
  <c r="R118" i="2"/>
  <c r="Q117" i="2"/>
  <c r="M118" i="2"/>
  <c r="P119" i="2"/>
  <c r="J119" i="10"/>
  <c r="N119" i="5" s="1"/>
  <c r="G119" i="8" l="1"/>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J117" i="2"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W115" i="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CZ116" i="5"/>
  <c r="AB116" i="1"/>
  <c r="DI116" i="5"/>
  <c r="C116" i="5"/>
  <c r="AC115" i="1"/>
  <c r="DA115" i="5"/>
  <c r="DG115" i="5" s="1" a="1"/>
  <c r="DG115" i="5" s="1"/>
  <c r="AF125" i="9"/>
  <c r="AJ125" i="9"/>
  <c r="N101" i="1"/>
  <c r="S118" i="2"/>
  <c r="N119" i="2"/>
  <c r="R119" i="2"/>
  <c r="Q118" i="2"/>
  <c r="J120" i="10"/>
  <c r="N120" i="5" s="1"/>
  <c r="P120" i="2"/>
  <c r="M119" i="2"/>
  <c r="G120" i="8" l="1"/>
  <c r="CE119" i="8"/>
  <c r="O119" i="2"/>
  <c r="BJ119" i="5" a="1"/>
  <c r="BJ119" i="5" s="1"/>
  <c r="AL126" i="9"/>
  <c r="BQ114" i="8"/>
  <c r="BR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J118" i="2"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CZ117" i="5"/>
  <c r="C117" i="5"/>
  <c r="AC116" i="1"/>
  <c r="DA116" i="5"/>
  <c r="DG116" i="5" s="1" a="1"/>
  <c r="DG116" i="5" s="1"/>
  <c r="AB117" i="1"/>
  <c r="DI117" i="5"/>
  <c r="AF126" i="9"/>
  <c r="AJ126" i="9"/>
  <c r="N102" i="1"/>
  <c r="S119" i="2"/>
  <c r="N120" i="2"/>
  <c r="R120" i="2"/>
  <c r="Q119" i="2"/>
  <c r="M120" i="2"/>
  <c r="P121" i="2"/>
  <c r="J121" i="10"/>
  <c r="N121" i="5" s="1"/>
  <c r="G121" i="8" l="1"/>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J119" i="2"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W117" i="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CZ118" i="5"/>
  <c r="AB118" i="1"/>
  <c r="DI118" i="5"/>
  <c r="AC117" i="1"/>
  <c r="DA117" i="5"/>
  <c r="DG117" i="5" s="1" a="1"/>
  <c r="DG117" i="5" s="1"/>
  <c r="AF127" i="9"/>
  <c r="AJ127" i="9"/>
  <c r="N103" i="1"/>
  <c r="S120" i="2"/>
  <c r="N121" i="2"/>
  <c r="R121" i="2"/>
  <c r="Q120" i="2"/>
  <c r="J122" i="10"/>
  <c r="N122" i="5" s="1"/>
  <c r="M121" i="2"/>
  <c r="P122" i="2"/>
  <c r="G122" i="8" l="1"/>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J120" i="2"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W118" i="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C118" i="5"/>
  <c r="F118" i="5" s="1"/>
  <c r="AW118" i="5" s="1"/>
  <c r="C119" i="5"/>
  <c r="AC118" i="1"/>
  <c r="DA118" i="5"/>
  <c r="DG118" i="5" s="1" a="1"/>
  <c r="DG118" i="5" s="1"/>
  <c r="AB119" i="1"/>
  <c r="DI119" i="5"/>
  <c r="AF128" i="9"/>
  <c r="AJ128" i="9"/>
  <c r="N104" i="1"/>
  <c r="S121" i="2"/>
  <c r="N122" i="2"/>
  <c r="R122" i="2"/>
  <c r="Q121" i="2"/>
  <c r="J123" i="10"/>
  <c r="N123" i="5" s="1"/>
  <c r="M122" i="2"/>
  <c r="P123" i="2"/>
  <c r="AD120" i="1" l="1"/>
  <c r="G123" i="8"/>
  <c r="CE122" i="8"/>
  <c r="O122" i="2"/>
  <c r="AL129" i="9"/>
  <c r="BQ117" i="8"/>
  <c r="BR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J121" i="2"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P124" i="2"/>
  <c r="J124" i="10"/>
  <c r="N124" i="5" s="1"/>
  <c r="G124" i="8" l="1"/>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Y117" i="8"/>
  <c r="CP116" i="8"/>
  <c r="P117" i="8"/>
  <c r="CU116" i="8"/>
  <c r="CV116" i="8" s="1"/>
  <c r="P116" i="8"/>
  <c r="F126" i="8"/>
  <c r="AO118" i="5"/>
  <c r="AV119" i="5"/>
  <c r="BP122" i="5" a="1"/>
  <c r="BP122" i="5" s="1"/>
  <c r="J122" i="2"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G125" i="8" l="1"/>
  <c r="CE124" i="8"/>
  <c r="O124" i="2"/>
  <c r="BI124" i="5" a="1"/>
  <c r="BI124" i="5" s="1"/>
  <c r="BG124" i="5" a="1"/>
  <c r="BG124" i="5" s="1"/>
  <c r="BK124" i="5" a="1"/>
  <c r="BK124" i="5" s="1"/>
  <c r="BC124" i="5" a="1"/>
  <c r="BC124" i="5" s="1"/>
  <c r="BO124" i="5" a="1"/>
  <c r="BO124" i="5" s="1"/>
  <c r="BD124" i="5" a="1"/>
  <c r="BD124" i="5" s="1"/>
  <c r="BF124" i="5" a="1"/>
  <c r="BF124" i="5" s="1"/>
  <c r="AE123" i="1"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J123" i="2"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C121" i="5"/>
  <c r="F121" i="5" s="1"/>
  <c r="AW121" i="5" s="1"/>
  <c r="CO118" i="8"/>
  <c r="AQ118" i="5"/>
  <c r="B118" i="14"/>
  <c r="CZ122" i="5"/>
  <c r="AB122" i="1"/>
  <c r="DI122" i="5"/>
  <c r="AC121" i="1"/>
  <c r="DA121" i="5"/>
  <c r="DG121" i="5" s="1" a="1"/>
  <c r="DG121" i="5" s="1"/>
  <c r="AF131" i="9"/>
  <c r="AJ131" i="9"/>
  <c r="N107" i="1"/>
  <c r="S124" i="2"/>
  <c r="N125" i="2"/>
  <c r="R125" i="2"/>
  <c r="Q124" i="2"/>
  <c r="P126" i="2"/>
  <c r="M125" i="2"/>
  <c r="J126" i="10"/>
  <c r="N126" i="5" s="1"/>
  <c r="G126" i="8" l="1"/>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J124" i="2"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W122" i="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G127" i="8" l="1"/>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J125" i="2"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C123" i="5"/>
  <c r="F123" i="5" s="1"/>
  <c r="AW123" i="5" s="1"/>
  <c r="CZ124" i="5"/>
  <c r="AB124" i="1"/>
  <c r="DI124" i="5"/>
  <c r="C124" i="5"/>
  <c r="AC123" i="1"/>
  <c r="DA123" i="5"/>
  <c r="DG123" i="5" s="1" a="1"/>
  <c r="DG123" i="5" s="1"/>
  <c r="AF133" i="9"/>
  <c r="AJ133" i="9"/>
  <c r="N109" i="1"/>
  <c r="S126" i="2"/>
  <c r="N127" i="2"/>
  <c r="R127" i="2"/>
  <c r="Q126" i="2"/>
  <c r="J128" i="10"/>
  <c r="N128" i="5" s="1"/>
  <c r="M127" i="2"/>
  <c r="P128" i="2"/>
  <c r="G128" i="8" l="1"/>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A123" i="11"/>
  <c r="AC123" i="8"/>
  <c r="BP123" i="8" s="1"/>
  <c r="BT123" i="5"/>
  <c r="A123" i="10"/>
  <c r="AA123" i="10" s="1"/>
  <c r="B123" i="7"/>
  <c r="AJ123" i="5"/>
  <c r="AP123" i="5" s="1"/>
  <c r="E123" i="1"/>
  <c r="AI123" i="5"/>
  <c r="B123" i="9"/>
  <c r="X123" i="9" s="1"/>
  <c r="X123" i="8"/>
  <c r="DA123" i="8" s="1"/>
  <c r="CZ125" i="5"/>
  <c r="AC124" i="1"/>
  <c r="DA124" i="5"/>
  <c r="DG124" i="5" s="1" a="1"/>
  <c r="DG124" i="5" s="1"/>
  <c r="AB125" i="1"/>
  <c r="DI125" i="5"/>
  <c r="AF134" i="9"/>
  <c r="AJ134" i="9"/>
  <c r="N110" i="1"/>
  <c r="S127" i="2"/>
  <c r="N128" i="2"/>
  <c r="R128" i="2"/>
  <c r="Q127" i="2"/>
  <c r="P129" i="2"/>
  <c r="M128" i="2"/>
  <c r="J129" i="10"/>
  <c r="N129" i="5" s="1"/>
  <c r="G129" i="8" l="1"/>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J127" i="2"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G130" i="8" l="1"/>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J128" i="2"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W126" i="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C126" i="5"/>
  <c r="F126" i="5" s="1"/>
  <c r="AW126" i="5" s="1"/>
  <c r="B123" i="14"/>
  <c r="AR123" i="5"/>
  <c r="AC126" i="1"/>
  <c r="DA126" i="5"/>
  <c r="DG126" i="5" s="1" a="1"/>
  <c r="DG126" i="5" s="1"/>
  <c r="AB127" i="1"/>
  <c r="DI127" i="5"/>
  <c r="AF136" i="9"/>
  <c r="AJ136" i="9"/>
  <c r="N112" i="1"/>
  <c r="S129" i="2"/>
  <c r="N130" i="2"/>
  <c r="R130" i="2"/>
  <c r="Q129" i="2"/>
  <c r="M130" i="2"/>
  <c r="J131" i="10"/>
  <c r="N131" i="5" s="1"/>
  <c r="P131" i="2"/>
  <c r="G131" i="8" l="1"/>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J129" i="2"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C127" i="5"/>
  <c r="F127" i="5" s="1"/>
  <c r="AW127" i="5" s="1"/>
  <c r="CZ128" i="5"/>
  <c r="AB128" i="1"/>
  <c r="DI128" i="5"/>
  <c r="AC127" i="1"/>
  <c r="DA127" i="5"/>
  <c r="DG127" i="5" s="1" a="1"/>
  <c r="DG127" i="5" s="1"/>
  <c r="N113" i="1"/>
  <c r="S130" i="2"/>
  <c r="N131" i="2"/>
  <c r="R131" i="2"/>
  <c r="Q130" i="2"/>
  <c r="J132" i="10"/>
  <c r="N132" i="5" s="1"/>
  <c r="P132" i="2"/>
  <c r="M131" i="2"/>
  <c r="G132" i="8" l="1"/>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P124" i="8"/>
  <c r="F134" i="8"/>
  <c r="AO126" i="5"/>
  <c r="AV127" i="5"/>
  <c r="BP130" i="5" a="1"/>
  <c r="BP130" i="5" s="1"/>
  <c r="J130" i="2" s="1"/>
  <c r="AG125" i="7"/>
  <c r="AI125" i="7" s="1"/>
  <c r="O135" i="1"/>
  <c r="CC125" i="8"/>
  <c r="BS126" i="8"/>
  <c r="BN126" i="8"/>
  <c r="BO126" i="8"/>
  <c r="BL126" i="8"/>
  <c r="BM126" i="8"/>
  <c r="BJ126" i="8"/>
  <c r="BK126" i="8"/>
  <c r="BI126" i="8"/>
  <c r="AC126" i="10"/>
  <c r="X126" i="10" s="1"/>
  <c r="AN126" i="5"/>
  <c r="AM126" i="5"/>
  <c r="AS130" i="5"/>
  <c r="E134" i="8"/>
  <c r="DE129" i="5"/>
  <c r="DB129" i="5"/>
  <c r="AH130" i="11"/>
  <c r="DH129" i="5"/>
  <c r="W128" i="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G133" i="8" l="1"/>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J131" i="2"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G134" i="8" l="1"/>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J132" i="2"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G135" i="8" l="1"/>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O129" i="5"/>
  <c r="AV130" i="5"/>
  <c r="BP133" i="5" a="1"/>
  <c r="BP133" i="5" s="1"/>
  <c r="J133" i="2" s="1"/>
  <c r="AG128" i="7"/>
  <c r="AI128" i="7" s="1"/>
  <c r="CD128" i="8"/>
  <c r="CU128" i="8" s="1"/>
  <c r="CV128" i="8" s="1"/>
  <c r="BW129" i="8"/>
  <c r="CD129" i="8" s="1"/>
  <c r="BS129" i="8"/>
  <c r="BN129" i="8"/>
  <c r="BO129" i="8"/>
  <c r="BL129" i="8"/>
  <c r="BM129" i="8"/>
  <c r="BJ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G136" i="8" l="1"/>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AC132" i="1"/>
  <c r="DA132" i="5"/>
  <c r="AB133" i="1"/>
  <c r="DI133" i="5"/>
  <c r="N118" i="1"/>
  <c r="S135" i="2"/>
  <c r="S136" i="2"/>
  <c r="Q135" i="2"/>
  <c r="Q136" i="2"/>
  <c r="M136" i="2"/>
  <c r="CE136" i="8" l="1"/>
  <c r="AF139" i="8"/>
  <c r="O136" i="2"/>
  <c r="BO136" i="5" a="1"/>
  <c r="BO136" i="5" s="1"/>
  <c r="BE136" i="5" a="1"/>
  <c r="BE136" i="5" s="1"/>
  <c r="BQ131" i="8"/>
  <c r="BR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J135" i="2"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W133" i="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C134" i="5"/>
  <c r="B131" i="14"/>
  <c r="CY131" i="8"/>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F52" i="1"/>
  <c r="F52" i="2"/>
  <c r="H52" i="2"/>
  <c r="S52" i="8"/>
  <c r="AP52" i="1" l="1"/>
  <c r="T52" i="1" s="1"/>
  <c r="I53" i="1" s="1"/>
  <c r="J52" i="11"/>
  <c r="G52" i="2"/>
  <c r="V52" i="8"/>
  <c r="T52" i="8"/>
  <c r="W52" i="8" s="1"/>
  <c r="O52" i="7"/>
  <c r="I52" i="11"/>
  <c r="Z52" i="2" l="1"/>
  <c r="C52" i="8"/>
  <c r="P52" i="7"/>
  <c r="F52" i="9"/>
  <c r="AO53" i="1"/>
  <c r="BJ53" i="1"/>
  <c r="AA53" i="8" l="1"/>
  <c r="Y52" i="2"/>
  <c r="X52" i="2" s="1"/>
  <c r="E53" i="2" l="1"/>
  <c r="L53" i="2" s="1"/>
  <c r="H53" i="11"/>
  <c r="AV53" i="8"/>
  <c r="AB53" i="7"/>
  <c r="B53" i="8"/>
  <c r="D53" i="2" s="1"/>
  <c r="U53" i="2" l="1"/>
  <c r="W52" i="2" s="1"/>
  <c r="C53" i="2" s="1"/>
  <c r="H53" i="1" s="1"/>
  <c r="AP53" i="8" l="1"/>
  <c r="AK53" i="5"/>
  <c r="BI53" i="1"/>
  <c r="V53" i="10"/>
  <c r="AC53" i="7"/>
  <c r="AJ53" i="7" s="1"/>
  <c r="C53" i="11"/>
  <c r="H53" i="2"/>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<sst xmlns="http://schemas.openxmlformats.org/spreadsheetml/2006/main" count="3003" uniqueCount="1126">
  <si>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</si>
  <si>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</si>
  <si>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</si>
  <si>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</si>
  <si>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</si>
  <si>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</si>
  <si>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</si>
  <si>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</si>
  <si>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</si>
  <si>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</si>
  <si>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</si>
  <si>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</si>
  <si>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</si>
  <si>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</si>
  <si>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</si>
  <si>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</si>
  <si>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</si>
  <si>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</si>
  <si>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</si>
  <si>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</si>
  <si>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</si>
  <si>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</si>
  <si>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</si>
  <si>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</si>
  <si>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</si>
  <si>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</si>
  <si>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</si>
  <si>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</si>
  <si>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</si>
  <si>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</si>
  <si>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</si>
  <si>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</si>
  <si>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</si>
  <si>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</si>
  <si>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</si>
  <si>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</si>
  <si>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</si>
  <si>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</si>
  <si>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</si>
  <si>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</si>
  <si>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</si>
  <si>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</si>
  <si>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</si>
  <si>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</si>
  <si>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</si>
  <si>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</si>
  <si>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</si>
  <si>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</si>
  <si>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</si>
  <si>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</si>
  <si>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</si>
  <si>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</si>
  <si>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</si>
  <si>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</si>
  <si>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</si>
  <si>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</si>
  <si>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</si>
  <si>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</si>
  <si>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</si>
  <si>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</si>
  <si>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</si>
  <si>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</si>
  <si>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</si>
  <si>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</si>
  <si>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</si>
  <si>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</si>
  <si>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</si>
  <si>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</si>
  <si>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</si>
  <si>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</si>
  <si>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</si>
  <si>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</si>
  <si>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</si>
  <si>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</si>
  <si>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</si>
  <si>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</si>
  <si>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</si>
  <si>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</si>
  <si>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</si>
  <si>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</si>
  <si>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</si>
  <si>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</si>
  <si>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</si>
  <si>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</si>
  <si>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</si>
  <si>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</si>
  <si>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</si>
  <si>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</si>
  <si>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</si>
  <si>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</si>
  <si>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</si>
  <si>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</si>
  <si>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</si>
  <si>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</si>
  <si>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</si>
  <si>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</si>
  <si>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</si>
  <si>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</si>
  <si>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</si>
  <si>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</si>
  <si>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</si>
  <si>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</si>
  <si>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</si>
  <si>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</si>
  <si>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</si>
  <si>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</si>
  <si>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</si>
  <si>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</si>
  <si>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</si>
  <si>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</si>
  <si>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</si>
  <si>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</si>
  <si>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</si>
  <si>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</si>
  <si>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</si>
  <si>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</si>
  <si>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</si>
  <si>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</si>
  <si>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</si>
  <si>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</si>
  <si>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</si>
  <si>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</si>
  <si>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</si>
  <si>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</si>
  <si>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</si>
  <si>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</si>
  <si>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</si>
  <si>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</si>
  <si>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</si>
  <si>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</si>
  <si>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</si>
  <si>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</si>
  <si>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</si>
  <si>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</si>
  <si>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</si>
  <si>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</si>
  <si>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</si>
  <si>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</si>
  <si>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</si>
  <si>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</si>
  <si>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</si>
  <si>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</si>
  <si>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</si>
  <si>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</si>
  <si>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</si>
  <si>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</si>
  <si>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</si>
  <si>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</si>
  <si>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</si>
  <si>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</si>
  <si>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</si>
  <si>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</si>
  <si>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</si>
  <si>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</si>
  <si>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</si>
  <si>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</si>
  <si>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</si>
  <si>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</si>
  <si>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</si>
  <si>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</si>
  <si>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</si>
  <si>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</si>
  <si>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</si>
  <si>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</si>
  <si>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</si>
  <si>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</si>
  <si>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</si>
  <si>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</si>
  <si>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</si>
  <si>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</si>
  <si>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</si>
  <si>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</si>
  <si>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</si>
  <si>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</si>
  <si>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</si>
  <si>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</si>
  <si>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</si>
  <si>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</si>
  <si>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</si>
  <si>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</si>
  <si>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</si>
  <si>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</si>
  <si>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</si>
  <si>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</si>
  <si>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</si>
  <si>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</si>
  <si>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</si>
  <si>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</si>
  <si>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</si>
  <si>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</si>
  <si>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</si>
  <si>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</si>
  <si>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</si>
  <si>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</si>
  <si>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</si>
  <si>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</si>
  <si>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</si>
  <si>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</si>
  <si>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</si>
  <si>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</si>
  <si>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</si>
  <si>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</si>
  <si>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</si>
  <si>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</si>
  <si>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</si>
  <si>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</si>
  <si>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</si>
  <si>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</si>
  <si>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</si>
  <si>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</si>
  <si>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</si>
  <si>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</si>
  <si>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</si>
  <si>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</si>
  <si>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</si>
  <si>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</si>
  <si>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</si>
  <si>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</si>
  <si>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</si>
  <si>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</si>
  <si>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</si>
  <si>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</si>
  <si>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</si>
  <si>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</si>
  <si>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</si>
  <si>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</si>
  <si>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</si>
  <si>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</si>
  <si>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</si>
  <si>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</si>
  <si>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</si>
  <si>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</si>
  <si>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</si>
  <si>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</si>
  <si>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</si>
  <si>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</si>
  <si>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</si>
  <si>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</si>
  <si>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</si>
  <si>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</si>
  <si>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</si>
  <si>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</si>
  <si>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</si>
  <si>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</si>
  <si>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</si>
  <si>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</si>
  <si>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</si>
  <si>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</si>
  <si>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</si>
  <si>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</si>
  <si>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</si>
  <si>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</si>
  <si>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</si>
  <si>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</si>
  <si>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</si>
  <si>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</si>
  <si>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</si>
  <si>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</si>
  <si>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</si>
  <si>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</si>
  <si>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</si>
  <si>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</si>
  <si>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</si>
  <si>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</si>
  <si>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</si>
  <si>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</si>
  <si>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</si>
  <si>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</si>
  <si>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</si>
  <si>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</si>
  <si>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</si>
  <si>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</si>
  <si>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</si>
  <si>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</si>
  <si>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</si>
  <si>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</si>
  <si>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</si>
  <si>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</si>
  <si>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</si>
  <si>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</si>
  <si>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</si>
  <si>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</si>
  <si>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</si>
  <si>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</si>
  <si>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</si>
  <si>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</si>
  <si>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</si>
  <si>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</si>
  <si>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</si>
  <si>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</si>
  <si>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</si>
  <si>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</si>
  <si>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</si>
  <si>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</si>
  <si>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</si>
  <si>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</si>
  <si>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</si>
  <si>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</si>
  <si>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</si>
  <si>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</si>
  <si>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</si>
  <si>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</si>
  <si>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</si>
  <si>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</si>
  <si>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</si>
  <si>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</si>
  <si>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</si>
  <si>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</si>
  <si>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</si>
  <si>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</si>
  <si>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</si>
  <si>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</si>
  <si>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</si>
  <si>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</si>
  <si>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</si>
  <si>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</si>
  <si>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</si>
  <si>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</si>
  <si>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</si>
  <si>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</si>
  <si>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</si>
  <si>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</si>
  <si>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</si>
  <si>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</si>
  <si>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</si>
  <si>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</si>
  <si>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</si>
  <si>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</si>
  <si>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</si>
  <si>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</si>
  <si>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</si>
  <si>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</si>
  <si>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</si>
  <si>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</si>
  <si>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</si>
  <si>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</si>
  <si>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</si>
  <si>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</si>
  <si>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</si>
  <si>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</si>
  <si>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</si>
  <si>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</si>
  <si>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</si>
  <si>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</si>
  <si>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</si>
  <si>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</si>
  <si>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</si>
  <si>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</si>
  <si>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</si>
  <si>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</si>
  <si>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</si>
  <si>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</si>
  <si>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</si>
  <si>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</si>
  <si>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</si>
  <si>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</si>
  <si>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</si>
  <si>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</si>
  <si>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</si>
  <si>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</si>
  <si>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</si>
  <si>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</si>
  <si>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</si>
  <si>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</si>
  <si>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</si>
  <si>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</si>
  <si>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</si>
  <si>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</si>
  <si>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</si>
  <si>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</si>
  <si>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</si>
  <si>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</si>
  <si>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</si>
  <si>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</si>
  <si>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</si>
  <si>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</si>
  <si>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</si>
  <si>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</si>
  <si>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</si>
  <si>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</si>
  <si>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</si>
  <si>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</si>
  <si>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</si>
  <si>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</si>
  <si>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</si>
  <si>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</si>
  <si>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</si>
  <si>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</si>
  <si>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</si>
  <si>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</si>
  <si>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</si>
  <si>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</si>
  <si>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</si>
  <si>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</si>
  <si>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</si>
  <si>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</si>
  <si>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</si>
  <si>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</si>
  <si>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</si>
  <si>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</si>
  <si>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</si>
  <si>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</si>
  <si>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</si>
  <si>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</si>
  <si>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</si>
  <si>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</si>
  <si>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</si>
  <si>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</si>
  <si>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</si>
  <si>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</si>
  <si>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</si>
  <si>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</si>
  <si>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</si>
  <si>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</si>
  <si>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</si>
  <si>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</si>
  <si>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</si>
  <si>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</si>
  <si>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</si>
  <si>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</si>
  <si>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</si>
  <si>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</si>
  <si>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</si>
  <si>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</si>
  <si>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</si>
  <si>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</si>
  <si>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</si>
  <si>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</si>
  <si>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</si>
  <si>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</si>
  <si>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</si>
  <si>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</si>
  <si>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</si>
  <si>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</si>
  <si>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</si>
  <si>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</si>
  <si>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</si>
  <si>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</si>
  <si>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</si>
  <si>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</si>
  <si>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</si>
  <si>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</si>
  <si>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</si>
  <si>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</si>
  <si>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</si>
  <si>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</si>
  <si>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</si>
  <si>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</si>
  <si>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</si>
  <si>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</si>
  <si>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</si>
  <si>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</si>
  <si>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</si>
  <si>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</si>
  <si>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</si>
  <si>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</si>
  <si>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</si>
  <si>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</si>
  <si>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</si>
  <si>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</si>
  <si>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</si>
  <si>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</si>
  <si>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</si>
  <si>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</si>
  <si>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</si>
  <si>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</si>
  <si>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</si>
  <si>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</si>
  <si>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</si>
  <si>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</si>
  <si>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</si>
  <si>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</si>
  <si>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</si>
  <si>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</si>
  <si>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</si>
  <si>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</si>
  <si>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</si>
  <si>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</si>
  <si>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</si>
  <si>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</si>
  <si>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</si>
  <si>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</si>
  <si>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</si>
  <si>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</si>
  <si>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</si>
  <si>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</si>
  <si>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</si>
  <si>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</si>
  <si>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</si>
  <si>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</si>
  <si>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</si>
  <si>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</si>
  <si>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</si>
  <si>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</si>
  <si>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</si>
  <si>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</si>
  <si>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</si>
  <si>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</si>
  <si>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</si>
  <si>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</si>
  <si>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</si>
  <si>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</si>
  <si>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</si>
  <si>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</si>
  <si>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</si>
  <si>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</si>
  <si>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</si>
  <si>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</si>
  <si>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</si>
  <si>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</si>
  <si>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</si>
  <si>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</si>
  <si>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</si>
  <si>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</si>
  <si>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</si>
  <si>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</si>
  <si>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</si>
  <si>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</si>
  <si>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</si>
  <si>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</si>
  <si>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</si>
  <si>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</si>
  <si>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</si>
  <si>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</si>
  <si>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</si>
  <si>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</si>
  <si>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</si>
  <si>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</si>
  <si>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</si>
  <si>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</si>
  <si>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</si>
  <si>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</si>
  <si>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</si>
  <si>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</si>
  <si>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</si>
  <si>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</si>
  <si>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</si>
  <si>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</si>
  <si>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</si>
  <si>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</si>
  <si>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</si>
  <si>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</si>
  <si>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</si>
  <si>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</si>
  <si>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</si>
  <si>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</si>
  <si>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</si>
  <si>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</si>
  <si>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</si>
  <si>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</si>
  <si>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</si>
  <si>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</si>
  <si>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</si>
  <si>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</si>
  <si>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</si>
  <si>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</si>
  <si>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</si>
  <si>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</si>
  <si>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</si>
  <si>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</si>
  <si>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</si>
  <si>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</si>
  <si>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</si>
  <si>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</si>
  <si>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</si>
  <si>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</si>
  <si>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</si>
  <si>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</si>
  <si>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</si>
  <si>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</si>
  <si>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</si>
  <si>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</si>
  <si>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</si>
  <si>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</si>
  <si>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</si>
  <si>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</si>
  <si>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</si>
  <si>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</si>
  <si>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</si>
  <si>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</si>
  <si>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</si>
  <si>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</si>
  <si>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</si>
  <si>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</si>
  <si>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</si>
  <si>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</si>
  <si>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</si>
  <si>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</si>
  <si>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</si>
  <si>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</si>
  <si>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</si>
  <si>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</si>
  <si>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</si>
  <si>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</si>
  <si>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</si>
  <si>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</si>
  <si>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</si>
  <si>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</si>
  <si>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</si>
  <si>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</si>
  <si>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</si>
  <si>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</si>
  <si>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</si>
  <si>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</si>
  <si>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</si>
  <si>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</si>
  <si>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</si>
  <si>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</si>
  <si>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</si>
  <si>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</si>
  <si>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</si>
  <si>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</si>
  <si>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</si>
  <si>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</si>
  <si>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</si>
  <si>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</si>
  <si>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</si>
  <si>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</si>
  <si>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</si>
  <si>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</si>
  <si>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</si>
  <si>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</si>
  <si>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</si>
  <si>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</si>
  <si>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</si>
  <si>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</si>
  <si>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</si>
  <si>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</si>
  <si>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</si>
  <si>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</si>
  <si>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</si>
  <si>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</si>
  <si>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</si>
  <si>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</si>
  <si>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</si>
  <si>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</si>
  <si>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</si>
  <si>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</si>
  <si>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</si>
  <si>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</si>
  <si>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</si>
  <si>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</si>
  <si>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</si>
  <si>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</si>
  <si>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</si>
  <si>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</si>
  <si>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</si>
  <si>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</si>
  <si>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</si>
  <si>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</si>
  <si>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</si>
  <si>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</si>
  <si>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</si>
  <si>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</si>
  <si>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</si>
  <si>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</si>
  <si>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</si>
  <si>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</si>
  <si>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</si>
  <si>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</si>
  <si>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</si>
  <si>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</si>
  <si>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</si>
  <si>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</si>
  <si>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</si>
  <si>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</si>
  <si>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</si>
  <si>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</si>
  <si>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</si>
  <si>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</si>
  <si>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</si>
  <si>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</si>
  <si>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</si>
  <si>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</si>
  <si>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</si>
  <si>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</si>
  <si>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</si>
  <si>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</si>
  <si>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</si>
  <si>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</si>
  <si>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</si>
  <si>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</si>
  <si>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</si>
  <si>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</si>
  <si>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</si>
  <si>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</si>
  <si>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</si>
  <si>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</si>
  <si>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</si>
  <si>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</si>
  <si>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</si>
  <si>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</si>
  <si>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</si>
  <si>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</si>
  <si>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</si>
  <si>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</si>
  <si>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</si>
  <si>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</si>
  <si>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</si>
  <si>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</si>
  <si>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</si>
  <si>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</si>
  <si>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</si>
  <si>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</si>
  <si>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</si>
  <si>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</si>
  <si>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</si>
  <si>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</si>
  <si>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</si>
  <si>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</si>
  <si>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</si>
  <si>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</si>
  <si>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</si>
  <si>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</si>
  <si>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</si>
  <si>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</si>
  <si>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</si>
  <si>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</si>
  <si>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</si>
  <si>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</si>
  <si>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</si>
  <si>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</si>
  <si>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</si>
  <si>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</si>
  <si>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</si>
  <si>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</si>
  <si>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</si>
  <si>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</si>
  <si>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</si>
  <si>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</si>
  <si>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</si>
  <si>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</si>
  <si>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</si>
  <si>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</si>
  <si>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</si>
  <si>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</si>
  <si>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</si>
  <si>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</si>
  <si>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</si>
  <si>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</si>
  <si>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</si>
  <si>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</si>
  <si>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</si>
  <si>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</si>
  <si>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</si>
  <si>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</si>
  <si>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</si>
  <si>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</si>
  <si>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</si>
  <si>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</si>
  <si>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</si>
  <si>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</si>
  <si>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</si>
  <si>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</si>
  <si>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</si>
  <si>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</si>
  <si>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</si>
  <si>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</si>
  <si>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</si>
  <si>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</si>
  <si>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</si>
  <si>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</si>
  <si>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</si>
  <si>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</si>
  <si>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</si>
  <si>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</si>
  <si>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</si>
  <si>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</si>
  <si>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</si>
  <si>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</si>
  <si>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</si>
  <si>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</si>
  <si>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</si>
  <si>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</si>
  <si>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</si>
  <si>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</si>
  <si>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</si>
  <si>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</si>
  <si>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</si>
  <si>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</si>
  <si>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</si>
  <si>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</si>
  <si>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</si>
  <si>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</si>
  <si>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</si>
  <si>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</si>
  <si>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</si>
  <si>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</si>
  <si>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</si>
  <si>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</si>
  <si>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</si>
  <si>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</si>
  <si>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</si>
  <si>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</si>
  <si>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</si>
  <si>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</si>
  <si>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</si>
  <si>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</si>
  <si>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</si>
  <si>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</si>
  <si>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</si>
  <si>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</si>
  <si>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</si>
  <si>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</si>
  <si>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</si>
  <si>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</si>
  <si>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</si>
  <si>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</si>
  <si>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</si>
  <si>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</si>
  <si>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</si>
  <si>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</si>
  <si>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</si>
  <si>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</si>
  <si>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</si>
  <si>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</si>
  <si>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</si>
  <si>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</si>
  <si>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</si>
  <si>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</si>
  <si>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</si>
  <si>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</si>
  <si>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</si>
  <si>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</si>
  <si>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</si>
  <si>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</si>
  <si>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</si>
  <si>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</si>
  <si>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</si>
  <si>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</si>
  <si>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</si>
  <si>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</si>
  <si>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</si>
  <si>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</si>
  <si>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</si>
  <si>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</si>
  <si>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</si>
  <si>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</si>
  <si>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</si>
  <si>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</si>
  <si>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</si>
  <si>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</si>
  <si>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</si>
  <si>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</si>
  <si>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</si>
  <si>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</si>
  <si>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</si>
  <si>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</si>
  <si>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</si>
  <si>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</si>
  <si>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</si>
  <si>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</si>
  <si>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</si>
  <si>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</si>
  <si>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</si>
  <si>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</si>
  <si>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</si>
  <si>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</si>
  <si>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</si>
  <si>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</si>
  <si>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</si>
  <si>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</si>
  <si>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</si>
  <si>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</si>
  <si>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</si>
  <si>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</si>
  <si>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</si>
  <si>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</si>
  <si>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</si>
  <si>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</si>
  <si>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</si>
  <si>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</si>
  <si>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</si>
  <si>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</si>
  <si>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</si>
  <si>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</si>
  <si>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</si>
  <si>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</si>
  <si>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</si>
  <si>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</si>
  <si>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</si>
  <si>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</si>
  <si>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</si>
  <si>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</si>
  <si>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</si>
  <si>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</si>
  <si>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</si>
  <si>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</si>
  <si>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</si>
  <si>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</si>
  <si>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</si>
  <si>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</si>
  <si>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</si>
  <si>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</si>
  <si>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</si>
  <si>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</si>
  <si>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</si>
  <si>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</si>
  <si>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</si>
  <si>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</si>
  <si>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</si>
  <si>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</si>
  <si>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</si>
  <si>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</si>
  <si>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</si>
  <si>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</si>
  <si>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</si>
  <si>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</si>
  <si>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</si>
  <si>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</si>
  <si>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</si>
  <si>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</si>
  <si>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</si>
  <si>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</si>
  <si>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</si>
  <si>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</si>
  <si>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</si>
  <si>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</si>
  <si>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</si>
  <si>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</si>
  <si>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</si>
  <si>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</si>
  <si>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</si>
  <si>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</si>
  <si>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</si>
  <si>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</si>
  <si>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</si>
  <si>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</si>
  <si>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</si>
  <si>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</si>
  <si>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</si>
  <si>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</si>
  <si>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</si>
  <si>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</si>
  <si>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</si>
  <si>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</si>
  <si>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</si>
  <si>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</si>
  <si>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</si>
  <si>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</si>
  <si>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</si>
  <si>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</si>
  <si>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</si>
  <si>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</si>
  <si>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</si>
  <si>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</si>
  <si>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</si>
  <si>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</si>
  <si>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</si>
  <si>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</si>
  <si>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</si>
  <si>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</si>
  <si>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</si>
  <si>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</si>
  <si>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</si>
  <si>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</si>
  <si>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</si>
  <si>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</si>
  <si>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</si>
  <si>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</si>
  <si>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</si>
  <si>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</si>
  <si>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</si>
  <si>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</si>
  <si>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</si>
  <si>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</si>
  <si>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</si>
  <si>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</si>
  <si>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</si>
  <si>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</si>
  <si>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</si>
  <si>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</si>
  <si>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</si>
  <si>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</si>
  <si>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</si>
  <si>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</si>
  <si>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</si>
  <si>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</si>
  <si>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</si>
  <si>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</si>
  <si>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</si>
  <si>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</si>
  <si>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</si>
  <si>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</si>
  <si>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</si>
  <si>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</si>
  <si>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</si>
  <si>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</si>
  <si>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</si>
  <si>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</si>
  <si>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</si>
  <si>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</si>
  <si>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</si>
  <si>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</si>
  <si>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</si>
  <si>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</si>
  <si>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</si>
  <si>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</si>
  <si>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</si>
  <si>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</si>
  <si>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</si>
  <si>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</si>
  <si>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</si>
  <si>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</si>
  <si>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</si>
  <si>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</si>
  <si>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</si>
  <si>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</si>
  <si>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</si>
  <si>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</si>
  <si>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</si>
  <si>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</si>
  <si>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</si>
  <si>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</si>
  <si>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</si>
  <si>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</si>
  <si>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</si>
  <si>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</si>
  <si>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</si>
  <si>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</si>
  <si>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</si>
  <si>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</si>
  <si>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</si>
  <si>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</si>
  <si>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</si>
  <si>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</si>
  <si>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</si>
  <si>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</si>
  <si>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</si>
  <si>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</si>
  <si>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</si>
  <si>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</si>
  <si>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</si>
  <si>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</si>
  <si>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</si>
  <si>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</si>
  <si>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</si>
  <si>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</si>
  <si>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</si>
  <si>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</si>
  <si>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</si>
  <si>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</si>
  <si>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</si>
  <si>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</si>
  <si>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</si>
  <si>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</si>
  <si>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</si>
  <si>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</si>
  <si>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</si>
  <si>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</si>
  <si>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</si>
  <si>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</si>
  <si>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</si>
  <si>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</si>
  <si>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</si>
  <si>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</si>
  <si>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</si>
  <si>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</si>
  <si>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</si>
  <si>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</si>
  <si>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</si>
  <si>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</si>
  <si>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</si>
  <si>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</si>
  <si>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</si>
  <si>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</si>
  <si>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</si>
  <si>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</si>
  <si>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</si>
  <si>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</si>
  <si>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</si>
  <si>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</si>
  <si>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</si>
  <si>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</si>
  <si>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</si>
  <si>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</si>
  <si>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</si>
  <si>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</si>
  <si>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</si>
  <si>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</si>
  <si>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</si>
  <si>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</si>
  <si>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</si>
  <si>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</si>
  <si>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</si>
  <si>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</si>
  <si>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</si>
  <si>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</si>
  <si>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</si>
  <si>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</si>
  <si>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</si>
  <si>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</si>
  <si>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</si>
  <si>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</si>
  <si>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</si>
  <si>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</si>
  <si>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</si>
  <si>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</si>
  <si>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</si>
  <si>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</si>
  <si>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</si>
  <si>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</si>
  <si>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</si>
  <si>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</si>
  <si>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</si>
  <si>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</si>
  <si>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</si>
  <si>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</si>
  <si>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</si>
  <si>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</si>
  <si>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</si>
  <si>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</si>
  <si>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</si>
  <si>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</si>
  <si>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Skeleton</t>
  </si>
  <si>
    <t>Death Knight</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</si>
  <si>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</si>
  <si>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</si>
  <si>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</si>
  <si>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</si>
  <si>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</si>
  <si>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</si>
  <si>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</si>
  <si>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</si>
  <si>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OD Round 39</t>
  </si>
  <si>
    <t>+1% max population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</si>
</sst>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totalsRow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totalsRowDxfId="816">
      <calculatedColumnFormula>IF(TblPop[[#This Row],[Military%]]&lt;TblMili[[#This Row],[Draftrate]],ROUND(TblPop[[#This Row],[Peasants]]*Constants!$B$55,0), 0)</calculatedColumnFormula>
    </tableColumn>
    <tableColumn id="27" xr3:uid="{858CE2A0-AC9E-46FE-9A70-AED1578889CB}" name="...." dataDxfId="815" totalsRowDxfId="814"/>
    <tableColumn id="28" xr3:uid="{B271B9C7-94D1-498F-9FBB-69DF5F1BCE3F}" name="Growth" dataDxfId="813" totalsRowDxfId="812"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1" totalsRowDxfId="810"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1" dataDxfId="799" headerRowBorderDxfId="800" tableBorderDxfId="79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7"/>
    <tableColumn id="2" xr3:uid="{A509F8BB-FCD1-4951-8F3F-2AE2B32FB91D}" name="Time" dataDxfId="796">
      <calculatedColumnFormula>TblImps[[#This Row],[Time]]</calculatedColumnFormula>
    </tableColumn>
    <tableColumn id="3" xr3:uid="{BD173BCD-6C73-484D-BDFC-2CBFE8B32234}" name="Plat Bonus" dataDxfId="795"/>
    <tableColumn id="4" xr3:uid="{9A9B3DEC-EBEC-4801-BF4F-F90BBBCDF331}" name="." dataDxfId="794"/>
    <tableColumn id="5" xr3:uid="{6F9B5905-FA1D-4099-B9CC-6BE237355D58}" name="Land" dataDxfId="793">
      <calculatedColumnFormula>TblConstr[[#This Row],[Land]]</calculatedColumnFormula>
    </tableColumn>
    <tableColumn id="6" xr3:uid="{5ADA8DA4-36DC-4D4F-AE4E-76BDD26AF270}" name="Peasants" dataDxfId="792">
      <calculatedColumnFormula>TblPop[[#This Row],[Peasants]]</calculatedColumnFormula>
    </tableColumn>
    <tableColumn id="7" xr3:uid="{EE7F0FC7-4D30-4144-88EE-9A05AD7BF609}" name="Networth" dataDxfId="791">
      <calculatedColumnFormula>TblMili[[#This Row],[Networth (2)]]</calculatedColumnFormula>
    </tableColumn>
    <tableColumn id="8" xr3:uid="{F7B8E7A7-7AD4-4D83-8297-946670C39E55}" name="Platinum" dataDxfId="79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8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7">
      <calculatedColumnFormula>OFFSET(TblProd[[#This Row],[Mana]],-1,0)+OFFSET(TblProd[[#This Row],[Mana/hr]],-1,0)- TblProd[[#This Row],[Expenses Mana]]</calculatedColumnFormula>
    </tableColumn>
    <tableColumn id="12" xr3:uid="{C80C4246-7273-429F-BE79-86B1B4181061}" name="Ore" dataDxfId="786">
      <calculatedColumnFormula>OFFSET(TblProd[[#This Row],[Ore]],-1,0)+OFFSET(TblProd[[#This Row],[Ore/hr]],-1,0) -TblProd[[#This Row],[Expenses Ore]]</calculatedColumnFormula>
    </tableColumn>
    <tableColumn id="13" xr3:uid="{4174B9D9-5881-42F2-A514-2A7372C2B486}" name="Gems" dataDxfId="785">
      <calculatedColumnFormula>OFFSET(TblProd[[#This Row],[Gems]],-1,0)+OFFSET(TblProd[[#This Row],[Gems/hr]],-1,0) - TblProd[[#This Row],[Expenses Gems]]</calculatedColumnFormula>
    </tableColumn>
    <tableColumn id="14" xr3:uid="{C9DF5508-173B-4E9B-BD32-3313FC0AECA9}" name="Boats" dataDxfId="784">
      <calculatedColumnFormula>OFFSET(TblProd[[#This Row],[Boats]],-1,0)+OFFSET(TblProd[[#This Row],[Boats/hr]],-1,0)</calculatedColumnFormula>
    </tableColumn>
    <tableColumn id="15" xr3:uid="{C2EE37F5-4C79-4BD9-BE97-5B3BBB490CD3}" name="Prestige" dataDxfId="783">
      <calculatedColumnFormula>OFFSET(TblProd[[#This Row],[Prestige]],-1,0)</calculatedColumnFormula>
    </tableColumn>
    <tableColumn id="16" xr3:uid="{5EEA2772-71AB-4FF8-BF5F-D1D5B4044943}" name="Techpoints" dataDxfId="78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1">
      <calculatedColumnFormula>MAX(3900,_xlfn.CEILING.MATH(3600+TblProd[[#This Row],[Land]]*0.65+OFFSET(TblTech[[#This Row],[Sum of tech]],-1,0)*150))</calculatedColumnFormula>
    </tableColumn>
    <tableColumn id="18" xr3:uid="{BC60D6AE-146D-440E-93B9-050DE2CAED7A}" name=".." dataDxfId="780"/>
    <tableColumn id="19" xr3:uid="{F7A6187F-1DDE-45C0-B221-8BA0937C4E35}" name="Plat/hr" dataDxfId="779">
      <calculatedColumnFormula>ROUNDDOWN(TblProd[[#This Row],[Raw Plat/hr]]*(1+TblProd[[#This Row],[Bonus Plat/hr]]),0)</calculatedColumnFormula>
    </tableColumn>
    <tableColumn id="20" xr3:uid="{EBA5F35A-607A-475E-9357-98AF551D44A6}" name="Food/hr" dataDxfId="778">
      <calculatedColumnFormula>ROUND(TblProd[[#This Row],[Raw Food/hr]]*(1+TblProd[[#This Row],[Bonus Food/hr]])-TblProd[[#This Row],[Food decay]]-TblProd[[#This Row],[Food eaten]],0)</calculatedColumnFormula>
    </tableColumn>
    <tableColumn id="21" xr3:uid="{D75AA2A6-F107-4144-8A7D-4BE575236288}" name="Lumber/hr" dataDxfId="777">
      <calculatedColumnFormula>ROUND(TblProd[[#This Row],[Raw Lumber/hr]]*(1+TblProd[[#This Row],[Bonus Lumber/hr]])-TblProd[[#This Row],[Lumber rot]],0)</calculatedColumnFormula>
    </tableColumn>
    <tableColumn id="22" xr3:uid="{4AA82FE8-7AD6-4F9E-B8A1-627CE2E70CE0}" name="Mana/hr" dataDxfId="776">
      <calculatedColumnFormula>ROUND(TblProd[[#This Row],[Raw Mana/hr]]*(1+TblProd[[#This Row],[Bonus Mana/hr]])-TblProd[[#This Row],[Mana drain]],0)</calculatedColumnFormula>
    </tableColumn>
    <tableColumn id="23" xr3:uid="{86A49F4B-CDA3-4B61-B4D9-8830178E715E}" name="Ore/hr" dataDxfId="775">
      <calculatedColumnFormula>ROUNDDOWN(TblProd[[#This Row],[Raw Ore/hr]]*(1+TblProd[[#This Row],[Bonux Ore/hr]]),0)</calculatedColumnFormula>
    </tableColumn>
    <tableColumn id="24" xr3:uid="{F7C3BCF1-3F12-4405-8E19-ED1B9D20D049}" name="Gems/hr" dataDxfId="774">
      <calculatedColumnFormula>ROUNDDOWN(TblProd[[#This Row],[Raw Gems/hr]]*(1+TblProd[[#This Row],[Bonus Gems/hr]]),0)</calculatedColumnFormula>
    </tableColumn>
    <tableColumn id="25" xr3:uid="{E754A630-9007-4F8A-A8B7-C56609E09275}" name="Boats/hr" dataDxfId="773">
      <calculatedColumnFormula>OFFSET(TblConstr[[#This Row],[Tot Doc]],1,0)*dock_boats_hr * (1 + tech_4_1*TblTech[[#This Row],[4-1]])</calculatedColumnFormula>
    </tableColumn>
    <tableColumn id="26" xr3:uid="{8666710D-F3A4-4016-AA32-8D95B9BFFE3D}" name="…" dataDxfId="772"/>
    <tableColumn id="27" xr3:uid="{BE5DAA3C-8D26-4E0F-87D4-E9FE3E149040}" name="Raw Plat/hr" dataDxfId="771">
      <calculatedColumnFormula>TblPop[[#This Row],[Peasants]]*tax*TblPop[[#This Row],[Employment]] + (Construction!AZ5+Construction!BX5)*(alch_plat+(Magic!AM4&gt;0)*alchemist_flame_bonus)</calculatedColumnFormula>
    </tableColumn>
    <tableColumn id="28" xr3:uid="{72437831-3C94-4E01-9B66-637CE9F1FC37}" name="Raw Food/hr" dataDxfId="770">
      <calculatedColumnFormula>TblConstr[[#This Row],[Tot Farm]]*farm_food + TblConstr[[#This Row],[Tot Doc]]*dock_food</calculatedColumnFormula>
    </tableColumn>
    <tableColumn id="29" xr3:uid="{6327048A-17B4-47F0-A6D6-4DF606F8872E}" name="Raw Lumber/hr" dataDxfId="769">
      <calculatedColumnFormula>TblConstr[[#This Row],[Tot Ly]]*ly_lumber + TblConstr[[#This Row],[Tot Hav]]*fh_lumber</calculatedColumnFormula>
    </tableColumn>
    <tableColumn id="30" xr3:uid="{9564EF02-956D-4988-B195-94F7CC0C966B}" name="Raw Mana/hr" dataDxfId="768">
      <calculatedColumnFormula>OFFSET(TblConstr[[#This Row],[Tot Tow]],1,0)*(tower_mana + tech_4_5*TblTech[[#This Row],[4-5]]) + OFFSET(TblConstr[[#This Row],[Tot WG]],1,0)*wg_mana_prod</calculatedColumnFormula>
    </tableColumn>
    <tableColumn id="31" xr3:uid="{1FCC3E78-11E8-4286-A9C0-F9F5FA32B54A}" name="Raw Ore/hr" dataDxfId="767">
      <calculatedColumnFormula>OFFSET(TblConstr[[#This Row],[Tot OM]],1,0)*om_ore+IF(race="Dwarf",ROUNDDOWN(TblMili[[#This Row],[Unit 2]]*0.4,0),)</calculatedColumnFormula>
    </tableColumn>
    <tableColumn id="32" xr3:uid="{8AFDB340-E76D-4906-8F67-515703AD5439}" name="Raw Gems/hr" dataDxfId="766">
      <calculatedColumnFormula>OFFSET(TblConstr[[#This Row],[Tot DM]],1,0)*dm_gems</calculatedColumnFormula>
    </tableColumn>
    <tableColumn id="33" xr3:uid="{E86B471A-FB4B-478C-B269-80AA28A99240}" name="...." dataDxfId="765"/>
    <tableColumn id="34" xr3:uid="{9F134F8D-9272-4F13-BEA1-036303BDF806}" name="Bonus Plat/hr" dataDxfId="764">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3">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1">
      <calculatedColumnFormula>race_mana_bonus+ 0 + TblImps[[#This Row],[Towers]] + tech_1_2*TblTech[[#This Row],[1-2]] + tech_3_4*TblTech[[#This Row],[3-4]]</calculatedColumnFormula>
    </tableColumn>
    <tableColumn id="38" xr3:uid="{86499F2E-9498-4D5B-8626-C51CB440415E}" name="Bonux Ore/hr" dataDxfId="76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59">
      <calculatedColumnFormula>race_gem_bonus+ tech_3_2*TblTech[[#This Row],[3-2]] + tech_4_3*TblTech[[#This Row],[4-3]] + tech_6_2*TblTech[[#This Row],[6-2]]</calculatedColumnFormula>
    </tableColumn>
    <tableColumn id="40" xr3:uid="{13CEE817-130E-4D49-8EA9-E724A91FD06F}" name="…." dataDxfId="758"/>
    <tableColumn id="41" xr3:uid="{6AD9C25C-A77A-4288-B914-DEAB151F3EBD}" name="Food decay" dataDxfId="757">
      <calculatedColumnFormula>TblProd[[#This Row],[Food]]*food_decay * (1 + tech_2_1*TblTech[[#This Row],[2-1]] + tech_2_8*TblTech[[#This Row],[2-8]])</calculatedColumnFormula>
    </tableColumn>
    <tableColumn id="42" xr3:uid="{B67A5DCA-7223-49B6-A0AC-BE56416DEAB6}" name="Food eaten" dataDxfId="756">
      <calculatedColumnFormula>(1+race_food_consumption)*TblPop[[#This Row],[Total]]*food_per_person*(1+tech_1_10*TblTech[[#This Row],[1-10]]+tech_7_5*TblTech[[#This Row],[7-5]])</calculatedColumnFormula>
    </tableColumn>
    <tableColumn id="43" xr3:uid="{2D142E97-FF43-492A-B271-A145B85E0BF3}" name="Lumber rot" dataDxfId="755">
      <calculatedColumnFormula>TblProd[[#This Row],[Lumber]]*lumber_rot * (1 + tech_2_1*TblTech[[#This Row],[2-1]] + tech_2_8*TblTech[[#This Row],[2-8]] + tech_5_2*TblTech[[#This Row],[5-2]])</calculatedColumnFormula>
    </tableColumn>
    <tableColumn id="44" xr3:uid="{B4C1A120-AC06-46C7-8824-18C19DD19A05}" name="Mana drain" dataDxfId="754">
      <calculatedColumnFormula>TblProd[[#This Row],[Mana]]*mana_drain * (1 + tech_2_1*TblTech[[#This Row],[2-1]] + tech_2_8*TblTech[[#This Row],[2-8]])</calculatedColumnFormula>
    </tableColumn>
    <tableColumn id="45" xr3:uid="{D3D223E8-8991-4557-84CB-F59345A9686F}" name="….." dataDxfId="753"/>
    <tableColumn id="46" xr3:uid="{0EFE67ED-4C56-4E46-B6BE-B5FAFB53783E}" name="Expenses Platinum" dataDxfId="75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1">
      <calculatedColumnFormula>TblConstr[[#This Row],[Total Lum Cost]]+TblImps[[#This Row],[L1]]-TblProd[[#This Row],[Bank Lumber]] + Military!$CL$25*TblMili[[#This Row],[Sec. rec. Cost]]</calculatedColumnFormula>
    </tableColumn>
    <tableColumn id="48" xr3:uid="{3C88EFC6-8DA5-40ED-A97A-2AAFD0B3B6AD}" name="Expenses Mana" dataDxfId="750">
      <calculatedColumnFormula>TblMagic[[#This Row],[Mana cost]] + Military!$CL$26*TblMili[[#This Row],[Sec. rec. Cost]]</calculatedColumnFormula>
    </tableColumn>
    <tableColumn id="49" xr3:uid="{1E4E3815-206F-4A61-AE33-CA14E995FDCB}" name="Expenses Ore" dataDxfId="749">
      <calculatedColumnFormula>Military!$CL$24*TblMili[[#This Row],[Sec. rec. Cost]]+TblImps[[#This Row],[O1]]-TblProd[[#This Row],[Bank Ore]]</calculatedColumnFormula>
    </tableColumn>
    <tableColumn id="50" xr3:uid="{8DF861B9-6D00-413F-82A6-CB9FB4344D68}" name="Expenses Gems" dataDxfId="748">
      <calculatedColumnFormula>TblImps[[#This Row],[G1]]-TblProd[[#This Row],[Bank Gems]]</calculatedColumnFormula>
    </tableColumn>
    <tableColumn id="51" xr3:uid="{B251D943-2DAF-44E5-BCC8-D6734C7115AC}" name="…..." dataDxfId="747"/>
    <tableColumn id="52" xr3:uid="{4B9E6D84-D900-4020-9F03-31B7E7CFFDDD}" name="Guard" dataDxfId="746">
      <calculatedColumnFormula>IF(TblProd[[#This Row],[Set Guard]]&lt;&gt;"",TblProd[[#This Row],[Set Guard]],OFFSET(TblProd[[#This Row],[Guard]],-1,0))</calculatedColumnFormula>
    </tableColumn>
    <tableColumn id="53" xr3:uid="{1F4E66ED-8544-4DEE-A238-E9BA6D663684}" name="Set Guard" dataDxfId="745"/>
    <tableColumn id="54" xr3:uid="{1D4B089E-CFD3-41C4-BDA0-74070303A629}" name="Hour (2)" dataDxfId="744">
      <calculatedColumnFormula>TblProd[[#This Row],[Hour]]</calculatedColumnFormula>
    </tableColumn>
    <tableColumn id="55" xr3:uid="{13D8CC8A-81E1-41BB-9F87-384EE02343C0}" name="Bank Plat" dataDxfId="743">
      <calculatedColumnFormula>-TblProd[[#This Row],[Bank Lumber]] / 2 + -TblProd[[#This Row],[Bank Gems]] * 2 + -TblProd[[#This Row],[Bank Ore]] / 2</calculatedColumnFormula>
    </tableColumn>
    <tableColumn id="56" xr3:uid="{41D3199A-B537-41B8-A35D-AB3FAE3A7763}" name="Bank Lumber" dataDxfId="742"/>
    <tableColumn id="57" xr3:uid="{F8C6B652-BED5-46E0-B507-4A728112F421}" name="Bank Ore" dataDxfId="741"/>
    <tableColumn id="58" xr3:uid="{0A836235-2002-4186-985F-CF495776E28E}" name="Bank Gems" dataDxfId="740"/>
    <tableColumn id="59" xr3:uid="{56B680F7-B10A-487B-B563-4297DE674256}" name="Time (2)" dataDxfId="739">
      <calculatedColumnFormula>TblProd[[#This Row],[Time]]</calculatedColumnFormula>
    </tableColumn>
    <tableColumn id="60" xr3:uid="{B3E3CCBD-6079-4735-A75E-072E37E0325B}" name="Ok?" dataDxfId="73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7">
      <calculatedColumnFormula>TblProd[[#This Row],[Platinum]]</calculatedColumnFormula>
    </tableColumn>
    <tableColumn id="62" xr3:uid="{BAE994A1-A5C4-42FD-B88E-93A7F2337723}" name="Stats Food" dataDxfId="736">
      <calculatedColumnFormula>TblProd[[#This Row],[Food]]</calculatedColumnFormula>
    </tableColumn>
    <tableColumn id="63" xr3:uid="{8FF996E7-6950-42AE-80FE-25BD3D3ADB81}" name="Stats Lumber" dataDxfId="735">
      <calculatedColumnFormula>TblProd[[#This Row],[Lumber]]</calculatedColumnFormula>
    </tableColumn>
    <tableColumn id="64" xr3:uid="{4E3282B4-65CE-45FC-B881-93C3F98E36E0}" name="Stats Mana" dataDxfId="734">
      <calculatedColumnFormula>TblProd[[#This Row],[Mana]]</calculatedColumnFormula>
    </tableColumn>
    <tableColumn id="65" xr3:uid="{C1490C22-CEF7-430F-B6CC-F7FDA2F90C17}" name="Stats Ore" dataDxfId="73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4" dataDxfId="712" totalsRowDxfId="710" headerRowBorderDxfId="713" tableBorderDxfId="71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9" totalsRowDxfId="708">
      <calculatedColumnFormula>TblRezone[[#This Row],[Hour]]</calculatedColumnFormula>
    </tableColumn>
    <tableColumn id="1" xr3:uid="{16A4A80A-781E-4E74-BC12-3B194ED2F6BF}" name="Barren" dataDxfId="707" totalsRowDxfId="706">
      <calculatedColumnFormula>SUM(TblConstr[[#This Row],[Plain]:[Water]])</calculatedColumnFormula>
    </tableColumn>
    <tableColumn id="2" xr3:uid="{F83194BF-B786-4A33-B371-25BE7289AC68}" name="Buildings" dataDxfId="705" totalsRowDxfId="704">
      <calculatedColumnFormula>SUM(TblConstr[[#This Row],[Tot Hom]:[Tot Doc]])</calculatedColumnFormula>
    </tableColumn>
    <tableColumn id="3" xr3:uid="{343846C5-19E9-4357-B5DD-B105ACEC8C2C}" name="Incoming" dataDxfId="703" totalsRowDxfId="702"/>
    <tableColumn id="4" xr3:uid="{A20911DB-7155-4794-AD46-07AAD44BDAFE}" name="." dataDxfId="701" totalsRowDxfId="700"/>
    <tableColumn id="5" xr3:uid="{279706A5-BDE6-4F21-9D4E-93DD796722CB}" name="Land" dataDxfId="699" totalsRowDxfId="698">
      <calculatedColumnFormula>TblConstr[[#This Row],[Barren]]+TblConstr[[#This Row],[Buildings]]+TblConstr[[#This Row],[Incoming]]</calculatedColumnFormula>
    </tableColumn>
    <tableColumn id="6" xr3:uid="{8D16C913-6FBB-42B5-890E-7AA3F7D780F3}" name="Plain" dataDxfId="697" totalsRowDxfId="696">
      <calculatedColumnFormula>OFFSET(TblConstr[[#This Row],[Plain]],-1,0)+TblConstr[[#This Row],[Ch_Plain]]</calculatedColumnFormula>
    </tableColumn>
    <tableColumn id="7" xr3:uid="{ECABDC59-2CFA-4924-832F-64BD947684FE}" name="Forest" dataDxfId="695" totalsRowDxfId="694">
      <calculatedColumnFormula>OFFSET(TblConstr[[#This Row],[Forest]],-1,0)+TblConstr[[#This Row],[Ch_Forest]]</calculatedColumnFormula>
    </tableColumn>
    <tableColumn id="8" xr3:uid="{AD888BC9-7B2A-431B-912B-F76B183C4BC2}" name="Mountain" dataDxfId="693" totalsRowDxfId="692">
      <calculatedColumnFormula>OFFSET(TblConstr[[#This Row],[Mountain]],-1,0)+TblConstr[[#This Row],[Ch_Mountain]]</calculatedColumnFormula>
    </tableColumn>
    <tableColumn id="9" xr3:uid="{B9F107CC-9E87-47F0-9669-7B4E32869962}" name="Hill" dataDxfId="691" totalsRowDxfId="690">
      <calculatedColumnFormula>OFFSET(TblConstr[[#This Row],[Hill]],-1,0)+TblConstr[[#This Row],[Ch_Hill]]</calculatedColumnFormula>
    </tableColumn>
    <tableColumn id="10" xr3:uid="{8067675A-D7AC-461C-B5B4-B2FDA278D46E}" name="Swamp" dataDxfId="689" totalsRowDxfId="688">
      <calculatedColumnFormula>OFFSET(TblConstr[[#This Row],[Swamp]],-1,0)+TblConstr[[#This Row],[Ch_Swamp]]</calculatedColumnFormula>
    </tableColumn>
    <tableColumn id="11" xr3:uid="{F6E4B820-D719-41FF-A537-55FE6AFBAF0E}" name="Cavern" dataDxfId="687" totalsRowDxfId="686">
      <calculatedColumnFormula>OFFSET(TblConstr[[#This Row],[Cavern]],-1,0)+TblConstr[[#This Row],[Ch_Cavern]]</calculatedColumnFormula>
    </tableColumn>
    <tableColumn id="12" xr3:uid="{54552E9E-E771-4104-87F6-20952C6A2D90}" name="Water" dataDxfId="685" totalsRowDxfId="684">
      <calculatedColumnFormula>OFFSET(TblConstr[[#This Row],[Water]],-1,0)+TblConstr[[#This Row],[Ch_Water]]</calculatedColumnFormula>
    </tableColumn>
    <tableColumn id="112" xr3:uid="{68F0FBE6-EBED-4B66-81D6-A19DB934C48D}" name="Hour  " dataDxfId="683" totalsRowDxfId="682">
      <calculatedColumnFormula>TblRezone[[#This Row],[Hour]]</calculatedColumnFormula>
    </tableColumn>
    <tableColumn id="14" xr3:uid="{6A739C2B-FED1-46DE-A6EC-2761E132E225}" name="Hom" dataDxfId="681" totalsRowDxfId="680"/>
    <tableColumn id="15" xr3:uid="{E50EB7D2-A060-4B91-920B-B3335EF23400}" name="Alc" dataDxfId="679" totalsRowDxfId="678"/>
    <tableColumn id="16" xr3:uid="{E3F8F390-578A-46F4-8079-68503504AE5A}" name="Far" dataDxfId="677" totalsRowDxfId="676"/>
    <tableColumn id="17" xr3:uid="{CC502929-3E3E-483C-AA45-1E8DC6E6F788}" name="Smi" dataDxfId="675" totalsRowDxfId="674"/>
    <tableColumn id="18" xr3:uid="{2849017C-83D2-48CF-BAFC-E8180F6B87B3}" name="Mas" dataDxfId="673" totalsRowDxfId="672"/>
    <tableColumn id="19" xr3:uid="{902080F0-045E-460C-8A94-D28082F0684A}" name="Ly" dataDxfId="671" totalsRowDxfId="670"/>
    <tableColumn id="20" xr3:uid="{74F11359-7A83-40C9-8D72-4E7342A4C5F6}" name="Hav" dataDxfId="669" totalsRowDxfId="668"/>
    <tableColumn id="21" xr3:uid="{2F4CD982-1BA1-4887-BEEF-D1CEDDFDCD98}" name="OM" dataDxfId="667" totalsRowDxfId="666"/>
    <tableColumn id="22" xr3:uid="{8FB86139-1373-407A-B799-7C5D49EF3A26}" name="GN" dataDxfId="665" totalsRowDxfId="664"/>
    <tableColumn id="23" xr3:uid="{283576BE-DC2F-4C4A-B83A-40303ED03A64}" name="Fac" dataDxfId="663" totalsRowDxfId="662"/>
    <tableColumn id="24" xr3:uid="{5CFB0CBF-3773-41F6-9B86-E1678AA28900}" name="GT" dataDxfId="661" totalsRowDxfId="660"/>
    <tableColumn id="25" xr3:uid="{19E4F682-9015-4478-9312-A3022D1FEEE9}" name="Bar" dataDxfId="659" totalsRowDxfId="658"/>
    <tableColumn id="26" xr3:uid="{013252D4-D385-4331-9170-92B5C8BB4C64}" name="Shr" dataDxfId="657" totalsRowDxfId="656"/>
    <tableColumn id="27" xr3:uid="{D4B27941-E688-419F-8B6F-B73F6CF2AB5B}" name="Tow" dataDxfId="655" totalsRowDxfId="654"/>
    <tableColumn id="28" xr3:uid="{17047BB4-364B-45DB-830B-858C7BD30B39}" name="Tem" dataDxfId="653" totalsRowDxfId="652"/>
    <tableColumn id="29" xr3:uid="{8910E8E2-8D7F-45E2-8559-CB4F40D25EB8}" name="WG" dataDxfId="651" totalsRowDxfId="650"/>
    <tableColumn id="30" xr3:uid="{BDAAD77D-88DB-4E61-9C07-44CAE4913F4B}" name="DM" dataDxfId="649" totalsRowDxfId="648"/>
    <tableColumn id="31" xr3:uid="{BFDB5F50-9A23-4E21-AEF0-8F150174C5D9}" name="Sch" dataDxfId="647" totalsRowDxfId="646"/>
    <tableColumn id="32" xr3:uid="{F4596035-B7F8-4B94-9B36-37B190EBF2F5}" name="Doc" dataDxfId="645" totalsRowDxfId="644"/>
    <tableColumn id="33" xr3:uid="{B506678F-5C96-41A2-B16E-01903002457C}" name="time" dataDxfId="643" totalsRowDxfId="642">
      <calculatedColumnFormula>TblImps[[#This Row],[Time]]</calculatedColumnFormula>
    </tableColumn>
    <tableColumn id="34" xr3:uid="{BBF9E4A7-4AD1-4256-838E-84E222A5E5B5}" name="Facs -DB" dataDxfId="641" totalsRowDxfId="640" dataCellStyle="Percent">
      <calculatedColumnFormula>MIN(25%,(TblConstr[[#This Row],[Tot Fac]]+TblConstr[[#This Row],[Dest Fac]])/(TblConstr[[#This Row],[Land]]-TblExplore[[#This Row],[Land Bonus]]*20))</calculatedColumnFormula>
    </tableColumn>
    <tableColumn id="35" xr3:uid="{CE9651FB-E7AA-4AC3-9369-D03ACA26B669}" name="Facs DB" dataDxfId="639" totalsRowDxfId="638" dataCellStyle="Percent">
      <calculatedColumnFormula>MIN(25%,(TblConstr[[#This Row],[Tot Fac]]+TblConstr[[#This Row],[Dest Fac]])/TblConstr[[#This Row],[Land]])</calculatedColumnFormula>
    </tableColumn>
    <tableColumn id="36" xr3:uid="{09991F89-DEAA-4698-A25A-D13F6565EDD4}" name="Platinum" dataDxfId="637" totalsRowDxfId="636">
      <calculatedColumnFormula>TblProd[[#This Row],[Platinum]]</calculatedColumnFormula>
    </tableColumn>
    <tableColumn id="37" xr3:uid="{98B47891-EB31-4D7F-8AC4-80255A877681}" name="Lumber" dataDxfId="635" totalsRowDxfId="634">
      <calculatedColumnFormula>TblProd[[#This Row],[Lumber]]</calculatedColumnFormula>
    </tableColumn>
    <tableColumn id="38" xr3:uid="{4BCC987F-ABDB-4939-B66E-9E39DDB56076}" name="CPA Platinum -DB" dataDxfId="633" totalsRowDxfId="63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1" totalsRowDxfId="63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29" totalsRowDxfId="62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7" totalsRowDxfId="62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5" totalsRowDxfId="624">
      <calculatedColumnFormula>TblConstr[[#This Row],[build -db]]*TblConstr[[#This Row],[CPA Platinum -DB]] + TblConstr[[#This Row],[build db]]*TblConstr[[#This Row],[CPA Platinum DB]]</calculatedColumnFormula>
    </tableColumn>
    <tableColumn id="43" xr3:uid="{F2E3CBCF-A243-4043-87E8-17546293A159}" name="Total Lum Cost" dataDxfId="623" totalsRowDxfId="622">
      <calculatedColumnFormula>TblConstr[[#This Row],[build -db]]*TblConstr[[#This Row],[CPA Lumber -DB]]+TblConstr[[#This Row],[build db]]*TblConstr[[#This Row],[CPA Lumber DB]]</calculatedColumnFormula>
    </tableColumn>
    <tableColumn id="44" xr3:uid="{119F0A26-AFE5-4C99-86DF-E2019D697B1F}" name="build -db" dataDxfId="621" totalsRowDxfId="62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9" totalsRowDxfId="61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7" totalsRowDxfId="616"/>
    <tableColumn id="47" xr3:uid="{2AB27BA8-C2B6-44FC-89D1-B8C469C03A31}" name="RCPA Platinum " dataDxfId="615" totalsRowDxfId="614">
      <calculatedColumnFormula>ROUND((TblConstr[[#This Row],[Land]]-250 - IF(TblExplore[[#This Row],[Land Bonus]]&lt;&gt;0,20,0))*1.25 + 850 + 0,0)</calculatedColumnFormula>
    </tableColumn>
    <tableColumn id="48" xr3:uid="{745E4D31-3689-4F62-A15B-2D5399E746CA}" name="RCPA Lumber" dataDxfId="613">
      <calculatedColumnFormula>ROUND((TblConstr[[#This Row],[Land]]-250 - IF(TblExplore[[#This Row],[Land Bonus]]&lt;&gt;0,20,0))*0.285 + 87.5 + 0/4.25,0)</calculatedColumnFormula>
    </tableColumn>
    <tableColumn id="49" xr3:uid="{619C112A-EE5A-4710-AF52-5843FF4DB054}" name="…" dataDxfId="612" totalsRowDxfId="611"/>
    <tableColumn id="50" xr3:uid="{F2846ED2-FD2C-4B82-8D89-DEC4D6C89C45}" name="Tot Hom" dataDxfId="610" totalsRowDxfId="609">
      <calculatedColumnFormula array="1">IF(TblConstr[[#This Row],[Hour]:[Hour]]&gt;12,OFFSET(TblConstr[[#This Row],[Hom]],-12,0),0)+OFFSET(TblConstr[[#This Row],[Tot Hom]],-1,0)-TblConstr[[#This Row],[Dest Hom]]</calculatedColumnFormula>
    </tableColumn>
    <tableColumn id="51" xr3:uid="{3A820279-E5AD-460C-8EA2-56927C664532}" name="Tot Alc" dataDxfId="608" totalsRowDxfId="607">
      <calculatedColumnFormula array="1">IF(TblConstr[[#This Row],[Hour]:[Hour]]&gt;12,OFFSET(TblConstr[[#This Row],[Alc]],-12,0),0)+OFFSET(TblConstr[[#This Row],[Tot Alc]],-1,0)-TblConstr[[#This Row],[Dest Alc]]</calculatedColumnFormula>
    </tableColumn>
    <tableColumn id="52" xr3:uid="{2F201F1F-E604-470C-A21C-EF43882A5460}" name="Tot Farm" dataDxfId="606" totalsRowDxfId="605">
      <calculatedColumnFormula array="1">IF(TblConstr[[#This Row],[Hour]:[Hour]]&gt;12,OFFSET(TblConstr[[#This Row],[Far]],-12,0),0)+OFFSET(TblConstr[[#This Row],[Tot Farm]],-1,0)-TblConstr[[#This Row],[Dest Farm]]</calculatedColumnFormula>
    </tableColumn>
    <tableColumn id="53" xr3:uid="{CF25F1ED-4CEE-4702-9FD7-472555CAE1E7}" name="Tot Smi" dataDxfId="604" totalsRowDxfId="603">
      <calculatedColumnFormula array="1">IF(TblConstr[[#This Row],[Hour]:[Hour]]&gt;12,OFFSET(TblConstr[[#This Row],[Smi]],-12,0),0)+OFFSET(TblConstr[[#This Row],[Tot Smi]],-1,0)-TblConstr[[#This Row],[Dest Smi]]</calculatedColumnFormula>
    </tableColumn>
    <tableColumn id="54" xr3:uid="{AA2380E5-3483-49DB-91B7-F7447D6C17A7}" name="Tot Mas" dataDxfId="602" totalsRowDxfId="601">
      <calculatedColumnFormula array="1">IF(TblConstr[[#This Row],[Hour]:[Hour]]&gt;12,OFFSET(TblConstr[[#This Row],[Mas]],-12,0),0)+OFFSET(TblConstr[[#This Row],[Tot Mas]],-1,0)-TblConstr[[#This Row],[Dest Mas]]</calculatedColumnFormula>
    </tableColumn>
    <tableColumn id="55" xr3:uid="{9983477D-EC22-4053-88C9-D53436C89351}" name="Tot Ly" dataDxfId="600" totalsRowDxfId="599">
      <calculatedColumnFormula array="1">IF(TblConstr[[#This Row],[Hour]:[Hour]]&gt;12,OFFSET(TblConstr[[#This Row],[Ly]],-12,0),0)+OFFSET(TblConstr[[#This Row],[Tot Ly]],-1,0)-TblConstr[[#This Row],[Dest Ly]]</calculatedColumnFormula>
    </tableColumn>
    <tableColumn id="56" xr3:uid="{0A8A610F-D674-4772-9EB7-EC610164DF60}" name="Tot Hav" dataDxfId="598" totalsRowDxfId="597">
      <calculatedColumnFormula array="1">IF(TblConstr[[#This Row],[Hour]:[Hour]]&gt;12,OFFSET(TblConstr[[#This Row],[Hav]],-12,0),0)+OFFSET(TblConstr[[#This Row],[Tot Hav]],-1,0)-TblConstr[[#This Row],[Dest Hav]]</calculatedColumnFormula>
    </tableColumn>
    <tableColumn id="57" xr3:uid="{40570349-3AA5-42B4-9820-CC736C2D1B3D}" name="Tot OM" dataDxfId="596" totalsRowDxfId="595">
      <calculatedColumnFormula array="1">IF(TblConstr[[#This Row],[Hour]:[Hour]]&gt;12,OFFSET(TblConstr[[#This Row],[OM]],-12,0),0)+OFFSET(TblConstr[[#This Row],[Tot OM]],-1,0)-TblConstr[[#This Row],[Dest OM]]</calculatedColumnFormula>
    </tableColumn>
    <tableColumn id="58" xr3:uid="{D7C1895E-C93F-4CEE-BB20-88F13C3DA864}" name="Tot GN" dataDxfId="594" totalsRowDxfId="593">
      <calculatedColumnFormula array="1">IF(TblConstr[[#This Row],[Hour]:[Hour]]&gt;12,OFFSET(TblConstr[[#This Row],[GN]],-12,0),0)+OFFSET(TblConstr[[#This Row],[Tot GN]],-1,0)-TblConstr[[#This Row],[Dest GN]]</calculatedColumnFormula>
    </tableColumn>
    <tableColumn id="59" xr3:uid="{6C106580-CB33-4C2F-8B4D-856AC68AA85B}" name="Tot Fac" dataDxfId="592" totalsRowDxfId="591">
      <calculatedColumnFormula array="1">IF(TblConstr[[#This Row],[Hour]:[Hour]]&gt;12,OFFSET(TblConstr[[#This Row],[Fac]],-12,0),0)+OFFSET(TblConstr[[#This Row],[Tot Fac]],-1,0)-TblConstr[[#This Row],[Dest Fac]]</calculatedColumnFormula>
    </tableColumn>
    <tableColumn id="60" xr3:uid="{D3A39C76-EE6D-4C40-B64E-12EE496ACF75}" name="Tot GT" dataDxfId="590" totalsRowDxfId="589">
      <calculatedColumnFormula array="1">IF(TblConstr[[#This Row],[Hour]:[Hour]]&gt;12,OFFSET(TblConstr[[#This Row],[GT]],-12,0),0)+OFFSET(TblConstr[[#This Row],[Tot GT]],-1,0)-TblConstr[[#This Row],[Dest GT]]</calculatedColumnFormula>
    </tableColumn>
    <tableColumn id="61" xr3:uid="{3C88629E-DBB8-4626-8826-42DE21B8CCF3}" name="Tot Bar" dataDxfId="588" totalsRowDxfId="587">
      <calculatedColumnFormula array="1">IF(TblConstr[[#This Row],[Hour]:[Hour]]&gt;12,OFFSET(TblConstr[[#This Row],[Bar]],-12,0),0)+OFFSET(TblConstr[[#This Row],[Tot Bar]],-1,0)-TblConstr[[#This Row],[Dest Bar]]</calculatedColumnFormula>
    </tableColumn>
    <tableColumn id="62" xr3:uid="{9B339DEA-0599-4758-9D02-2BCE3EA7ACC3}" name="Tot Shr" dataDxfId="586" totalsRowDxfId="585">
      <calculatedColumnFormula array="1">IF(TblConstr[[#This Row],[Hour]:[Hour]]&gt;12,OFFSET(TblConstr[[#This Row],[Shr]],-12,0),0)+OFFSET(TblConstr[[#This Row],[Tot Shr]],-1,0)-TblConstr[[#This Row],[Dest Shr]]</calculatedColumnFormula>
    </tableColumn>
    <tableColumn id="63" xr3:uid="{BC8AAD30-881D-4FF0-9567-7FF1D9791913}" name="Tot Tow" dataDxfId="584" totalsRowDxfId="583">
      <calculatedColumnFormula array="1">IF(TblConstr[[#This Row],[Hour]:[Hour]]&gt;12,OFFSET(TblConstr[[#This Row],[Tow]],-12,0),0)+OFFSET(TblConstr[[#This Row],[Tot Tow]],-1,0)-TblConstr[[#This Row],[Dest Tow]]</calculatedColumnFormula>
    </tableColumn>
    <tableColumn id="64" xr3:uid="{59A3F80D-5052-4FDF-AF65-62DB182FD6A6}" name="Tot Tem" dataDxfId="582" totalsRowDxfId="581">
      <calculatedColumnFormula array="1">IF(TblConstr[[#This Row],[Hour]:[Hour]]&gt;12,OFFSET(TblConstr[[#This Row],[Tem]],-12,0),0)+OFFSET(TblConstr[[#This Row],[Tot Tem]],-1,0)-TblConstr[[#This Row],[Dest Tem]]</calculatedColumnFormula>
    </tableColumn>
    <tableColumn id="65" xr3:uid="{00A352BB-E75B-4E3F-AC3D-1D0DC0813148}" name="Tot WG" dataDxfId="580" totalsRowDxfId="579">
      <calculatedColumnFormula array="1">IF(TblConstr[[#This Row],[Hour]:[Hour]]&gt;12,OFFSET(TblConstr[[#This Row],[WG]],-12,0),0)+OFFSET(TblConstr[[#This Row],[Tot WG]],-1,0)-TblConstr[[#This Row],[Dest WG]]</calculatedColumnFormula>
    </tableColumn>
    <tableColumn id="66" xr3:uid="{AC79E3B7-8BF6-4AEF-AACC-9BCCADEEE9EC}" name="Tot DM" dataDxfId="578" totalsRowDxfId="577">
      <calculatedColumnFormula array="1">IF(TblConstr[[#This Row],[Hour]:[Hour]]&gt;12,OFFSET(TblConstr[[#This Row],[DM]],-12,0),0)+OFFSET(TblConstr[[#This Row],[Tot DM]],-1,0)-TblConstr[[#This Row],[Dest DM]]</calculatedColumnFormula>
    </tableColumn>
    <tableColumn id="67" xr3:uid="{0CFFF054-0F8D-4B14-9366-77ABD3382DE4}" name="Tot Sch" dataDxfId="576" totalsRowDxfId="575">
      <calculatedColumnFormula array="1">IF(TblConstr[[#This Row],[Hour]:[Hour]]&gt;12,OFFSET(TblConstr[[#This Row],[Sch]],-12,0),0)+OFFSET(TblConstr[[#This Row],[Tot Sch]],-1,0)-TblConstr[[#This Row],[Dest Sch]]</calculatedColumnFormula>
    </tableColumn>
    <tableColumn id="68" xr3:uid="{EEBD7864-CCF1-4E52-A4D7-93474D156483}" name="Tot Doc" dataDxfId="574" totalsRowDxfId="573">
      <calculatedColumnFormula array="1">IF(TblConstr[[#This Row],[Hour]:[Hour]]&gt;12,OFFSET(TblConstr[[#This Row],[Doc]],-12,0),0)+OFFSET(TblConstr[[#This Row],[Tot Doc]],-1,0)-TblConstr[[#This Row],[Dest Doc]]</calculatedColumnFormula>
    </tableColumn>
    <tableColumn id="69" xr3:uid="{9CB7D1EC-8231-4E29-AF89-78480EAACCBE}" name="…." dataDxfId="572" totalsRowDxfId="571"/>
    <tableColumn id="70" xr3:uid="{8AB60EC6-2503-4C64-93B5-EF0A15817646}" name="….." dataDxfId="570" totalsRowDxfId="569"/>
    <tableColumn id="71" xr3:uid="{E322C618-2AF7-4E39-8C00-05DB78D1E3E1}" name="Land (2)" dataDxfId="568" totalsRowDxfId="567">
      <calculatedColumnFormula>TblConstr[[#This Row],[Land]]</calculatedColumnFormula>
    </tableColumn>
    <tableColumn id="72" xr3:uid="{03634B5C-154E-4AC8-80E1-BA13BC9D96CD}" name="Time (2)" dataDxfId="566" totalsRowDxfId="565">
      <calculatedColumnFormula>TblImps[[#This Row],[Time]]</calculatedColumnFormula>
    </tableColumn>
    <tableColumn id="73" xr3:uid="{B2BF9056-6EBE-4C01-A8BD-B72B49E563E4}" name="…..." dataDxfId="564" totalsRowDxfId="563"/>
    <tableColumn id="74" xr3:uid="{E1DF0DF3-108E-4B1D-AD0D-B0438E0119B4}" name="Dest Hom" dataDxfId="562" totalsRowDxfId="561"/>
    <tableColumn id="75" xr3:uid="{E9A56C16-CD83-4CF4-801D-3F07F7F4410E}" name="Dest Alc" dataDxfId="560" totalsRowDxfId="559"/>
    <tableColumn id="76" xr3:uid="{83CFBDA2-FADE-4B08-B33E-9C2E9F9BF768}" name="Dest Farm" dataDxfId="558" totalsRowDxfId="557"/>
    <tableColumn id="77" xr3:uid="{19187257-0444-44F4-9D3D-6D0323F40019}" name="Dest Smi" dataDxfId="556" totalsRowDxfId="555"/>
    <tableColumn id="78" xr3:uid="{868AFE18-6FA1-48AB-ABF5-2F2AEFE5F988}" name="Dest Mas" dataDxfId="554" totalsRowDxfId="553"/>
    <tableColumn id="79" xr3:uid="{177B6B53-2F11-4209-8387-13A45749227F}" name="Dest Ly" dataDxfId="552" totalsRowDxfId="551"/>
    <tableColumn id="80" xr3:uid="{7546C506-76A9-4C40-A0E7-9A9D9E5AABE5}" name="Dest Hav" dataDxfId="550" totalsRowDxfId="549"/>
    <tableColumn id="81" xr3:uid="{ADDB86A6-E781-4DBE-8117-6F690916DDFA}" name="Dest OM" dataDxfId="548" totalsRowDxfId="547"/>
    <tableColumn id="82" xr3:uid="{B9BF98EC-18BF-465D-9531-8B38D89E91A0}" name="Dest GN" dataDxfId="546" totalsRowDxfId="545"/>
    <tableColumn id="83" xr3:uid="{E7A6D253-F3B2-42C8-99DD-B144C58FC0C5}" name="Dest Fac" dataDxfId="544" totalsRowDxfId="543"/>
    <tableColumn id="84" xr3:uid="{17104BBD-FC27-4D10-B29C-0273D3241FF4}" name="Dest GT" dataDxfId="542" totalsRowDxfId="541"/>
    <tableColumn id="85" xr3:uid="{99559D62-4D78-440A-98FE-DEBB129B435F}" name="Dest Bar" dataDxfId="540" totalsRowDxfId="539"/>
    <tableColumn id="86" xr3:uid="{9B2EEB8C-2FE8-47EE-A3E2-DC10DB45C7AB}" name="Dest Shr" dataDxfId="538" totalsRowDxfId="537"/>
    <tableColumn id="87" xr3:uid="{514D2AAA-E6E3-475E-9F65-8C732A78896D}" name="Dest Tow" dataDxfId="536" totalsRowDxfId="535"/>
    <tableColumn id="88" xr3:uid="{FAB7F148-62FD-4A01-9E52-E72AB5D98A80}" name="Dest Tem" dataDxfId="534" totalsRowDxfId="533"/>
    <tableColumn id="89" xr3:uid="{51F0AAF8-EA25-41BB-8274-29128D8E9309}" name="Dest WG" dataDxfId="532" totalsRowDxfId="531"/>
    <tableColumn id="90" xr3:uid="{B5DD0E4A-F9DA-46DF-AC1D-4C082F96D4FD}" name="Dest DM" dataDxfId="530" totalsRowDxfId="529"/>
    <tableColumn id="91" xr3:uid="{8374E536-FAFB-4695-B2E9-40E6A61A9D8E}" name="Dest Sch" dataDxfId="528" totalsRowDxfId="527"/>
    <tableColumn id="92" xr3:uid="{AB6E075B-E076-40E6-B2ED-7DBD5C2545B9}" name="Dest Doc" dataDxfId="526" totalsRowDxfId="525"/>
    <tableColumn id="93" xr3:uid="{A4B6EEF5-D4D4-4B9E-B020-F892CB1DC5F1}" name="…...." dataDxfId="524" totalsRowDxfId="523"/>
    <tableColumn id="94" xr3:uid="{A8785F66-A063-4182-BB5F-F2E489C44B8C}" name="Ch_Plain" dataDxfId="522" totalsRowDxfId="52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0" totalsRowDxfId="51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8" totalsRowDxfId="51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6" totalsRowDxfId="51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4" totalsRowDxfId="51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2" totalsRowDxfId="51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0" totalsRowDxfId="50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8" totalsRowDxfId="507">
      <calculatedColumnFormula>IF(Explore!S4=1,20) - TblConstr[[#This Row],[Hom]] + TblConstr[[#This Row],[Dest Hom]]</calculatedColumnFormula>
    </tableColumn>
    <tableColumn id="102" xr3:uid="{A18B5339-7B5E-4FF1-B44C-54D91E2619B1}" name="…....." dataDxfId="506" totalsRowDxfId="505"/>
    <tableColumn id="103" xr3:uid="{4E3EEDB6-D8CB-4DA1-AC9F-29019C9A6FFC}" name="Total Plain" dataDxfId="504" totalsRowDxfId="503"/>
    <tableColumn id="104" xr3:uid="{669C7BA0-B3F2-47DA-B10D-81C2466FF6F3}" name="Total Forest" dataDxfId="502" totalsRowDxfId="501"/>
    <tableColumn id="105" xr3:uid="{B6EE778A-6E52-44FF-8691-B86F1650C2C2}" name="Total Mountain" dataDxfId="500" totalsRowDxfId="499"/>
    <tableColumn id="106" xr3:uid="{5FF89BD6-7921-4110-AD96-EA8B54555F1C}" name="Total Hill" dataDxfId="498" totalsRowDxfId="497"/>
    <tableColumn id="107" xr3:uid="{F920559E-5C73-4899-BC53-A9BA9E7DFC0C}" name="Total Swamp" dataDxfId="496" totalsRowDxfId="495"/>
    <tableColumn id="108" xr3:uid="{6462BCCF-F375-4DEC-B000-637E1187AA5E}" name="Total Cavern" dataDxfId="494" totalsRowDxfId="493"/>
    <tableColumn id="109" xr3:uid="{D966B8E0-E2CD-4374-AF05-B86C330B3BD4}" name="Total Water" dataDxfId="492" totalsRowDxfId="491"/>
    <tableColumn id="110" xr3:uid="{170A4E12-F563-448F-8964-EB5CA71BA3AF}" name="Homeland" dataDxfId="490" totalsRowDxfId="48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8" totalsRowDxfId="487"/>
    <tableColumn id="114" xr3:uid="{EDC1B5E1-1E93-4946-BEC7-453EF5B18C9F}" name="Farms" dataDxfId="486" totalsRowDxfId="485">
      <calculatedColumnFormula>MAX(BA4-BA3,0)</calculatedColumnFormula>
    </tableColumn>
    <tableColumn id="115" xr3:uid="{1D02A65C-E8F6-4B66-A5EB-3699A9BE61C5}" name="Docks" totalsRowFunction="sum" dataDxfId="484" totalsRowDxfId="48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8" dataDxfId="467" tableBorderDxfId="466">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5">
      <calculatedColumnFormula>TblRezone[[#This Row],[Hour]]</calculatedColumnFormula>
    </tableColumn>
    <tableColumn id="2" xr3:uid="{DFB120B6-BC70-4091-A005-99D4961CB538}" name="Land" dataDxfId="464">
      <calculatedColumnFormula>TblConstr[[#This Row],[Land]]</calculatedColumnFormula>
    </tableColumn>
    <tableColumn id="3" xr3:uid="{05C32193-1764-4A8E-B877-789E51BD1927}" name="." dataDxfId="463"/>
    <tableColumn id="4" xr3:uid="{2DBA3229-29BD-4F1F-B6CD-9E822C9071D7}" name="Plains" dataDxfId="462">
      <calculatedColumnFormula>TblConstr[[#This Row],[Plain]]</calculatedColumnFormula>
    </tableColumn>
    <tableColumn id="5" xr3:uid="{3D1FE633-D61E-4157-92AE-5E68F0C48770}" name="Forest" dataDxfId="461">
      <calculatedColumnFormula>TblConstr[[#This Row],[Forest]]</calculatedColumnFormula>
    </tableColumn>
    <tableColumn id="6" xr3:uid="{D9ABEDC6-9211-428A-B587-3CA9C3BF9744}" name="Mountn" dataDxfId="460">
      <calculatedColumnFormula>TblConstr[[#This Row],[Mountain]]</calculatedColumnFormula>
    </tableColumn>
    <tableColumn id="7" xr3:uid="{190BAA64-9D9E-4080-878D-BF035387620E}" name="Hills" dataDxfId="459">
      <calculatedColumnFormula>TblConstr[[#This Row],[Hill]]</calculatedColumnFormula>
    </tableColumn>
    <tableColumn id="8" xr3:uid="{812744CE-DEB7-4A8A-8374-CD5852E8C168}" name="Swamp" dataDxfId="458">
      <calculatedColumnFormula>TblConstr[[#This Row],[Swamp]]</calculatedColumnFormula>
    </tableColumn>
    <tableColumn id="9" xr3:uid="{96D79F63-015A-4655-975B-A1C99185A034}" name="Caverns" dataDxfId="457">
      <calculatedColumnFormula>TblConstr[[#This Row],[Cavern]]</calculatedColumnFormula>
    </tableColumn>
    <tableColumn id="10" xr3:uid="{607DA3E5-8D4A-44F4-A35C-DDAF32BE627C}" name="Water" dataDxfId="456">
      <calculatedColumnFormula>TblConstr[[#This Row],[Water]]</calculatedColumnFormula>
    </tableColumn>
    <tableColumn id="11" xr3:uid="{12EC2AC2-5FD3-4D82-8C37-DB70DCC56DC2}" name="Column2" dataDxfId="455"/>
    <tableColumn id="12" xr3:uid="{B171FE82-C8DE-44A1-89CE-409ED8DDD9D4}" name="Column3" dataDxfId="454"/>
    <tableColumn id="13" xr3:uid="{8C0085EE-E99F-4C98-9D66-144A50E3623C}" name="Column4" dataDxfId="453"/>
    <tableColumn id="14" xr3:uid="{5686D8FB-FF86-4148-AF9E-C03A97A84AF3}" name="Smithies" dataDxfId="452" dataCellStyle="Percent">
      <calculatedColumnFormula>TblMili[[#This Row],[Smithies]]</calculatedColumnFormula>
    </tableColumn>
    <tableColumn id="15" xr3:uid="{A0DC0A41-1987-4EE6-99BA-624DB6ACB9BF}" name="Employm." dataDxfId="451" dataCellStyle="Percent">
      <calculatedColumnFormula>TblPop[[#This Row],[Employment]]</calculatedColumnFormula>
    </tableColumn>
    <tableColumn id="16" xr3:uid="{7B85DEA6-C72D-4EAB-B18F-155B3A80E27B}" name="Popul." dataDxfId="450" dataCellStyle="Percent">
      <calculatedColumnFormula>TblImps[[#This Row],[Population]]</calculatedColumnFormula>
    </tableColumn>
    <tableColumn id="17" xr3:uid="{0BE33934-A790-4489-A3A2-E553E3C4AAEE}" name="Land (2)" dataDxfId="449">
      <calculatedColumnFormula>TblExplore[[#This Row],[Land]]</calculatedColumnFormula>
    </tableColumn>
    <tableColumn id="18" xr3:uid="{1EE849E8-6296-4479-BDA2-30E4622212E0}" name="Hour (2)" dataDxfId="448">
      <calculatedColumnFormula>TblExplore[[#This Row],[Hour]]</calculatedColumnFormula>
    </tableColumn>
    <tableColumn id="19" xr3:uid="{802EC67C-58E0-4E2B-9471-52B76B3F516A}" name="Land Bonus" dataDxfId="447"/>
    <tableColumn id="20" xr3:uid="{B1DC4E54-695A-4FE1-A303-67B047732E38}" name="Plains Explore" dataDxfId="446"/>
    <tableColumn id="21" xr3:uid="{28A63039-E9F4-4C91-BC61-38AFA90CBBA3}" name="Forest Explore" dataDxfId="445"/>
    <tableColumn id="22" xr3:uid="{52A3F218-67B7-4353-9DCD-90E402F80D3A}" name="Mountain Explore" dataDxfId="444"/>
    <tableColumn id="23" xr3:uid="{CADD78BB-1A84-4EF1-B568-74D7A7333BED}" name="Hill Explore" dataDxfId="443"/>
    <tableColumn id="24" xr3:uid="{86B12DCD-5E50-4631-800C-3D06D0C8407F}" name="Swamp Explore" dataDxfId="442"/>
    <tableColumn id="25" xr3:uid="{41A3F8D1-C19F-4B01-A125-BD6C5BE75F1D}" name="Cavern Explore" dataDxfId="441"/>
    <tableColumn id="26" xr3:uid="{DD83E77E-8C71-44A7-BF29-B8595544CC0D}" name="Water Explore" dataDxfId="440"/>
    <tableColumn id="27" xr3:uid="{6F68BDB2-663F-44CE-A108-1184CFBBBFB9}" name="Time" dataDxfId="439">
      <calculatedColumnFormula>TblImps[[#This Row],[Real time]]</calculatedColumnFormula>
    </tableColumn>
    <tableColumn id="28" xr3:uid="{0FBA88C1-4190-4A95-897B-20B88A072234}" name="Draftees" dataDxfId="438">
      <calculatedColumnFormula>TblMili[[#This Row],[Draftees]]</calculatedColumnFormula>
    </tableColumn>
    <tableColumn id="29" xr3:uid="{4EFD1992-02FD-4356-A327-EBEED01908DD}" name="Platinum" dataDxfId="437">
      <calculatedColumnFormula>TblProd[[#This Row],[Platinum]]</calculatedColumnFormula>
    </tableColumn>
    <tableColumn id="30" xr3:uid="{3D9A7B33-B273-4A01-8F7D-822B1BEB344B}" name=".." dataDxfId="436"/>
    <tableColumn id="31" xr3:uid="{EDB0F070-B31D-4B00-90A6-0A190E3CA80B}" name="Land-DB" dataDxfId="435">
      <calculatedColumnFormula>TblExplore[[#This Row],[Land]]-TblExplore[[#This Row],[Land Bonus]]*20</calculatedColumnFormula>
    </tableColumn>
    <tableColumn id="32" xr3:uid="{B94D1074-50E9-44F1-8957-6BE450DE4BF0}" name="Plat/acre" dataDxfId="434">
      <calculatedColumnFormula>ROUND(MAX(0.6*TblExplore[[#This Row],[Land-DB]]^1.299,850)*(1+ tech_2_6*Techs!AC4 + tech_2_9*Techs!AF4 + tech_3_7*Techs!AN4 + Overview!$I$32),0)</calculatedColumnFormula>
    </tableColumn>
    <tableColumn id="33" xr3:uid="{F0CBDA56-E75F-4156-B9BD-681857934D22}" name="Draftees/acre" dataDxfId="433">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2">
      <calculatedColumnFormula>SUM(TblExplore[[#This Row],[Plains Explore]:[Water Explore]])*TblExplore[[#This Row],[Plat/acre]]</calculatedColumnFormula>
    </tableColumn>
    <tableColumn id="35" xr3:uid="{61575F8F-5343-43C9-858D-AF8501368779}" name="Draftees (2)" dataDxfId="431">
      <calculatedColumnFormula>SUM(TblExplore[[#This Row],[Plains Explore]:[Water Explore]])*TblExplore[[#This Row],[Draftees/acre]]</calculatedColumnFormula>
    </tableColumn>
    <tableColumn id="36" xr3:uid="{BD4C2C0C-7F81-4BE8-9828-9CFCFFAFF394}" name="Max Explore" dataDxfId="430">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0" dataDxfId="419" tableBorderDxfId="418">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7">
      <calculatedColumnFormula>TblConstr[[#This Row],[Land]]</calculatedColumnFormula>
    </tableColumn>
    <tableColumn id="2" xr3:uid="{09D3C0EB-2481-406C-ABC2-3B9FE0683D68}" name="Plains" dataDxfId="416">
      <calculatedColumnFormula>TblConstr[[#This Row],[Plain]]</calculatedColumnFormula>
    </tableColumn>
    <tableColumn id="3" xr3:uid="{E95763D4-88E5-487A-9912-CB5FED512375}" name="Forest" dataDxfId="415">
      <calculatedColumnFormula>TblConstr[[#This Row],[Forest]]</calculatedColumnFormula>
    </tableColumn>
    <tableColumn id="4" xr3:uid="{62B2173B-885E-48E7-B615-089739267B8E}" name="Mountains" dataDxfId="414">
      <calculatedColumnFormula>TblConstr[[#This Row],[Mountain]]</calculatedColumnFormula>
    </tableColumn>
    <tableColumn id="5" xr3:uid="{4FA61465-41A2-4497-AB2D-7B63B7113E12}" name="Hills" dataDxfId="413">
      <calculatedColumnFormula>TblConstr[[#This Row],[Hill]]</calculatedColumnFormula>
    </tableColumn>
    <tableColumn id="6" xr3:uid="{FC27A0D5-6BB5-414B-8DEB-98AD07E7EBFF}" name="Swamp" dataDxfId="412">
      <calculatedColumnFormula>TblConstr[[#This Row],[Swamp]]</calculatedColumnFormula>
    </tableColumn>
    <tableColumn id="7" xr3:uid="{E95EDCE9-4D0A-4F4F-80D0-F52A495BDAE2}" name="Caverns" dataDxfId="411">
      <calculatedColumnFormula>TblConstr[[#This Row],[Cavern]]</calculatedColumnFormula>
    </tableColumn>
    <tableColumn id="8" xr3:uid="{4D162EFF-D831-41C8-9A17-B9113296E43B}" name="Water" dataDxfId="410">
      <calculatedColumnFormula>TblConstr[[#This Row],[Water]]</calculatedColumnFormula>
    </tableColumn>
    <tableColumn id="9" xr3:uid="{D55A4201-089D-415F-8D4D-3ECCCB36C63A}" name="." dataDxfId="409"/>
    <tableColumn id="10" xr3:uid="{DD5BAECA-959B-44B4-BFE4-04100EF42CEE}" name="Hour" dataDxfId="408">
      <calculatedColumnFormula>J3+1</calculatedColumnFormula>
    </tableColumn>
    <tableColumn id="11" xr3:uid="{BBC04AC2-481C-43B9-8F7E-DA11BD9865DF}" name="Time" dataDxfId="407">
      <calculatedColumnFormula>TblImps[[#This Row],[Real time]]</calculatedColumnFormula>
    </tableColumn>
    <tableColumn id="12" xr3:uid="{D6C776EF-706C-4E21-B5A7-00C9AD08F8F2}" name="Plains Rezone" dataDxfId="406"/>
    <tableColumn id="13" xr3:uid="{8517A176-425D-4D28-9953-4EC1AA93C82D}" name="Forest Rezone" dataDxfId="405"/>
    <tableColumn id="14" xr3:uid="{6C6986FB-4B34-4620-9F5C-E204CA007C29}" name="Mountain Rezone" dataDxfId="404"/>
    <tableColumn id="15" xr3:uid="{A238C8DA-37C8-4B93-BDB9-803627A51455}" name="Hill Rezone" dataDxfId="403"/>
    <tableColumn id="16" xr3:uid="{6F93D167-46BB-49F9-99E2-4FE4FA89F6F6}" name="Swamp Rezone" dataDxfId="402"/>
    <tableColumn id="17" xr3:uid="{2891557D-037E-43FE-B080-6B5406778FAE}" name="Cavern Rezone" dataDxfId="401"/>
    <tableColumn id="18" xr3:uid="{C6630C4B-97F3-4512-833F-587ADB90804D}" name="Water Rezone" dataDxfId="400"/>
    <tableColumn id="19" xr3:uid="{71938840-BA0F-4F0E-90C2-866B3EEED32E}" name="Total acres" dataDxfId="399">
      <calculatedColumnFormula>SUMIF(TblRezone[[#This Row],[Plains Rezone]:[Water Rezone]],"&gt;0")</calculatedColumnFormula>
    </tableColumn>
    <tableColumn id="20" xr3:uid="{A48C796B-764B-4744-95D2-0DB5292F5562}" name="Ok?" dataDxfId="398">
      <calculatedColumnFormula>IF(SUM(TblRezone[[#This Row],[Plains Rezone]:[Water Rezone]])=0,"Ok","Nope")</calculatedColumnFormula>
    </tableColumn>
    <tableColumn id="21" xr3:uid="{2EBFAAC1-440A-44F3-A930-C229C35B9BD3}" name=".." dataDxfId="397"/>
    <tableColumn id="22" xr3:uid="{2020F260-8DB5-44E6-A131-B44D79AF6B62}" name="Platinum" dataDxfId="396">
      <calculatedColumnFormula>TblProd[[#This Row],[Platinum]]</calculatedColumnFormula>
    </tableColumn>
    <tableColumn id="23" xr3:uid="{81A5A213-A750-4DD5-8456-6B104D493CA4}" name="…" dataDxfId="395"/>
    <tableColumn id="24" xr3:uid="{8EF28125-DA30-4482-ADE4-2B916A90CAD2}" name="Plat/acre" dataDxfId="394">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3">
      <calculatedColumnFormula>TblRezone[[#This Row],[Total acres]]*TblRezone[[#This Row],[Plat/acre]]</calculatedColumnFormula>
    </tableColumn>
    <tableColumn id="26" xr3:uid="{685D7DEA-DD3C-4385-BEC6-C5DBEEE6B44D}" name="…." dataDxfId="392"/>
    <tableColumn id="27" xr3:uid="{44BE000A-0846-46D4-B9B4-8728EC5881AB}" name="Plat/acre*" dataDxfId="391">
      <calculatedColumnFormula>250+0.6*(TblRezone[[#This Row],[Land]]-250)</calculatedColumnFormula>
    </tableColumn>
    <tableColumn id="28" xr3:uid="{3AFBA97F-9340-4669-BF68-67D7B351BBD4}" name="….." dataDxfId="390"/>
    <tableColumn id="29" xr3:uid="{D8C9DC04-80EE-49BF-BEDB-6FEC536A5F93}" name="Facs" dataDxfId="389">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1" dataDxfId="379" headerRowBorderDxfId="380" tableBorderDxfId="378">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7">
      <calculatedColumnFormula>TblRezone[[#This Row],[Hour]]</calculatedColumnFormula>
    </tableColumn>
    <tableColumn id="2" xr3:uid="{EAC413AF-EC0E-4C34-B6C3-F5AE2181B0A0}" name="Military" dataDxfId="376">
      <calculatedColumnFormula>SUM(TblMili[[#This Row],[Unit 1]:[Archmages]])+SUM(TblMili[[#This Row],[Train Unit 1]:[Train Unit 4]])+TblMili[[#This Row],[Draftees]]</calculatedColumnFormula>
    </tableColumn>
    <tableColumn id="3" xr3:uid="{B9847F02-8883-462E-B245-62A25138A973}" name="Military%" dataDxfId="375">
      <calculatedColumnFormula>TblPop[[#This Row],[Military%]]</calculatedColumnFormula>
    </tableColumn>
    <tableColumn id="4" xr3:uid="{873B66D3-9A4C-4CF2-ADD1-BF3696F9A721}" name="." dataDxfId="374"/>
    <tableColumn id="5" xr3:uid="{FC5A3C7C-0387-4B98-9BB7-AC3A387EAFF0}" name="Unit 1" dataDxfId="373">
      <calculatedColumnFormula>OFFSET(TblMili[[#This Row],[Unit 1]],-1,0) - TblMili[[#This Row],[Release Unit 1]]</calculatedColumnFormula>
    </tableColumn>
    <tableColumn id="6" xr3:uid="{A8BE2C9D-1318-46BD-B50B-D87014E90395}" name="Unit 2" dataDxfId="372">
      <calculatedColumnFormula>OFFSET(TblMili[[#This Row],[Unit 2]],-1,0)-TblMili[[#This Row],[Release Unit 2]]</calculatedColumnFormula>
    </tableColumn>
    <tableColumn id="7" xr3:uid="{49487FD4-4EF4-4722-A4A4-FCC0DD98F9F2}" name="Unit 3" dataDxfId="371">
      <calculatedColumnFormula>OFFSET(TblMili[[#This Row],[Unit 3]],-1,0)-TblMili[[#This Row],[Release Unit 3]]</calculatedColumnFormula>
    </tableColumn>
    <tableColumn id="8" xr3:uid="{739E7790-2960-445C-A5B2-C6064A881CDF}" name="Unit 4" dataDxfId="370">
      <calculatedColumnFormula>OFFSET(TblMili[[#This Row],[Unit 4]],-1,0)-TblMili[[#This Row],[Release Unit 4]]</calculatedColumnFormula>
    </tableColumn>
    <tableColumn id="9" xr3:uid="{0DB25EC0-D296-415A-BF65-DA60D7174CD2}" name="Spies" dataDxfId="369">
      <calculatedColumnFormula>OFFSET(TblMili[[#This Row],[Spies]],-1,0)-TblMili[[#This Row],[Release Spies]]</calculatedColumnFormula>
    </tableColumn>
    <tableColumn id="109" xr3:uid="{1E772BA5-219C-4FDC-ABC4-BDFC09C3EC97}" name="Archspies" dataDxfId="368"/>
    <tableColumn id="10" xr3:uid="{1B32AEAE-0DB3-4DD4-8543-1BD37596FD6C}" name="Wizards" dataDxfId="367">
      <calculatedColumnFormula>OFFSET(TblMili[[#This Row],[Wizards]],-1,0)-TblMili[[#This Row],[Release Wizards]]-TblMili[[#This Row],[Train AM]]</calculatedColumnFormula>
    </tableColumn>
    <tableColumn id="11" xr3:uid="{ED512AF5-16B2-421C-BF95-07157DB57B9D}" name="Archmages" dataDxfId="366">
      <calculatedColumnFormula>OFFSET(TblMili[[#This Row],[Archmages]],-1,0)-TblMili[[#This Row],[Release AM]]</calculatedColumnFormula>
    </tableColumn>
    <tableColumn id="12" xr3:uid="{CADE9B79-5861-46C5-8C69-B19C0F0551CF}" name=".." dataDxfId="365"/>
    <tableColumn id="13" xr3:uid="{18901E43-A967-4D1C-A56F-B4449A6C28E5}" name="Networth" dataDxfId="364">
      <calculatedColumnFormula>TblProd[[#This Row],[Networth]]</calculatedColumnFormula>
    </tableColumn>
    <tableColumn id="14" xr3:uid="{2F50B0FF-1C90-493E-BE67-86AFE22B6059}" name="…" dataDxfId="363"/>
    <tableColumn id="15" xr3:uid="{800A8F5F-B777-4995-AD6F-4DF929E0A477}" name="Raw" dataDxfId="362">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0">
      <calculatedColumnFormula>TblMili[[#This Row],[Raw]]*(1+TblMili[[#This Row],[Mods_Off]])</calculatedColumnFormula>
    </tableColumn>
    <tableColumn id="18" xr3:uid="{49AD1BCC-C9BC-46CD-8B38-93838D61E9DD}" name="Non Draft" dataDxfId="359">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8">
      <calculatedColumnFormula>TblMili[[#This Row],[Non Draft]]+TblMili[[#This Row],[Draftees]]</calculatedColumnFormula>
    </tableColumn>
    <tableColumn id="20" xr3:uid="{C64B2C83-F9B3-427D-8326-C6954139623D}" name="Mods_Def" dataDxfId="357">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6" dataCellStyle="Comma">
      <calculatedColumnFormula>TblMili[[#This Row],[Non Draft]] * (1 + TblMili[[#This Row],[Mods_Def]])</calculatedColumnFormula>
    </tableColumn>
    <tableColumn id="22" xr3:uid="{EA8914C0-CD98-4E5C-A923-EA0F9E30F1EA}" name="Draft (mod)" dataDxfId="355">
      <calculatedColumnFormula>TblMili[[#This Row],[Draft]] * (1 + TblMili[[#This Row],[Mods_Def]])</calculatedColumnFormula>
    </tableColumn>
    <tableColumn id="23" xr3:uid="{EAC9356D-CE42-4256-BB93-BF208B480555}" name="Land" dataDxfId="354">
      <calculatedColumnFormula>TblConstr[[#This Row],[Land]]</calculatedColumnFormula>
    </tableColumn>
    <tableColumn id="24" xr3:uid="{D4A87242-2EDC-47D9-8CA4-84D822469E1B}" name="Set" dataDxfId="353"/>
    <tableColumn id="25" xr3:uid="{448088C9-E1C1-47E6-9443-BE83ECC5C2F2}" name="Draftrate" dataDxfId="352" dataCellStyle="Percent">
      <calculatedColumnFormula>IF(TblMili[[#This Row],[Set]]&lt;&gt;"",TblMili[[#This Row],[Set]],OFFSET(TblMili[[#This Row],[Draftrate]],-1,0))</calculatedColumnFormula>
    </tableColumn>
    <tableColumn id="26" xr3:uid="{EE8F6844-A68F-416E-B5A0-7B6FA4C5DE98}" name="Draftees" dataDxfId="35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0"/>
    <tableColumn id="28" xr3:uid="{0B20A7CE-7BB6-4469-889B-DF744233C462}" name="Smithies" dataDxfId="349" dataCellStyle="Percent">
      <calculatedColumnFormula>(TblConstr[[#This Row],[Tot Smi]]+TblConstr[[#This Row],[Dest Smi]])/(TblConstr[[#This Row],[Land]]-TblExplore[[#This Row],[Land Bonus]]*20)</calculatedColumnFormula>
    </tableColumn>
    <tableColumn id="29" xr3:uid="{A03A8504-EBEF-4639-9EE4-238592848C94}" name="….." dataDxfId="348"/>
    <tableColumn id="30" xr3:uid="{4B521A36-EE77-42BE-850C-0D858F3717A6}" name="Hour (2)" dataDxfId="347">
      <calculatedColumnFormula>TblMili[[#This Row],[Hour]]</calculatedColumnFormula>
    </tableColumn>
    <tableColumn id="31" xr3:uid="{D44FE507-2C86-49D9-BC07-83C7B27BB255}" name="Time" dataDxfId="346">
      <calculatedColumnFormula>TblExplore[[#This Row],[Time]]</calculatedColumnFormula>
    </tableColumn>
    <tableColumn id="32" xr3:uid="{0DAD6AB9-2259-4821-8771-37863F1ED4CC}" name="Train Unit 1" dataDxfId="345"/>
    <tableColumn id="33" xr3:uid="{0E43B866-578B-4060-84D1-01656CB368A4}" name="Train Unit 2" dataDxfId="344"/>
    <tableColumn id="34" xr3:uid="{3AAC979B-4FF3-4EFF-8F6E-BD28BBE2B8BD}" name="Train Unit 3" dataDxfId="343"/>
    <tableColumn id="35" xr3:uid="{EC6B8083-BC72-4376-9760-2275CF62C1A6}" name="Train Unit 4" dataDxfId="342"/>
    <tableColumn id="36" xr3:uid="{DE15CA92-2C69-4205-88B3-DE37F5AAF9A6}" name="Train Spies" dataDxfId="341"/>
    <tableColumn id="107" xr3:uid="{917516D6-B00F-4F57-ADB0-6C22D2A96B9F}" name="Train AS" dataDxfId="340"/>
    <tableColumn id="37" xr3:uid="{97770C71-624D-4E73-A8AD-D79927F45908}" name="Train Wiz" dataDxfId="339"/>
    <tableColumn id="38" xr3:uid="{4E456233-AA67-4D90-9179-339EBD335F62}" name="Train AM" dataDxfId="338"/>
    <tableColumn id="39" xr3:uid="{29C90460-5421-4EA7-A4CB-BDA1C40BF8A1}" name="…..."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Row],[Lumber]]),MATCH(Military!$AQ$2,TblProd[[#Headers],[Lumber]:[Ore]],0))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Column31"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2]])*2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33" dataDxfId="32" tableBorderDxfId="31">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3" dataDxfId="2">
  <autoFilter ref="D90:D96"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1" t="s">
        <v>452</v>
      </c>
      <c r="B1" s="471"/>
      <c r="C1" s="471"/>
      <c r="D1" s="471"/>
      <c r="E1" s="471"/>
      <c r="F1" s="471"/>
      <c r="G1" s="471"/>
      <c r="H1" s="471"/>
      <c r="I1" s="471"/>
      <c r="J1" s="471"/>
      <c r="K1" s="471"/>
      <c r="L1" s="472"/>
      <c r="M1" s="478" t="s">
        <v>1049</v>
      </c>
      <c r="N1" s="479"/>
      <c r="O1" s="480"/>
    </row>
    <row r="2" spans="1:15" s="44" customFormat="1" ht="12.75" customHeight="1" x14ac:dyDescent="0.2">
      <c r="A2" s="465" t="s">
        <v>1089</v>
      </c>
      <c r="B2" s="466"/>
      <c r="C2" s="466"/>
      <c r="D2" s="466"/>
      <c r="E2" s="466"/>
      <c r="F2" s="466"/>
      <c r="G2" s="466"/>
      <c r="H2" s="466"/>
      <c r="I2" s="466"/>
      <c r="J2" s="466"/>
      <c r="K2" s="466"/>
      <c r="L2" s="467"/>
      <c r="M2" s="452" t="s">
        <v>1122</v>
      </c>
      <c r="N2" s="453"/>
      <c r="O2" s="454"/>
    </row>
    <row r="3" spans="1:15" s="44" customFormat="1" x14ac:dyDescent="0.2">
      <c r="A3" s="465"/>
      <c r="B3" s="466"/>
      <c r="C3" s="466"/>
      <c r="D3" s="466"/>
      <c r="E3" s="466"/>
      <c r="F3" s="466"/>
      <c r="G3" s="466"/>
      <c r="H3" s="466"/>
      <c r="I3" s="466"/>
      <c r="J3" s="466"/>
      <c r="K3" s="466"/>
      <c r="L3" s="467"/>
      <c r="M3" s="452"/>
      <c r="N3" s="453"/>
      <c r="O3" s="454"/>
    </row>
    <row r="4" spans="1:15" s="44" customFormat="1" x14ac:dyDescent="0.2">
      <c r="A4" s="465"/>
      <c r="B4" s="466"/>
      <c r="C4" s="466"/>
      <c r="D4" s="466"/>
      <c r="E4" s="466"/>
      <c r="F4" s="466"/>
      <c r="G4" s="466"/>
      <c r="H4" s="466"/>
      <c r="I4" s="466"/>
      <c r="J4" s="466"/>
      <c r="K4" s="466"/>
      <c r="L4" s="467"/>
      <c r="M4" s="452"/>
      <c r="N4" s="453"/>
      <c r="O4" s="454"/>
    </row>
    <row r="5" spans="1:15" s="44" customFormat="1" x14ac:dyDescent="0.2">
      <c r="A5" s="465"/>
      <c r="B5" s="466"/>
      <c r="C5" s="466"/>
      <c r="D5" s="466"/>
      <c r="E5" s="466"/>
      <c r="F5" s="466"/>
      <c r="G5" s="466"/>
      <c r="H5" s="466"/>
      <c r="I5" s="466"/>
      <c r="J5" s="466"/>
      <c r="K5" s="466"/>
      <c r="L5" s="467"/>
      <c r="M5" s="452"/>
      <c r="N5" s="453"/>
      <c r="O5" s="454"/>
    </row>
    <row r="6" spans="1:15" s="44" customFormat="1" x14ac:dyDescent="0.2">
      <c r="A6" s="465"/>
      <c r="B6" s="466"/>
      <c r="C6" s="466"/>
      <c r="D6" s="466"/>
      <c r="E6" s="466"/>
      <c r="F6" s="466"/>
      <c r="G6" s="466"/>
      <c r="H6" s="466"/>
      <c r="I6" s="466"/>
      <c r="J6" s="466"/>
      <c r="K6" s="466"/>
      <c r="L6" s="467"/>
      <c r="M6" s="452"/>
      <c r="N6" s="453"/>
      <c r="O6" s="454"/>
    </row>
    <row r="7" spans="1:15" s="44" customFormat="1" ht="13.5" thickBot="1" x14ac:dyDescent="0.25">
      <c r="A7" s="468"/>
      <c r="B7" s="469"/>
      <c r="C7" s="469"/>
      <c r="D7" s="469"/>
      <c r="E7" s="469"/>
      <c r="F7" s="469"/>
      <c r="G7" s="469"/>
      <c r="H7" s="469"/>
      <c r="I7" s="469"/>
      <c r="J7" s="469"/>
      <c r="K7" s="469"/>
      <c r="L7" s="470"/>
      <c r="M7" s="452"/>
      <c r="N7" s="453"/>
      <c r="O7" s="454"/>
    </row>
    <row r="8" spans="1:15" s="44" customFormat="1" ht="15.75" x14ac:dyDescent="0.2">
      <c r="A8" s="473" t="s">
        <v>451</v>
      </c>
      <c r="B8" s="474"/>
      <c r="C8" s="474"/>
      <c r="D8" s="474"/>
      <c r="E8" s="474"/>
      <c r="F8" s="474"/>
      <c r="G8" s="474"/>
      <c r="H8" s="474"/>
      <c r="I8" s="475"/>
      <c r="J8" s="481" t="s">
        <v>1124</v>
      </c>
      <c r="K8" s="482"/>
      <c r="L8" s="483"/>
      <c r="M8" s="455"/>
      <c r="N8" s="456"/>
      <c r="O8" s="457"/>
    </row>
    <row r="9" spans="1:15" s="44" customFormat="1" ht="12.75" customHeight="1" x14ac:dyDescent="0.2">
      <c r="A9" s="476" t="s">
        <v>1048</v>
      </c>
      <c r="B9" s="477"/>
      <c r="C9" s="477"/>
      <c r="D9" s="477"/>
      <c r="E9" s="477"/>
      <c r="F9" s="477"/>
      <c r="G9" s="477"/>
      <c r="H9" s="477"/>
      <c r="I9" s="477"/>
      <c r="J9" s="484"/>
      <c r="K9" s="485"/>
      <c r="L9" s="486"/>
      <c r="M9" s="455"/>
      <c r="N9" s="456"/>
      <c r="O9" s="457"/>
    </row>
    <row r="10" spans="1:15" s="44" customFormat="1" ht="12.75" customHeight="1" x14ac:dyDescent="0.2">
      <c r="A10" s="476"/>
      <c r="B10" s="477"/>
      <c r="C10" s="477"/>
      <c r="D10" s="477"/>
      <c r="E10" s="477"/>
      <c r="F10" s="477"/>
      <c r="G10" s="477"/>
      <c r="H10" s="477"/>
      <c r="I10" s="477"/>
      <c r="J10" s="484"/>
      <c r="K10" s="485"/>
      <c r="L10" s="486"/>
      <c r="M10" s="455"/>
      <c r="N10" s="456"/>
      <c r="O10" s="457"/>
    </row>
    <row r="11" spans="1:15" s="44" customFormat="1" ht="12.75" customHeight="1" x14ac:dyDescent="0.2">
      <c r="A11" s="476"/>
      <c r="B11" s="477"/>
      <c r="C11" s="477"/>
      <c r="D11" s="477"/>
      <c r="E11" s="477"/>
      <c r="F11" s="477"/>
      <c r="G11" s="477"/>
      <c r="H11" s="477"/>
      <c r="I11" s="477"/>
      <c r="J11" s="484"/>
      <c r="K11" s="485"/>
      <c r="L11" s="486"/>
      <c r="M11" s="455"/>
      <c r="N11" s="456"/>
      <c r="O11" s="457"/>
    </row>
    <row r="12" spans="1:15" s="44" customFormat="1" ht="28.5" customHeight="1" thickBot="1" x14ac:dyDescent="0.25">
      <c r="A12" s="476"/>
      <c r="B12" s="477"/>
      <c r="C12" s="477"/>
      <c r="D12" s="477"/>
      <c r="E12" s="477"/>
      <c r="F12" s="477"/>
      <c r="G12" s="477"/>
      <c r="H12" s="477"/>
      <c r="I12" s="477"/>
      <c r="J12" s="487"/>
      <c r="K12" s="488"/>
      <c r="L12" s="489"/>
      <c r="M12" s="458"/>
      <c r="N12" s="459"/>
      <c r="O12" s="460"/>
    </row>
    <row r="13" spans="1:15" s="44" customFormat="1" ht="25.5" customHeight="1" thickBot="1" x14ac:dyDescent="0.25">
      <c r="A13" s="461" t="s">
        <v>258</v>
      </c>
      <c r="B13" s="462"/>
      <c r="C13" s="463"/>
      <c r="D13" s="463"/>
      <c r="E13" s="463"/>
      <c r="F13" s="463"/>
      <c r="G13" s="463"/>
      <c r="H13" s="463"/>
      <c r="I13" s="463"/>
      <c r="J13" s="463"/>
      <c r="K13" s="463"/>
      <c r="L13" s="463"/>
      <c r="M13" s="463"/>
      <c r="N13" s="463"/>
      <c r="O13" s="463"/>
    </row>
    <row r="14" spans="1:15" s="52" customFormat="1" ht="12.75" customHeight="1" x14ac:dyDescent="0.2">
      <c r="A14" s="45" t="s">
        <v>28</v>
      </c>
      <c r="B14" s="133" t="s">
        <v>89</v>
      </c>
      <c r="C14" s="46"/>
      <c r="D14" s="47" t="s">
        <v>324</v>
      </c>
      <c r="E14" s="47" t="s">
        <v>775</v>
      </c>
      <c r="F14" s="44"/>
      <c r="G14" s="44"/>
      <c r="H14" s="47" t="s">
        <v>488</v>
      </c>
      <c r="I14" s="48" t="s">
        <v>208</v>
      </c>
      <c r="J14" s="49"/>
      <c r="K14" s="50"/>
      <c r="L14" s="44"/>
      <c r="M14" s="44"/>
      <c r="N14" s="44"/>
      <c r="O14" s="51"/>
    </row>
    <row r="15" spans="1:15" s="44" customFormat="1" ht="12.75" customHeight="1" x14ac:dyDescent="0.2">
      <c r="A15" s="45" t="s">
        <v>449</v>
      </c>
      <c r="B15" s="134">
        <v>45367</v>
      </c>
      <c r="D15" s="45" t="s">
        <v>325</v>
      </c>
      <c r="E15" s="53">
        <f>B15+(1+B16-1)/24+B18-6/24</f>
        <v>45366.75</v>
      </c>
      <c r="H15" s="45" t="s">
        <v>165</v>
      </c>
      <c r="I15" s="54">
        <f>INDEX(TblRaces[[Max population]:[Explore Cost]],MATCH(race,TblRaces[Race],0),MATCH(Table4[[#This Row],[Race Bonuses]],TblRaces[[#Headers],[Max population]:[Explore Cost]],0))</f>
        <v>0</v>
      </c>
      <c r="K15" s="50" t="s">
        <v>428</v>
      </c>
      <c r="O15" s="51"/>
    </row>
    <row r="16" spans="1:15" s="44" customFormat="1" ht="12.75" customHeight="1" thickBot="1" x14ac:dyDescent="0.25">
      <c r="A16" s="45" t="s">
        <v>321</v>
      </c>
      <c r="B16" s="135">
        <v>0</v>
      </c>
      <c r="C16" s="44" t="s">
        <v>528</v>
      </c>
      <c r="D16" s="45" t="s">
        <v>318</v>
      </c>
      <c r="E16" s="53">
        <f ca="1">NOW()</f>
        <v>45366.446678819448</v>
      </c>
      <c r="H16" s="45" t="s">
        <v>105</v>
      </c>
      <c r="I16" s="54">
        <f>INDEX(TblRaces[[Max population]:[Explore Cost]],MATCH(race,TblRaces[Race],0),MATCH(Table4[[#This Row],[Race Bonuses]],TblRaces[[#Headers],[Max population]:[Explore Cost]],0))</f>
        <v>0</v>
      </c>
      <c r="K16" s="464" t="s">
        <v>453</v>
      </c>
      <c r="L16" s="449"/>
      <c r="M16" s="449"/>
      <c r="N16" s="449"/>
      <c r="O16" s="51"/>
    </row>
    <row r="17" spans="1:15" s="44" customFormat="1" ht="12.75" customHeight="1" thickBot="1" x14ac:dyDescent="0.25">
      <c r="A17" s="45" t="s">
        <v>322</v>
      </c>
      <c r="B17" s="55">
        <f ca="1">TODAY()</f>
        <v>45366</v>
      </c>
      <c r="C17" s="56"/>
      <c r="D17" s="45" t="s">
        <v>317</v>
      </c>
      <c r="E17" s="57">
        <f>0+Log!P16</f>
        <v>0</v>
      </c>
      <c r="F17" s="58"/>
      <c r="G17" s="58"/>
      <c r="H17" s="45" t="s">
        <v>162</v>
      </c>
      <c r="I17" s="54">
        <f>INDEX(TblRaces[[Max population]:[Explore Cost]],MATCH(race,TblRaces[Race],0),MATCH(Table4[[#This Row],[Race Bonuses]],TblRaces[[#Headers],[Max population]:[Explore Cost]],0))</f>
        <v>0</v>
      </c>
      <c r="J17" s="49"/>
      <c r="K17" s="449"/>
      <c r="L17" s="449"/>
      <c r="M17" s="449"/>
      <c r="N17" s="449"/>
      <c r="O17" s="51"/>
    </row>
    <row r="18" spans="1:15" s="44" customFormat="1" ht="12.75" customHeight="1" thickBot="1" x14ac:dyDescent="0.25">
      <c r="A18" s="59" t="s">
        <v>502</v>
      </c>
      <c r="B18" s="136">
        <v>0</v>
      </c>
      <c r="C18" s="56"/>
      <c r="D18" s="45" t="s">
        <v>319</v>
      </c>
      <c r="E18" s="57" t="e">
        <f ca="1">IF(INDIRECT("Imps!L"&amp;TEXT(E17+3,0)),"Yes","Nope")</f>
        <v>#VALUE!</v>
      </c>
      <c r="H18" s="45" t="s">
        <v>107</v>
      </c>
      <c r="I18" s="54">
        <f>INDEX(TblRaces[[Max population]:[Explore Cost]],MATCH(race,TblRaces[Race],0),MATCH(Table4[[#This Row],[Race Bonuses]],TblRaces[[#Headers],[Max population]:[Explore Cost]],0))</f>
        <v>0.05</v>
      </c>
      <c r="J18" s="49"/>
      <c r="K18" s="449"/>
      <c r="L18" s="449"/>
      <c r="M18" s="449"/>
      <c r="N18" s="449"/>
      <c r="O18" s="51"/>
    </row>
    <row r="19" spans="1:15" s="44" customFormat="1" x14ac:dyDescent="0.2">
      <c r="H19" s="45" t="s">
        <v>108</v>
      </c>
      <c r="I19" s="54">
        <f>INDEX(TblRaces[[Max population]:[Explore Cost]],MATCH(race,TblRaces[Race],0),MATCH(Table4[[#This Row],[Race Bonuses]],TblRaces[[#Headers],[Max population]:[Explore Cost]],0))</f>
        <v>0</v>
      </c>
      <c r="J19" s="49"/>
      <c r="K19" s="449"/>
      <c r="L19" s="449"/>
      <c r="M19" s="449"/>
      <c r="N19" s="449"/>
      <c r="O19" s="60"/>
    </row>
    <row r="20" spans="1:15" s="44" customFormat="1" x14ac:dyDescent="0.2">
      <c r="H20" s="45" t="s">
        <v>109</v>
      </c>
      <c r="I20" s="54">
        <f>INDEX(TblRaces[[Max population]:[Explore Cost]],MATCH(race,TblRaces[Race],0),MATCH(Table4[[#This Row],[Race Bonuses]],TblRaces[[#Headers],[Max population]:[Explore Cost]],0))</f>
        <v>0</v>
      </c>
      <c r="J20" s="49"/>
      <c r="K20" s="449"/>
      <c r="L20" s="449"/>
      <c r="M20" s="449"/>
      <c r="N20" s="449"/>
      <c r="O20" s="60"/>
    </row>
    <row r="21" spans="1:15" s="44" customFormat="1" x14ac:dyDescent="0.2">
      <c r="A21" s="5" t="s">
        <v>320</v>
      </c>
      <c r="B21" s="61" t="s">
        <v>31</v>
      </c>
      <c r="C21" s="61" t="s">
        <v>32</v>
      </c>
      <c r="D21" s="61" t="s">
        <v>2</v>
      </c>
      <c r="E21" s="61" t="s">
        <v>3</v>
      </c>
      <c r="F21" s="61" t="s">
        <v>232</v>
      </c>
      <c r="H21" s="45" t="s">
        <v>110</v>
      </c>
      <c r="I21" s="54">
        <f>INDEX(TblRaces[[Max population]:[Explore Cost]],MATCH(race,TblRaces[Race],0),MATCH(Table4[[#This Row],[Race Bonuses]],TblRaces[[#Headers],[Max population]:[Explore Cost]],0))</f>
        <v>0</v>
      </c>
      <c r="J21" s="49"/>
      <c r="K21" s="449"/>
      <c r="L21" s="449"/>
      <c r="M21" s="449"/>
      <c r="N21" s="449"/>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4"/>
      <c r="L23" s="464"/>
      <c r="M23" s="464"/>
      <c r="N23" s="464"/>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64"/>
      <c r="L24" s="464"/>
      <c r="M24" s="464"/>
      <c r="N24" s="464"/>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1240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64"/>
      <c r="L25" s="464"/>
      <c r="M25" s="464"/>
      <c r="N25" s="46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163</v>
      </c>
      <c r="I26" s="54">
        <f>INDEX(TblRaces[[Max population]:[Explore Cost]],MATCH(race,TblRaces[Race],0),MATCH(Table4[[#This Row],[Race Bonuses]],TblRaces[[#Headers],[Max population]:[Explore Cost]],0))</f>
        <v>0</v>
      </c>
      <c r="K26" s="464"/>
      <c r="L26" s="464"/>
      <c r="M26" s="464"/>
      <c r="N26" s="464"/>
      <c r="O26" s="60"/>
    </row>
    <row r="27" spans="1:15" s="44" customFormat="1" x14ac:dyDescent="0.2">
      <c r="A27" s="442" t="s">
        <v>1099</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164</v>
      </c>
      <c r="I27" s="54">
        <f>INDEX(TblRaces[[Max population]:[Explore Cost]],MATCH(race,TblRaces[Race],0),MATCH(Table4[[#This Row],[Race Bonuses]],TblRaces[[#Headers],[Max population]:[Explore Cost]],0))</f>
        <v>0</v>
      </c>
      <c r="K27" s="464"/>
      <c r="L27" s="464"/>
      <c r="M27" s="464"/>
      <c r="N27" s="464"/>
      <c r="O27" s="60"/>
    </row>
    <row r="28" spans="1:15" s="44" customFormat="1" x14ac:dyDescent="0.2">
      <c r="A28" s="63" t="s">
        <v>183</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440</v>
      </c>
      <c r="I28" s="54">
        <f>INDEX(TblRaces[[Max population]:[Explore Cost]],MATCH(race,TblRaces[Race],0),MATCH(Table4[[#This Row],[Race Bonuses]],TblRaces[[#Headers],[Max population]:[Explore Cost]],0))</f>
        <v>0</v>
      </c>
      <c r="O28" s="60"/>
    </row>
    <row r="29" spans="1:15" s="44" customFormat="1" x14ac:dyDescent="0.2">
      <c r="A29" s="63" t="s">
        <v>184</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489</v>
      </c>
      <c r="I29" s="54">
        <f>INDEX(TblRaces[[Max population]:[Explore Cost]],MATCH(race,TblRaces[Race],0),MATCH(Table4[[#This Row],[Race Bonuses]],TblRaces[[#Headers],[Max population]:[Explore Cost]],0))</f>
        <v>0</v>
      </c>
      <c r="O29" s="60"/>
    </row>
    <row r="30" spans="1:15" s="44" customFormat="1" x14ac:dyDescent="0.2">
      <c r="A30" s="66" t="s">
        <v>1084</v>
      </c>
      <c r="D30" s="67"/>
      <c r="E30" s="68"/>
      <c r="G30" s="51"/>
      <c r="H30" s="45" t="s">
        <v>490</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527</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1076</v>
      </c>
      <c r="I32" s="438">
        <f>INDEX(TblRaces[[Max population]:[Explore Cost]],MATCH(race,TblRaces[Race],0),MATCH(Table4[[#This Row],[Race Bonuses]],TblRaces[[#Headers],[Max population]:[Explore Cost]],0))</f>
        <v>0</v>
      </c>
      <c r="J32" s="70"/>
      <c r="O32" s="75"/>
    </row>
    <row r="33" spans="1:15" s="76" customFormat="1" ht="29.25" customHeight="1" x14ac:dyDescent="0.2">
      <c r="A33" s="448" t="s">
        <v>378</v>
      </c>
      <c r="B33" s="449"/>
      <c r="C33" s="449"/>
      <c r="D33" s="449"/>
      <c r="E33" s="449"/>
      <c r="F33" s="449"/>
      <c r="G33" s="449"/>
      <c r="H33" s="449"/>
      <c r="I33" s="449"/>
      <c r="J33" s="450"/>
      <c r="K33" s="451"/>
      <c r="L33" s="451"/>
      <c r="M33" s="451"/>
      <c r="N33" s="451"/>
      <c r="O33" s="451"/>
    </row>
    <row r="34" spans="1:15" x14ac:dyDescent="0.2">
      <c r="A34" s="5" t="s">
        <v>22</v>
      </c>
      <c r="B34" s="45" t="s">
        <v>356</v>
      </c>
      <c r="C34" s="77" t="s">
        <v>31</v>
      </c>
      <c r="D34" s="78" t="s">
        <v>208</v>
      </c>
      <c r="E34" s="79" t="s">
        <v>1020</v>
      </c>
      <c r="F34" s="77" t="s">
        <v>32</v>
      </c>
      <c r="G34" s="78" t="s">
        <v>1018</v>
      </c>
      <c r="H34" s="78" t="s">
        <v>1019</v>
      </c>
      <c r="I34" s="80" t="s">
        <v>775</v>
      </c>
      <c r="J34" s="44"/>
      <c r="K34" s="44"/>
      <c r="L34" s="44"/>
      <c r="M34" s="44"/>
      <c r="N34" s="44"/>
      <c r="O34" s="81"/>
    </row>
    <row r="35" spans="1:15" x14ac:dyDescent="0.2">
      <c r="A35" s="82" t="s">
        <v>34</v>
      </c>
      <c r="B35" s="83" t="s">
        <v>218</v>
      </c>
      <c r="C35" s="84" t="s">
        <v>190</v>
      </c>
      <c r="D35" s="85" t="s">
        <v>208</v>
      </c>
      <c r="E35" s="83" t="s">
        <v>229</v>
      </c>
      <c r="F35" s="85" t="s">
        <v>190</v>
      </c>
      <c r="G35" s="85" t="s">
        <v>208</v>
      </c>
      <c r="H35" s="85" t="s">
        <v>229</v>
      </c>
      <c r="I35" s="86" t="s">
        <v>34</v>
      </c>
      <c r="J35" s="44"/>
      <c r="K35" s="50" t="s">
        <v>429</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93" t="s">
        <v>430</v>
      </c>
      <c r="L36" s="494"/>
      <c r="M36" s="494"/>
      <c r="N36" s="494"/>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94"/>
      <c r="L37" s="494"/>
      <c r="M37" s="494"/>
      <c r="N37" s="494"/>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94"/>
      <c r="L38" s="494"/>
      <c r="M38" s="494"/>
      <c r="N38" s="494"/>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64" t="s">
        <v>450</v>
      </c>
      <c r="L39" s="495"/>
      <c r="M39" s="495"/>
      <c r="N39" s="495"/>
      <c r="O39" s="51"/>
    </row>
    <row r="40" spans="1:15" ht="13.5" thickTop="1" x14ac:dyDescent="0.2">
      <c r="A40" s="101"/>
      <c r="B40" s="88"/>
      <c r="C40" s="102">
        <f ca="1">SUM(C36:C39)</f>
        <v>0</v>
      </c>
      <c r="E40" s="103">
        <f ca="1">SUM(E36:E39)</f>
        <v>0</v>
      </c>
      <c r="F40" s="35">
        <f ca="1">SUM(F36:F39)</f>
        <v>450</v>
      </c>
      <c r="H40" s="35">
        <f ca="1">SUM(H36:H39)</f>
        <v>450</v>
      </c>
      <c r="I40" s="84"/>
      <c r="J40" s="44"/>
      <c r="K40" s="495"/>
      <c r="L40" s="495"/>
      <c r="M40" s="495"/>
      <c r="N40" s="495"/>
      <c r="O40" s="51"/>
    </row>
    <row r="41" spans="1:15" x14ac:dyDescent="0.2">
      <c r="A41" s="104" t="s">
        <v>24</v>
      </c>
      <c r="B41" s="97">
        <f ca="1">F41</f>
        <v>626</v>
      </c>
      <c r="C41" s="104"/>
      <c r="E41" s="105"/>
      <c r="F41" s="97">
        <f ca="1">Military!AA76</f>
        <v>626</v>
      </c>
      <c r="H41" s="97">
        <f ca="1">F41*(1+$G$36)</f>
        <v>626</v>
      </c>
      <c r="I41" s="92" t="s">
        <v>421</v>
      </c>
      <c r="J41" s="44"/>
      <c r="K41" s="493" t="s">
        <v>448</v>
      </c>
      <c r="L41" s="494"/>
      <c r="M41" s="494"/>
      <c r="N41" s="494"/>
      <c r="O41" s="51"/>
    </row>
    <row r="42" spans="1:15" ht="13.5" thickBot="1" x14ac:dyDescent="0.25">
      <c r="A42" s="104" t="s">
        <v>420</v>
      </c>
      <c r="B42" s="45">
        <f ca="1">E54</f>
        <v>0</v>
      </c>
      <c r="C42" s="104"/>
      <c r="E42" s="105"/>
      <c r="F42" s="106">
        <f ca="1">MIN(Population!C76/2,Constants!B14*20*Construction!BE76)</f>
        <v>0</v>
      </c>
      <c r="H42" s="107">
        <f ca="1">F42*(1+$G$36)</f>
        <v>0</v>
      </c>
      <c r="I42" s="92" t="s">
        <v>379</v>
      </c>
      <c r="J42" s="44"/>
      <c r="K42" s="494"/>
      <c r="L42" s="494"/>
      <c r="M42" s="494"/>
      <c r="N42" s="494"/>
      <c r="O42" s="51"/>
    </row>
    <row r="43" spans="1:15" ht="13.5" thickTop="1" x14ac:dyDescent="0.2">
      <c r="C43" s="104"/>
      <c r="E43" s="105"/>
      <c r="F43" s="35">
        <f ca="1">F41+F40+F42</f>
        <v>1076</v>
      </c>
      <c r="H43" s="103">
        <f ca="1">H41+H40+H42</f>
        <v>1076</v>
      </c>
      <c r="I43" s="92"/>
      <c r="J43" s="44"/>
      <c r="K43" s="449"/>
      <c r="L43" s="449"/>
      <c r="M43" s="449"/>
      <c r="N43" s="449"/>
      <c r="O43" s="51"/>
    </row>
    <row r="44" spans="1:15" x14ac:dyDescent="0.2">
      <c r="A44" s="44"/>
      <c r="B44" s="44"/>
      <c r="C44" s="44"/>
      <c r="D44" s="492"/>
      <c r="E44" s="492"/>
      <c r="F44" s="492"/>
      <c r="G44" s="492"/>
      <c r="H44" s="492"/>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1099</v>
      </c>
      <c r="B46" s="443">
        <f ca="1">Military!J76</f>
        <v>0</v>
      </c>
      <c r="C46" s="44"/>
      <c r="D46" s="5" t="s">
        <v>254</v>
      </c>
      <c r="E46" s="57" t="s">
        <v>356</v>
      </c>
      <c r="F46" s="45" t="s">
        <v>1021</v>
      </c>
      <c r="G46" s="44"/>
      <c r="H46" s="50" t="s">
        <v>256</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257</v>
      </c>
      <c r="I47" s="110" t="s">
        <v>190</v>
      </c>
      <c r="J47" s="57" t="s">
        <v>229</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251</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252</v>
      </c>
      <c r="I49" s="114">
        <f ca="1">F40/E47</f>
        <v>1.8</v>
      </c>
      <c r="J49" s="114">
        <f ca="1">H40/E47</f>
        <v>1.8</v>
      </c>
      <c r="K49" s="44"/>
      <c r="L49" s="44"/>
      <c r="M49" s="44"/>
      <c r="N49" s="44"/>
      <c r="O49" s="51"/>
    </row>
    <row r="50" spans="1:15" x14ac:dyDescent="0.2">
      <c r="A50" s="108" t="s">
        <v>269</v>
      </c>
      <c r="B50" s="429">
        <f ca="1">Production!N76*(boat_size + tech_6_3_3*Techs!BH76)</f>
        <v>0</v>
      </c>
      <c r="C50" s="44"/>
      <c r="D50" s="111" t="str">
        <f>Construction!BA3</f>
        <v>Tot Farm</v>
      </c>
      <c r="E50" s="45">
        <f ca="1">Construction!BA76</f>
        <v>30</v>
      </c>
      <c r="F50" s="113">
        <f ca="1">E50/$E$47</f>
        <v>0.12</v>
      </c>
      <c r="G50" s="44"/>
      <c r="H50" s="45" t="s">
        <v>253</v>
      </c>
      <c r="I50" s="114">
        <f ca="1">(B45 + B46*2 + B38*D90*E90 + B38*D91*E91)/E47</f>
        <v>0.1</v>
      </c>
      <c r="J50" s="114">
        <f ca="1">I50*(1+I26)</f>
        <v>0.1</v>
      </c>
      <c r="K50" s="44"/>
      <c r="L50" s="44"/>
      <c r="M50" s="44"/>
      <c r="N50" s="44"/>
      <c r="O50" s="51"/>
    </row>
    <row r="51" spans="1:15" x14ac:dyDescent="0.2">
      <c r="A51" s="115" t="s">
        <v>377</v>
      </c>
      <c r="B51" s="430">
        <f>SUM(Imps!M4:'Imps'!M76)</f>
        <v>0</v>
      </c>
      <c r="C51" s="44"/>
      <c r="D51" s="111" t="str">
        <f>Construction!BB3</f>
        <v>Tot Smi</v>
      </c>
      <c r="E51" s="45">
        <f ca="1">Construction!BB76</f>
        <v>0</v>
      </c>
      <c r="F51" s="113">
        <f t="shared" ref="F51:F66" ca="1" si="0">E51/$E$47</f>
        <v>0</v>
      </c>
      <c r="G51" s="44"/>
      <c r="H51" s="45" t="s">
        <v>255</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218</v>
      </c>
      <c r="J54" s="45" t="s">
        <v>385</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450038</v>
      </c>
      <c r="J55" s="62">
        <f ca="1">Production!H64+SUM(Military!AR4:AR64)</f>
        <v>450038</v>
      </c>
      <c r="K55" s="44"/>
      <c r="L55" s="44"/>
      <c r="M55" s="44"/>
      <c r="N55" s="44"/>
      <c r="O55" s="51"/>
    </row>
    <row r="56" spans="1:15" x14ac:dyDescent="0.2">
      <c r="A56" s="117" t="s">
        <v>232</v>
      </c>
      <c r="B56" s="427">
        <f ca="1">Production!G76</f>
        <v>6450</v>
      </c>
      <c r="C56" s="44"/>
      <c r="D56" s="111" t="str">
        <f>Construction!BG3</f>
        <v>Tot GN</v>
      </c>
      <c r="E56" s="45">
        <f ca="1">Construction!BG76</f>
        <v>0</v>
      </c>
      <c r="F56" s="113">
        <f t="shared" ca="1" si="0"/>
        <v>0</v>
      </c>
      <c r="G56" s="44"/>
      <c r="H56" s="119">
        <v>64</v>
      </c>
      <c r="I56" s="62">
        <f ca="1">Production!H67</f>
        <v>466496</v>
      </c>
      <c r="J56" s="62">
        <f ca="1">Production!H67+SUM(Military!AR5:AR67)</f>
        <v>466496</v>
      </c>
      <c r="K56" s="120"/>
      <c r="L56" s="44"/>
      <c r="M56" s="44"/>
      <c r="N56" s="44"/>
      <c r="O56" s="51"/>
    </row>
    <row r="57" spans="1:15" x14ac:dyDescent="0.2">
      <c r="A57" s="118" t="s">
        <v>268</v>
      </c>
      <c r="B57" s="428">
        <f ca="1">H40</f>
        <v>450</v>
      </c>
      <c r="C57" s="44"/>
      <c r="D57" s="111" t="str">
        <f>Construction!BJ3</f>
        <v>Tot Bar</v>
      </c>
      <c r="E57" s="45">
        <f ca="1">Construction!BJ76</f>
        <v>0</v>
      </c>
      <c r="F57" s="113">
        <f t="shared" ca="1" si="0"/>
        <v>0</v>
      </c>
      <c r="G57" s="44"/>
      <c r="H57" s="119" t="s">
        <v>231</v>
      </c>
      <c r="I57" s="62">
        <f ca="1">Production!H76</f>
        <v>515870</v>
      </c>
      <c r="J57" s="62">
        <f ca="1">Production!H76+SUM(Military!AR4:AR76)</f>
        <v>515870</v>
      </c>
      <c r="K57" s="120"/>
      <c r="L57" s="44"/>
      <c r="M57" s="44"/>
      <c r="N57" s="44"/>
      <c r="O57" s="51"/>
    </row>
    <row r="58" spans="1:15" x14ac:dyDescent="0.2">
      <c r="A58" s="117" t="s">
        <v>267</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278</v>
      </c>
      <c r="I59" s="44"/>
      <c r="J59" s="44"/>
      <c r="K59" s="44"/>
      <c r="L59" s="44"/>
      <c r="M59" s="44"/>
      <c r="N59" s="44"/>
      <c r="O59" s="51"/>
    </row>
    <row r="60" spans="1:15" x14ac:dyDescent="0.2">
      <c r="A60" s="117" t="s">
        <v>2</v>
      </c>
      <c r="B60" s="427">
        <f ca="1">Production!H$76</f>
        <v>515870</v>
      </c>
      <c r="C60" s="44"/>
      <c r="D60" s="111" t="str">
        <f>Construction!BK3</f>
        <v>Tot Shr</v>
      </c>
      <c r="E60" s="45">
        <f ca="1">Construction!BK76</f>
        <v>0</v>
      </c>
      <c r="F60" s="113">
        <f t="shared" ca="1" si="0"/>
        <v>0</v>
      </c>
      <c r="G60" s="44"/>
      <c r="H60" s="45" t="s">
        <v>279</v>
      </c>
      <c r="I60" s="95" t="s">
        <v>218</v>
      </c>
      <c r="J60" s="121" t="s">
        <v>384</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280</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281</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192</v>
      </c>
      <c r="I64" s="97">
        <f ca="1">SUM(Rezone!Y4:Y76)</f>
        <v>0</v>
      </c>
      <c r="J64" s="121">
        <f ca="1">IFERROR(Table18[[#This Row],[Amount]]/Table18[[#Totals],[Amount]],0)</f>
        <v>0</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282</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188</v>
      </c>
      <c r="I66" s="97">
        <f ca="1">SUBTOTAL(109,Table18[Amount])</f>
        <v>0</v>
      </c>
      <c r="J66" s="342">
        <f>1</f>
        <v>1</v>
      </c>
      <c r="K66" s="44"/>
      <c r="L66" s="44"/>
      <c r="M66" s="44"/>
      <c r="N66" s="44"/>
      <c r="O66" s="51"/>
    </row>
    <row r="67" spans="1:15" x14ac:dyDescent="0.2">
      <c r="A67" s="118" t="s">
        <v>276</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277</v>
      </c>
      <c r="B68" s="427">
        <f>Construction!D76</f>
        <v>0</v>
      </c>
      <c r="C68" s="44"/>
      <c r="D68" s="5" t="s">
        <v>360</v>
      </c>
      <c r="E68" s="35">
        <f ca="1">E47-SUM(E48:E66)-B68</f>
        <v>160</v>
      </c>
      <c r="F68" s="126">
        <f ca="1">E68/E47</f>
        <v>0.64</v>
      </c>
      <c r="G68" s="44"/>
      <c r="H68" s="44"/>
      <c r="I68" s="44"/>
      <c r="J68" s="44"/>
      <c r="K68" s="44"/>
      <c r="L68" s="44"/>
      <c r="M68" s="44"/>
      <c r="N68" s="44"/>
      <c r="O68" s="51"/>
    </row>
    <row r="69" spans="1:15" x14ac:dyDescent="0.2">
      <c r="A69" s="124" t="s">
        <v>381</v>
      </c>
      <c r="B69" s="125" t="str">
        <f>VLOOKUP($B$14,Races!$A$4:$B$112,2,FALSE)</f>
        <v>Good</v>
      </c>
      <c r="C69" s="44"/>
      <c r="D69" s="5" t="s">
        <v>361</v>
      </c>
      <c r="E69" s="35">
        <f>B68</f>
        <v>0</v>
      </c>
      <c r="F69" s="5">
        <f ca="1">E69/E47</f>
        <v>0</v>
      </c>
      <c r="G69" s="44"/>
      <c r="H69" s="44"/>
      <c r="I69" s="44"/>
      <c r="J69" s="44"/>
      <c r="K69" s="44"/>
      <c r="L69" s="44"/>
      <c r="M69" s="44"/>
      <c r="N69" s="44"/>
      <c r="O69" s="51"/>
    </row>
    <row r="70" spans="1:15" x14ac:dyDescent="0.2">
      <c r="A70" s="124" t="s">
        <v>380</v>
      </c>
      <c r="B70" s="125" t="str">
        <f>VLOOKUP($B$14,Races!$A$4:$C$112,3,FALSE)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90" t="s">
        <v>289</v>
      </c>
      <c r="B73" s="491"/>
      <c r="C73" s="127"/>
      <c r="D73" s="127"/>
      <c r="E73" s="127"/>
    </row>
    <row r="74" spans="1:15" x14ac:dyDescent="0.2">
      <c r="A74" s="128" t="s">
        <v>290</v>
      </c>
      <c r="B74" s="129"/>
      <c r="C74" s="127"/>
      <c r="D74" s="127"/>
      <c r="E74" s="129"/>
    </row>
    <row r="75" spans="1:15" x14ac:dyDescent="0.2">
      <c r="A75" s="130" t="s">
        <v>292</v>
      </c>
      <c r="B75" s="130" t="s">
        <v>293</v>
      </c>
      <c r="C75" s="130" t="s">
        <v>295</v>
      </c>
      <c r="D75" s="130" t="s">
        <v>294</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331</v>
      </c>
      <c r="B81" s="127" t="s">
        <v>334</v>
      </c>
      <c r="C81" s="127"/>
      <c r="D81" s="131">
        <f ca="1">MIN(Constants!F122,F67/Constants!C122)</f>
        <v>2.1999999999999997</v>
      </c>
      <c r="E81" s="127" t="b">
        <f>$B$14=A81</f>
        <v>0</v>
      </c>
    </row>
    <row r="82" spans="1:5" x14ac:dyDescent="0.2">
      <c r="A82" s="127"/>
      <c r="B82" s="127" t="s">
        <v>335</v>
      </c>
      <c r="C82" s="127">
        <f ca="1">MIN(Constants!F123,I51*Constants!C123)</f>
        <v>0.1</v>
      </c>
      <c r="D82" s="127"/>
      <c r="E82" s="127"/>
    </row>
    <row r="83" spans="1:5" x14ac:dyDescent="0.2">
      <c r="A83" s="127" t="s">
        <v>144</v>
      </c>
      <c r="B83" s="127" t="s">
        <v>376</v>
      </c>
      <c r="C83" s="127"/>
      <c r="D83" s="131">
        <f>MIN(Constants!F124,250/Constants!C124)</f>
        <v>0</v>
      </c>
      <c r="E83" s="127" t="b">
        <f>$B$14=A83</f>
        <v>0</v>
      </c>
    </row>
    <row r="84" spans="1:5" x14ac:dyDescent="0.2">
      <c r="A84" s="127" t="s">
        <v>144</v>
      </c>
      <c r="B84" s="127" t="s">
        <v>359</v>
      </c>
      <c r="C84" s="132">
        <f>MIN(bone_breaker_cap,250/bone_breaker_bonus)</f>
        <v>0.83333333333333337</v>
      </c>
      <c r="E84" s="127" t="b">
        <f>$B$14=A84</f>
        <v>0</v>
      </c>
    </row>
    <row r="85" spans="1:5" x14ac:dyDescent="0.2">
      <c r="A85" s="127" t="s">
        <v>501</v>
      </c>
      <c r="B85" s="127" t="s">
        <v>425</v>
      </c>
      <c r="C85" s="127"/>
      <c r="D85" s="131">
        <f ca="1">MIN(nox_nightshade_cap,E67/E47/nox_nightshade_swamp_bonus)</f>
        <v>4</v>
      </c>
      <c r="E85" s="127" t="b">
        <f>$B$14=A85</f>
        <v>0</v>
      </c>
    </row>
    <row r="86" spans="1:5" x14ac:dyDescent="0.2">
      <c r="A86" s="127"/>
      <c r="B86" s="127"/>
      <c r="C86" s="127"/>
      <c r="D86" s="131"/>
      <c r="E86" s="127"/>
    </row>
    <row r="87" spans="1:5" x14ac:dyDescent="0.2">
      <c r="A87" s="128" t="s">
        <v>291</v>
      </c>
      <c r="B87" s="127"/>
      <c r="C87" s="127"/>
      <c r="D87" s="127"/>
      <c r="E87" s="127"/>
    </row>
    <row r="88" spans="1:5" x14ac:dyDescent="0.2">
      <c r="A88" s="127" t="s">
        <v>103</v>
      </c>
      <c r="B88" s="127" t="s">
        <v>329</v>
      </c>
      <c r="C88" s="127"/>
      <c r="D88" s="127">
        <f ca="1">MIN(B38,B37)*2</f>
        <v>0</v>
      </c>
      <c r="E88" s="127" t="b">
        <f>$B$14=A88</f>
        <v>0</v>
      </c>
    </row>
    <row r="89" spans="1:5" x14ac:dyDescent="0.2">
      <c r="A89" s="127"/>
      <c r="B89" s="127" t="s">
        <v>330</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160</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165</v>
      </c>
      <c r="V1" s="498"/>
      <c r="W1" s="497" t="s">
        <v>169</v>
      </c>
      <c r="X1" s="497"/>
      <c r="Y1" s="497"/>
      <c r="Z1" s="497"/>
      <c r="AA1" s="497" t="s">
        <v>174</v>
      </c>
      <c r="AB1" s="498"/>
      <c r="AC1" s="498"/>
      <c r="AD1" s="498"/>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312</v>
      </c>
      <c r="C3" s="138" t="s">
        <v>21</v>
      </c>
      <c r="D3" s="138" t="s">
        <v>22</v>
      </c>
      <c r="E3" s="138" t="s">
        <v>24</v>
      </c>
      <c r="F3" s="138" t="s">
        <v>188</v>
      </c>
      <c r="G3" s="138" t="s">
        <v>189</v>
      </c>
      <c r="H3" s="138" t="s">
        <v>226</v>
      </c>
      <c r="I3" s="138" t="s">
        <v>266</v>
      </c>
      <c r="J3" s="138" t="s">
        <v>314</v>
      </c>
      <c r="K3" s="138" t="s">
        <v>775</v>
      </c>
      <c r="L3" s="138" t="s">
        <v>1022</v>
      </c>
      <c r="M3" s="138" t="s">
        <v>771</v>
      </c>
      <c r="N3" s="138" t="s">
        <v>772</v>
      </c>
      <c r="O3" s="138" t="s">
        <v>773</v>
      </c>
      <c r="P3" s="138" t="s">
        <v>774</v>
      </c>
      <c r="Q3" s="138" t="s">
        <v>25</v>
      </c>
      <c r="R3" s="138" t="s">
        <v>26</v>
      </c>
      <c r="S3" s="138" t="s">
        <v>184</v>
      </c>
      <c r="T3" s="138" t="s">
        <v>776</v>
      </c>
      <c r="U3" s="138" t="s">
        <v>228</v>
      </c>
      <c r="V3" s="138" t="s">
        <v>176</v>
      </c>
      <c r="W3" s="138" t="s">
        <v>175</v>
      </c>
      <c r="X3" s="138" t="s">
        <v>234</v>
      </c>
      <c r="Y3" s="138" t="s">
        <v>227</v>
      </c>
      <c r="Z3" s="138" t="s">
        <v>1039</v>
      </c>
      <c r="AA3" s="138" t="s">
        <v>778</v>
      </c>
      <c r="AB3" s="138" t="s">
        <v>169</v>
      </c>
      <c r="AC3" s="138" t="s">
        <v>173</v>
      </c>
    </row>
    <row r="4" spans="1:30" x14ac:dyDescent="0.2">
      <c r="A4" s="140">
        <f>TblRezone[[#This Row],[Hour]]</f>
        <v>1</v>
      </c>
      <c r="B4" s="141">
        <f>TblImps[[#This Row],[Time]]</f>
        <v>45366.75</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 + TblConstr[[#This Row],[Tot Fac]]*bonus_jobs_facts</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tech_6_1*Techs!BJ4 + tech_6_5*Techs!BF4 + tech_7_3_2*Techs!BN4) * (1 + Production!O4/100*prestige_pop_multiplier) + Production!O4/100*prestige_pop_multiplier</f>
        <v>2.5000000000000001E-2</v>
      </c>
    </row>
    <row r="5" spans="1:30" x14ac:dyDescent="0.2">
      <c r="A5" s="140">
        <f>TblRezone[[#This Row],[Hour]]</f>
        <v>2</v>
      </c>
      <c r="B5" s="141">
        <f ca="1">TblImps[[#This Row],[Time]]</f>
        <v>45366.791666666664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 + TblConstr[[#This Row],[Tot Fac]]*bonus_jobs_facts</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tech_6_1*Techs!BJ5 + tech_6_5*Techs!BF5 + tech_7_3_2*Techs!BN5) * (1 + Production!O5/100*prestige_pop_multiplier) + Production!O5/100*prestige_pop_multiplier</f>
        <v>2.5000000000000001E-2</v>
      </c>
    </row>
    <row r="6" spans="1:30" x14ac:dyDescent="0.2">
      <c r="A6" s="140">
        <f>TblRezone[[#This Row],[Hour]]</f>
        <v>3</v>
      </c>
      <c r="B6" s="141">
        <f ca="1">TblImps[[#This Row],[Time]]</f>
        <v>45366.833333333328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 + TblConstr[[#This Row],[Tot Fac]]*bonus_jobs_facts</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tech_6_1*Techs!BJ6 + tech_6_5*Techs!BF6 + tech_7_3_2*Techs!BN6) * (1 + Production!O6/100*prestige_pop_multiplier) + Production!O6/100*prestige_pop_multiplier</f>
        <v>2.5000000000000001E-2</v>
      </c>
    </row>
    <row r="7" spans="1:30" x14ac:dyDescent="0.2">
      <c r="A7" s="140">
        <f>TblRezone[[#This Row],[Hour]]</f>
        <v>4</v>
      </c>
      <c r="B7" s="141">
        <f ca="1">TblImps[[#This Row],[Time]]</f>
        <v>45366.874999999993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 + TblConstr[[#This Row],[Tot Fac]]*bonus_jobs_facts</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tech_6_1*Techs!BJ7 + tech_6_5*Techs!BF7 + tech_7_3_2*Techs!BN7) * (1 + Production!O7/100*prestige_pop_multiplier) + Production!O7/100*prestige_pop_multiplier</f>
        <v>2.5000000000000001E-2</v>
      </c>
    </row>
    <row r="8" spans="1:30" x14ac:dyDescent="0.2">
      <c r="A8" s="140">
        <f>TblRezone[[#This Row],[Hour]]</f>
        <v>5</v>
      </c>
      <c r="B8" s="141">
        <f ca="1">TblImps[[#This Row],[Time]]</f>
        <v>45366.916666666657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 + TblConstr[[#This Row],[Tot Fac]]*bonus_jobs_facts</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tech_6_1*Techs!BJ8 + tech_6_5*Techs!BF8 + tech_7_3_2*Techs!BN8) * (1 + Production!O8/100*prestige_pop_multiplier) + Production!O8/100*prestige_pop_multiplier</f>
        <v>2.5000000000000001E-2</v>
      </c>
    </row>
    <row r="9" spans="1:30" x14ac:dyDescent="0.2">
      <c r="A9" s="140">
        <f>TblRezone[[#This Row],[Hour]]</f>
        <v>6</v>
      </c>
      <c r="B9" s="141">
        <f ca="1">TblImps[[#This Row],[Time]]</f>
        <v>45366.958333333321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 + TblConstr[[#This Row],[Tot Fac]]*bonus_jobs_facts</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tech_6_1*Techs!BJ9 + tech_6_5*Techs!BF9 + tech_7_3_2*Techs!BN9) * (1 + Production!O9/100*prestige_pop_multiplier) + Production!O9/100*prestige_pop_multiplier</f>
        <v>2.5000000000000001E-2</v>
      </c>
    </row>
    <row r="10" spans="1:30" x14ac:dyDescent="0.2">
      <c r="A10" s="140">
        <f>TblRezone[[#This Row],[Hour]]</f>
        <v>7</v>
      </c>
      <c r="B10" s="141">
        <f ca="1">TblImps[[#This Row],[Time]]</f>
        <v>45366.999999999985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 + TblConstr[[#This Row],[Tot Fac]]*bonus_jobs_facts</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40">
        <f>TblRezone[[#This Row],[Hour]]</f>
        <v>8</v>
      </c>
      <c r="B11" s="141">
        <f ca="1">TblImps[[#This Row],[Time]]</f>
        <v>45367.04166666665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 + TblConstr[[#This Row],[Tot Fac]]*bonus_jobs_facts</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40">
        <f>TblRezone[[#This Row],[Hour]]</f>
        <v>9</v>
      </c>
      <c r="B12" s="141">
        <f ca="1">TblImps[[#This Row],[Time]]</f>
        <v>45367.083333333314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 + TblConstr[[#This Row],[Tot Fac]]*bonus_jobs_facts</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40">
        <f>TblRezone[[#This Row],[Hour]]</f>
        <v>10</v>
      </c>
      <c r="B13" s="141">
        <f ca="1">TblImps[[#This Row],[Time]]</f>
        <v>45367.124999999978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 + TblConstr[[#This Row],[Tot Fac]]*bonus_jobs_facts</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40">
        <f>TblRezone[[#This Row],[Hour]]</f>
        <v>11</v>
      </c>
      <c r="B14" s="141">
        <f ca="1">TblImps[[#This Row],[Time]]</f>
        <v>45367.166666666642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 + TblConstr[[#This Row],[Tot Fac]]*bonus_jobs_facts</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40">
        <f>TblRezone[[#This Row],[Hour]]</f>
        <v>12</v>
      </c>
      <c r="B15" s="141">
        <f ca="1">TblImps[[#This Row],[Time]]</f>
        <v>45367.208333333307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 + TblConstr[[#This Row],[Tot Fac]]*bonus_jobs_facts</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40">
        <f>TblRezone[[#This Row],[Hour]]</f>
        <v>13</v>
      </c>
      <c r="B16" s="141">
        <f ca="1">TblImps[[#This Row],[Time]]</f>
        <v>45367.249999999971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 + TblConstr[[#This Row],[Tot Fac]]*bonus_jobs_facts</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40">
        <f>TblRezone[[#This Row],[Hour]]</f>
        <v>14</v>
      </c>
      <c r="B17" s="141">
        <f ca="1">TblImps[[#This Row],[Time]]</f>
        <v>45367.291666666635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 + TblConstr[[#This Row],[Tot Fac]]*bonus_jobs_facts</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40">
        <f>TblRezone[[#This Row],[Hour]]</f>
        <v>15</v>
      </c>
      <c r="B18" s="141">
        <f ca="1">TblImps[[#This Row],[Time]]</f>
        <v>45367.333333333299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 + TblConstr[[#This Row],[Tot Fac]]*bonus_jobs_facts</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40">
        <f>TblRezone[[#This Row],[Hour]]</f>
        <v>16</v>
      </c>
      <c r="B19" s="141">
        <f ca="1">TblImps[[#This Row],[Time]]</f>
        <v>45367.374999999964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 + TblConstr[[#This Row],[Tot Fac]]*bonus_jobs_facts</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40">
        <f>TblRezone[[#This Row],[Hour]]</f>
        <v>17</v>
      </c>
      <c r="B20" s="141">
        <f ca="1">TblImps[[#This Row],[Time]]</f>
        <v>45367.416666666628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 + TblConstr[[#This Row],[Tot Fac]]*bonus_jobs_facts</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40">
        <f>TblRezone[[#This Row],[Hour]]</f>
        <v>18</v>
      </c>
      <c r="B21" s="141">
        <f ca="1">TblImps[[#This Row],[Time]]</f>
        <v>45367.458333333292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 + TblConstr[[#This Row],[Tot Fac]]*bonus_jobs_facts</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40">
        <f>TblRezone[[#This Row],[Hour]]</f>
        <v>19</v>
      </c>
      <c r="B22" s="141">
        <f ca="1">TblImps[[#This Row],[Time]]</f>
        <v>45367.499999999956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 + TblConstr[[#This Row],[Tot Fac]]*bonus_jobs_facts</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40">
        <f>TblRezone[[#This Row],[Hour]]</f>
        <v>20</v>
      </c>
      <c r="B23" s="141">
        <f ca="1">TblImps[[#This Row],[Time]]</f>
        <v>45367.541666666621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 + TblConstr[[#This Row],[Tot Fac]]*bonus_jobs_facts</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40">
        <f>TblRezone[[#This Row],[Hour]]</f>
        <v>21</v>
      </c>
      <c r="B24" s="141">
        <f ca="1">TblImps[[#This Row],[Time]]</f>
        <v>45367.583333333285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 + TblConstr[[#This Row],[Tot Fac]]*bonus_jobs_facts</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40">
        <f>TblRezone[[#This Row],[Hour]]</f>
        <v>22</v>
      </c>
      <c r="B25" s="141">
        <f ca="1">TblImps[[#This Row],[Time]]</f>
        <v>45367.624999999949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 + TblConstr[[#This Row],[Tot Fac]]*bonus_jobs_facts</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40">
        <f>TblRezone[[#This Row],[Hour]]</f>
        <v>23</v>
      </c>
      <c r="B26" s="141">
        <f ca="1">TblImps[[#This Row],[Time]]</f>
        <v>45367.666666666613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 + TblConstr[[#This Row],[Tot Fac]]*bonus_jobs_facts</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40">
        <f>TblRezone[[#This Row],[Hour]]</f>
        <v>24</v>
      </c>
      <c r="B27" s="141">
        <f ca="1">TblImps[[#This Row],[Time]]</f>
        <v>45367.708333333278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 + TblConstr[[#This Row],[Tot Fac]]*bonus_jobs_facts</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40">
        <f>TblRezone[[#This Row],[Hour]]</f>
        <v>25</v>
      </c>
      <c r="B28" s="141">
        <f ca="1">TblImps[[#This Row],[Time]]</f>
        <v>45367.749999999942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 + TblConstr[[#This Row],[Tot Fac]]*bonus_jobs_facts</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40">
        <f>TblRezone[[#This Row],[Hour]]</f>
        <v>26</v>
      </c>
      <c r="B29" s="141">
        <f ca="1">TblImps[[#This Row],[Time]]</f>
        <v>45367.791666666606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 + TblConstr[[#This Row],[Tot Fac]]*bonus_jobs_facts</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40">
        <f>TblRezone[[#This Row],[Hour]]</f>
        <v>27</v>
      </c>
      <c r="B30" s="141">
        <f ca="1">TblImps[[#This Row],[Time]]</f>
        <v>45367.83333333327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 + TblConstr[[#This Row],[Tot Fac]]*bonus_jobs_facts</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40">
        <f>TblRezone[[#This Row],[Hour]]</f>
        <v>28</v>
      </c>
      <c r="B31" s="141">
        <f ca="1">TblImps[[#This Row],[Time]]</f>
        <v>45367.874999999935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 + TblConstr[[#This Row],[Tot Fac]]*bonus_jobs_facts</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40">
        <f>TblRezone[[#This Row],[Hour]]</f>
        <v>29</v>
      </c>
      <c r="B32" s="141">
        <f ca="1">TblImps[[#This Row],[Time]]</f>
        <v>45367.916666666599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 + TblConstr[[#This Row],[Tot Fac]]*bonus_jobs_facts</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40">
        <f>TblRezone[[#This Row],[Hour]]</f>
        <v>30</v>
      </c>
      <c r="B33" s="141">
        <f ca="1">TblImps[[#This Row],[Time]]</f>
        <v>45367.958333333263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 + TblConstr[[#This Row],[Tot Fac]]*bonus_jobs_facts</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40">
        <f>TblRezone[[#This Row],[Hour]]</f>
        <v>31</v>
      </c>
      <c r="B34" s="141">
        <f ca="1">TblImps[[#This Row],[Time]]</f>
        <v>45367.999999999927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 + TblConstr[[#This Row],[Tot Fac]]*bonus_jobs_facts</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40">
        <f>TblRezone[[#This Row],[Hour]]</f>
        <v>32</v>
      </c>
      <c r="B35" s="141">
        <f ca="1">TblImps[[#This Row],[Time]]</f>
        <v>45368.041666666591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 + TblConstr[[#This Row],[Tot Fac]]*bonus_jobs_facts</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40">
        <f>TblRezone[[#This Row],[Hour]]</f>
        <v>33</v>
      </c>
      <c r="B36" s="141">
        <f ca="1">TblImps[[#This Row],[Time]]</f>
        <v>45368.083333333256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 + TblConstr[[#This Row],[Tot Fac]]*bonus_jobs_facts</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40">
        <f>TblRezone[[#This Row],[Hour]]</f>
        <v>34</v>
      </c>
      <c r="B37" s="141">
        <f ca="1">TblImps[[#This Row],[Time]]</f>
        <v>45368.12499999992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 + TblConstr[[#This Row],[Tot Fac]]*bonus_jobs_facts</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40">
        <f>TblRezone[[#This Row],[Hour]]</f>
        <v>35</v>
      </c>
      <c r="B38" s="141">
        <f ca="1">TblImps[[#This Row],[Time]]</f>
        <v>45368.166666666584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 + TblConstr[[#This Row],[Tot Fac]]*bonus_jobs_facts</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45368.208333333248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 + TblConstr[[#This Row],[Tot Fac]]*bonus_jobs_facts</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40">
        <f>TblRezone[[#This Row],[Hour]]</f>
        <v>37</v>
      </c>
      <c r="B40" s="141">
        <f ca="1">TblImps[[#This Row],[Time]]</f>
        <v>45368.249999999913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 + TblConstr[[#This Row],[Tot Fac]]*bonus_jobs_facts</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40">
        <f>TblRezone[[#This Row],[Hour]]</f>
        <v>38</v>
      </c>
      <c r="B41" s="141">
        <f ca="1">TblImps[[#This Row],[Time]]</f>
        <v>45368.291666666577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 + TblConstr[[#This Row],[Tot Fac]]*bonus_jobs_facts</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40">
        <f>TblRezone[[#This Row],[Hour]]</f>
        <v>39</v>
      </c>
      <c r="B42" s="141">
        <f ca="1">TblImps[[#This Row],[Time]]</f>
        <v>45368.333333333241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 + TblConstr[[#This Row],[Tot Fac]]*bonus_jobs_facts</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40">
        <f>TblRezone[[#This Row],[Hour]]</f>
        <v>40</v>
      </c>
      <c r="B43" s="141">
        <f ca="1">TblImps[[#This Row],[Time]]</f>
        <v>45368.374999999905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 + TblConstr[[#This Row],[Tot Fac]]*bonus_jobs_facts</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40">
        <f>TblRezone[[#This Row],[Hour]]</f>
        <v>41</v>
      </c>
      <c r="B44" s="141">
        <f ca="1">TblImps[[#This Row],[Time]]</f>
        <v>45368.41666666657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 + TblConstr[[#This Row],[Tot Fac]]*bonus_jobs_facts</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40">
        <f>TblRezone[[#This Row],[Hour]]</f>
        <v>42</v>
      </c>
      <c r="B45" s="141">
        <f ca="1">TblImps[[#This Row],[Time]]</f>
        <v>45368.458333333234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 + TblConstr[[#This Row],[Tot Fac]]*bonus_jobs_facts</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40">
        <f>TblRezone[[#This Row],[Hour]]</f>
        <v>43</v>
      </c>
      <c r="B46" s="141">
        <f ca="1">TblImps[[#This Row],[Time]]</f>
        <v>45368.499999999898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 + TblConstr[[#This Row],[Tot Fac]]*bonus_jobs_facts</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40">
        <f>TblRezone[[#This Row],[Hour]]</f>
        <v>44</v>
      </c>
      <c r="B47" s="141">
        <f ca="1">TblImps[[#This Row],[Time]]</f>
        <v>45368.541666666562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 + TblConstr[[#This Row],[Tot Fac]]*bonus_jobs_facts</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40">
        <f>TblRezone[[#This Row],[Hour]]</f>
        <v>45</v>
      </c>
      <c r="B48" s="141">
        <f ca="1">TblImps[[#This Row],[Time]]</f>
        <v>45368.583333333227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 + TblConstr[[#This Row],[Tot Fac]]*bonus_jobs_facts</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40">
        <f>TblRezone[[#This Row],[Hour]]</f>
        <v>46</v>
      </c>
      <c r="B49" s="141">
        <f ca="1">TblImps[[#This Row],[Time]]</f>
        <v>45368.624999999891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 + TblConstr[[#This Row],[Tot Fac]]*bonus_jobs_facts</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40">
        <f>TblRezone[[#This Row],[Hour]]</f>
        <v>47</v>
      </c>
      <c r="B50" s="141">
        <f ca="1">TblImps[[#This Row],[Time]]</f>
        <v>45368.666666666555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 + TblConstr[[#This Row],[Tot Fac]]*bonus_jobs_facts</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40">
        <f>TblRezone[[#This Row],[Hour]]</f>
        <v>48</v>
      </c>
      <c r="B51" s="141">
        <f ca="1">TblImps[[#This Row],[Time]]</f>
        <v>45368.708333333219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 + TblConstr[[#This Row],[Tot Fac]]*bonus_jobs_facts</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0">
        <f>TblRezone[[#This Row],[Hour]]</f>
        <v>49</v>
      </c>
      <c r="B52" s="141">
        <f ca="1">TblImps[[#This Row],[Time]]</f>
        <v>45368.749999999884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 + TblConstr[[#This Row],[Tot Fac]]*bonus_jobs_facts</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40">
        <f>TblRezone[[#This Row],[Hour]]</f>
        <v>50</v>
      </c>
      <c r="B53" s="141">
        <f ca="1">TblImps[[#This Row],[Time]]</f>
        <v>45368.791666666548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 + TblConstr[[#This Row],[Tot Fac]]*bonus_jobs_facts</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40">
        <f>TblRezone[[#This Row],[Hour]]</f>
        <v>51</v>
      </c>
      <c r="B54" s="141">
        <f ca="1">TblImps[[#This Row],[Time]]</f>
        <v>45368.833333333212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 + TblConstr[[#This Row],[Tot Fac]]*bonus_jobs_facts</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40">
        <f>TblRezone[[#This Row],[Hour]]</f>
        <v>52</v>
      </c>
      <c r="B55" s="141">
        <f ca="1">TblImps[[#This Row],[Time]]</f>
        <v>45368.874999999876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 + TblConstr[[#This Row],[Tot Fac]]*bonus_jobs_facts</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40">
        <f>TblRezone[[#This Row],[Hour]]</f>
        <v>53</v>
      </c>
      <c r="B56" s="141">
        <f ca="1">TblImps[[#This Row],[Time]]</f>
        <v>45368.916666666541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 + TblConstr[[#This Row],[Tot Fac]]*bonus_jobs_facts</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40">
        <f>TblRezone[[#This Row],[Hour]]</f>
        <v>54</v>
      </c>
      <c r="B57" s="141">
        <f ca="1">TblImps[[#This Row],[Time]]</f>
        <v>45368.958333333205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 + TblConstr[[#This Row],[Tot Fac]]*bonus_jobs_facts</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40">
        <f>TblRezone[[#This Row],[Hour]]</f>
        <v>55</v>
      </c>
      <c r="B58" s="141">
        <f ca="1">TblImps[[#This Row],[Time]]</f>
        <v>45368.999999999869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 + TblConstr[[#This Row],[Tot Fac]]*bonus_jobs_facts</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40">
        <f>TblRezone[[#This Row],[Hour]]</f>
        <v>56</v>
      </c>
      <c r="B59" s="141">
        <f ca="1">TblImps[[#This Row],[Time]]</f>
        <v>45369.041666666533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 + TblConstr[[#This Row],[Tot Fac]]*bonus_jobs_facts</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40">
        <f>TblRezone[[#This Row],[Hour]]</f>
        <v>57</v>
      </c>
      <c r="B60" s="141">
        <f ca="1">TblImps[[#This Row],[Time]]</f>
        <v>45369.083333333198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 + TblConstr[[#This Row],[Tot Fac]]*bonus_jobs_facts</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40">
        <f>TblRezone[[#This Row],[Hour]]</f>
        <v>58</v>
      </c>
      <c r="B61" s="141">
        <f ca="1">TblImps[[#This Row],[Time]]</f>
        <v>45369.124999999862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 + TblConstr[[#This Row],[Tot Fac]]*bonus_jobs_facts</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40">
        <f>TblRezone[[#This Row],[Hour]]</f>
        <v>59</v>
      </c>
      <c r="B62" s="141">
        <f ca="1">TblImps[[#This Row],[Time]]</f>
        <v>45369.166666666526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 + TblConstr[[#This Row],[Tot Fac]]*bonus_jobs_facts</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40">
        <f>TblRezone[[#This Row],[Hour]]</f>
        <v>60</v>
      </c>
      <c r="B63" s="141">
        <f ca="1">TblImps[[#This Row],[Time]]</f>
        <v>45369.20833333319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 + TblConstr[[#This Row],[Tot Fac]]*bonus_jobs_facts</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40">
        <f>TblRezone[[#This Row],[Hour]]</f>
        <v>61</v>
      </c>
      <c r="B64" s="141">
        <f ca="1">TblImps[[#This Row],[Time]]</f>
        <v>45369.249999999854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 + TblConstr[[#This Row],[Tot Fac]]*bonus_jobs_facts</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40">
        <f>TblRezone[[#This Row],[Hour]]</f>
        <v>62</v>
      </c>
      <c r="B65" s="141">
        <f ca="1">TblImps[[#This Row],[Time]]</f>
        <v>45369.291666666519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 + TblConstr[[#This Row],[Tot Fac]]*bonus_jobs_facts</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40">
        <f>TblRezone[[#This Row],[Hour]]</f>
        <v>63</v>
      </c>
      <c r="B66" s="141">
        <f ca="1">TblImps[[#This Row],[Time]]</f>
        <v>45369.333333333183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 + TblConstr[[#This Row],[Tot Fac]]*bonus_jobs_facts</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40">
        <f>TblRezone[[#This Row],[Hour]]</f>
        <v>64</v>
      </c>
      <c r="B67" s="141">
        <f ca="1">TblImps[[#This Row],[Time]]</f>
        <v>45369.374999999847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 + TblConstr[[#This Row],[Tot Fac]]*bonus_jobs_facts</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40">
        <f>TblRezone[[#This Row],[Hour]]</f>
        <v>65</v>
      </c>
      <c r="B68" s="141">
        <f ca="1">TblImps[[#This Row],[Time]]</f>
        <v>45369.416666666511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 + TblConstr[[#This Row],[Tot Fac]]*bonus_jobs_facts</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40">
        <f>TblRezone[[#This Row],[Hour]]</f>
        <v>66</v>
      </c>
      <c r="B69" s="141">
        <f ca="1">TblImps[[#This Row],[Time]]</f>
        <v>45369.458333333176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 + TblConstr[[#This Row],[Tot Fac]]*bonus_jobs_facts</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40">
        <f>TblRezone[[#This Row],[Hour]]</f>
        <v>67</v>
      </c>
      <c r="B70" s="141">
        <f ca="1">TblImps[[#This Row],[Time]]</f>
        <v>45369.49999999984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 + TblConstr[[#This Row],[Tot Fac]]*bonus_jobs_facts</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40">
        <f>TblRezone[[#This Row],[Hour]]</f>
        <v>68</v>
      </c>
      <c r="B71" s="141">
        <f ca="1">TblImps[[#This Row],[Time]]</f>
        <v>45369.541666666504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 + TblConstr[[#This Row],[Tot Fac]]*bonus_jobs_facts</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40">
        <f>TblRezone[[#This Row],[Hour]]</f>
        <v>69</v>
      </c>
      <c r="B72" s="141">
        <f ca="1">TblImps[[#This Row],[Time]]</f>
        <v>45369.583333333168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 + TblConstr[[#This Row],[Tot Fac]]*bonus_jobs_facts</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40">
        <f>TblRezone[[#This Row],[Hour]]</f>
        <v>70</v>
      </c>
      <c r="B73" s="141">
        <f ca="1">TblImps[[#This Row],[Time]]</f>
        <v>45369.624999999833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 + TblConstr[[#This Row],[Tot Fac]]*bonus_jobs_facts</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40">
        <f>TblRezone[[#This Row],[Hour]]</f>
        <v>71</v>
      </c>
      <c r="B74" s="141">
        <f ca="1">TblImps[[#This Row],[Time]]</f>
        <v>45369.666666666497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 + TblConstr[[#This Row],[Tot Fac]]*bonus_jobs_facts</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40">
        <f>TblRezone[[#This Row],[Hour]]</f>
        <v>72</v>
      </c>
      <c r="B75" s="141">
        <f ca="1">TblImps[[#This Row],[Time]]</f>
        <v>45369.708333333161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 + TblConstr[[#This Row],[Tot Fac]]*bonus_jobs_facts</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7">
        <f>TblRezone[[#This Row],[Hour]]</f>
        <v>73</v>
      </c>
      <c r="B76" s="148">
        <f ca="1">TblImps[[#This Row],[Time]]</f>
        <v>45369.749999999825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 + TblConstr[[#This Row],[Tot Fac]]*bonus_jobs_facts</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40">
        <f>TblRezone[[#This Row],[Hour]]</f>
        <v>74</v>
      </c>
      <c r="B77" s="141">
        <f ca="1">TblImps[[#This Row],[Time]]</f>
        <v>45369.79166666649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 + TblConstr[[#This Row],[Tot Fac]]*bonus_jobs_facts</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40">
        <f>TblRezone[[#This Row],[Hour]]</f>
        <v>75</v>
      </c>
      <c r="B78" s="141">
        <f ca="1">TblImps[[#This Row],[Time]]</f>
        <v>45369.833333333154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 + TblConstr[[#This Row],[Tot Fac]]*bonus_jobs_facts</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40">
        <f>TblRezone[[#This Row],[Hour]]</f>
        <v>76</v>
      </c>
      <c r="B79" s="141">
        <f ca="1">TblImps[[#This Row],[Time]]</f>
        <v>45369.874999999818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 + TblConstr[[#This Row],[Tot Fac]]*bonus_jobs_facts</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40">
        <f>TblRezone[[#This Row],[Hour]]</f>
        <v>77</v>
      </c>
      <c r="B80" s="141">
        <f ca="1">TblImps[[#This Row],[Time]]</f>
        <v>45369.916666666482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 + TblConstr[[#This Row],[Tot Fac]]*bonus_jobs_facts</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40">
        <f>TblRezone[[#This Row],[Hour]]</f>
        <v>78</v>
      </c>
      <c r="B81" s="141">
        <f ca="1">TblImps[[#This Row],[Time]]</f>
        <v>45369.958333333147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 + TblConstr[[#This Row],[Tot Fac]]*bonus_jobs_facts</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40">
        <f>TblRezone[[#This Row],[Hour]]</f>
        <v>79</v>
      </c>
      <c r="B82" s="141">
        <f ca="1">TblImps[[#This Row],[Time]]</f>
        <v>45369.999999999811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 + TblConstr[[#This Row],[Tot Fac]]*bonus_jobs_facts</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40">
        <f>TblRezone[[#This Row],[Hour]]</f>
        <v>80</v>
      </c>
      <c r="B83" s="141">
        <f ca="1">TblImps[[#This Row],[Time]]</f>
        <v>45370.041666666475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 + TblConstr[[#This Row],[Tot Fac]]*bonus_jobs_facts</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40">
        <f>TblRezone[[#This Row],[Hour]]</f>
        <v>81</v>
      </c>
      <c r="B84" s="141">
        <f ca="1">TblImps[[#This Row],[Time]]</f>
        <v>45370.083333333139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 + TblConstr[[#This Row],[Tot Fac]]*bonus_jobs_facts</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40">
        <f>TblRezone[[#This Row],[Hour]]</f>
        <v>82</v>
      </c>
      <c r="B85" s="141">
        <f ca="1">TblImps[[#This Row],[Time]]</f>
        <v>45370.124999999804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 + TblConstr[[#This Row],[Tot Fac]]*bonus_jobs_facts</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40">
        <f>TblRezone[[#This Row],[Hour]]</f>
        <v>83</v>
      </c>
      <c r="B86" s="141">
        <f ca="1">TblImps[[#This Row],[Time]]</f>
        <v>45370.166666666468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 + TblConstr[[#This Row],[Tot Fac]]*bonus_jobs_facts</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40">
        <f>TblRezone[[#This Row],[Hour]]</f>
        <v>84</v>
      </c>
      <c r="B87" s="141">
        <f ca="1">TblImps[[#This Row],[Time]]</f>
        <v>45370.208333333132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 + TblConstr[[#This Row],[Tot Fac]]*bonus_jobs_facts</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40">
        <f>TblRezone[[#This Row],[Hour]]</f>
        <v>85</v>
      </c>
      <c r="B88" s="141">
        <f ca="1">TblImps[[#This Row],[Time]]</f>
        <v>45370.249999999796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 + TblConstr[[#This Row],[Tot Fac]]*bonus_jobs_facts</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40">
        <f>TblRezone[[#This Row],[Hour]]</f>
        <v>86</v>
      </c>
      <c r="B89" s="141">
        <f ca="1">TblImps[[#This Row],[Time]]</f>
        <v>45370.291666666461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 + TblConstr[[#This Row],[Tot Fac]]*bonus_jobs_facts</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40">
        <f>TblRezone[[#This Row],[Hour]]</f>
        <v>87</v>
      </c>
      <c r="B90" s="141">
        <f ca="1">TblImps[[#This Row],[Time]]</f>
        <v>45370.333333333125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 + TblConstr[[#This Row],[Tot Fac]]*bonus_jobs_facts</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40">
        <f>TblRezone[[#This Row],[Hour]]</f>
        <v>88</v>
      </c>
      <c r="B91" s="141">
        <f ca="1">TblImps[[#This Row],[Time]]</f>
        <v>45370.374999999789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 + TblConstr[[#This Row],[Tot Fac]]*bonus_jobs_facts</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40">
        <f>TblRezone[[#This Row],[Hour]]</f>
        <v>89</v>
      </c>
      <c r="B92" s="141">
        <f ca="1">TblImps[[#This Row],[Time]]</f>
        <v>45370.416666666453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 + TblConstr[[#This Row],[Tot Fac]]*bonus_jobs_facts</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40">
        <f>TblRezone[[#This Row],[Hour]]</f>
        <v>90</v>
      </c>
      <c r="B93" s="141">
        <f ca="1">TblImps[[#This Row],[Time]]</f>
        <v>45370.458333333117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 + TblConstr[[#This Row],[Tot Fac]]*bonus_jobs_facts</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40">
        <f>TblRezone[[#This Row],[Hour]]</f>
        <v>91</v>
      </c>
      <c r="B94" s="141">
        <f ca="1">TblImps[[#This Row],[Time]]</f>
        <v>45370.499999999782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 + TblConstr[[#This Row],[Tot Fac]]*bonus_jobs_facts</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40">
        <f>TblRezone[[#This Row],[Hour]]</f>
        <v>92</v>
      </c>
      <c r="B95" s="141">
        <f ca="1">TblImps[[#This Row],[Time]]</f>
        <v>45370.541666666446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 + TblConstr[[#This Row],[Tot Fac]]*bonus_jobs_facts</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40">
        <f>TblRezone[[#This Row],[Hour]]</f>
        <v>93</v>
      </c>
      <c r="B96" s="141">
        <f ca="1">TblImps[[#This Row],[Time]]</f>
        <v>45370.58333333311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 + TblConstr[[#This Row],[Tot Fac]]*bonus_jobs_facts</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40">
        <f>TblRezone[[#This Row],[Hour]]</f>
        <v>94</v>
      </c>
      <c r="B97" s="141">
        <f ca="1">TblImps[[#This Row],[Time]]</f>
        <v>45370.624999999774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 + TblConstr[[#This Row],[Tot Fac]]*bonus_jobs_facts</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40">
        <f>TblRezone[[#This Row],[Hour]]</f>
        <v>95</v>
      </c>
      <c r="B98" s="141">
        <f ca="1">TblImps[[#This Row],[Time]]</f>
        <v>45370.666666666439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 + TblConstr[[#This Row],[Tot Fac]]*bonus_jobs_facts</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40">
        <f>TblRezone[[#This Row],[Hour]]</f>
        <v>96</v>
      </c>
      <c r="B99" s="141">
        <f ca="1">TblImps[[#This Row],[Time]]</f>
        <v>45370.708333333103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 + TblConstr[[#This Row],[Tot Fac]]*bonus_jobs_facts</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40">
        <f>TblRezone[[#This Row],[Hour]]</f>
        <v>97</v>
      </c>
      <c r="B100" s="141">
        <f ca="1">TblImps[[#This Row],[Time]]</f>
        <v>45370.749999999767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 + TblConstr[[#This Row],[Tot Fac]]*bonus_jobs_facts</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40">
        <f>TblRezone[[#This Row],[Hour]]</f>
        <v>98</v>
      </c>
      <c r="B101" s="141">
        <f ca="1">TblImps[[#This Row],[Time]]</f>
        <v>45370.791666666431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 + TblConstr[[#This Row],[Tot Fac]]*bonus_jobs_facts</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40">
        <f>TblRezone[[#This Row],[Hour]]</f>
        <v>99</v>
      </c>
      <c r="B102" s="141">
        <f ca="1">TblImps[[#This Row],[Time]]</f>
        <v>45370.833333333096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 + TblConstr[[#This Row],[Tot Fac]]*bonus_jobs_facts</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40">
        <f>TblRezone[[#This Row],[Hour]]</f>
        <v>100</v>
      </c>
      <c r="B103" s="141">
        <f ca="1">TblImps[[#This Row],[Time]]</f>
        <v>45370.87499999976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 + TblConstr[[#This Row],[Tot Fac]]*bonus_jobs_facts</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40">
        <f>TblRezone[[#This Row],[Hour]]</f>
        <v>101</v>
      </c>
      <c r="B104" s="141">
        <f ca="1">TblImps[[#This Row],[Time]]</f>
        <v>45370.916666666424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 + TblConstr[[#This Row],[Tot Fac]]*bonus_jobs_facts</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40">
        <f>TblRezone[[#This Row],[Hour]]</f>
        <v>102</v>
      </c>
      <c r="B105" s="141">
        <f ca="1">TblImps[[#This Row],[Time]]</f>
        <v>45370.958333333088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 + TblConstr[[#This Row],[Tot Fac]]*bonus_jobs_facts</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40">
        <f>TblRezone[[#This Row],[Hour]]</f>
        <v>103</v>
      </c>
      <c r="B106" s="141">
        <f ca="1">TblImps[[#This Row],[Time]]</f>
        <v>45370.999999999753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 + TblConstr[[#This Row],[Tot Fac]]*bonus_jobs_facts</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40">
        <f>TblRezone[[#This Row],[Hour]]</f>
        <v>104</v>
      </c>
      <c r="B107" s="141">
        <f ca="1">TblImps[[#This Row],[Time]]</f>
        <v>45371.041666666417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 + TblConstr[[#This Row],[Tot Fac]]*bonus_jobs_facts</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40">
        <f>TblRezone[[#This Row],[Hour]]</f>
        <v>105</v>
      </c>
      <c r="B108" s="141">
        <f ca="1">TblImps[[#This Row],[Time]]</f>
        <v>45371.083333333081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 + TblConstr[[#This Row],[Tot Fac]]*bonus_jobs_facts</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40">
        <f>TblRezone[[#This Row],[Hour]]</f>
        <v>106</v>
      </c>
      <c r="B109" s="141">
        <f ca="1">TblImps[[#This Row],[Time]]</f>
        <v>45371.124999999745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 + TblConstr[[#This Row],[Tot Fac]]*bonus_jobs_facts</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40">
        <f>TblRezone[[#This Row],[Hour]]</f>
        <v>107</v>
      </c>
      <c r="B110" s="141">
        <f ca="1">TblImps[[#This Row],[Time]]</f>
        <v>45371.16666666641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 + TblConstr[[#This Row],[Tot Fac]]*bonus_jobs_facts</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45371.208333333074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 + TblConstr[[#This Row],[Tot Fac]]*bonus_jobs_facts</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40">
        <f>TblRezone[[#This Row],[Hour]]</f>
        <v>109</v>
      </c>
      <c r="B112" s="141">
        <f ca="1">TblImps[[#This Row],[Time]]</f>
        <v>45371.249999999738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 + TblConstr[[#This Row],[Tot Fac]]*bonus_jobs_facts</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40">
        <f>TblRezone[[#This Row],[Hour]]</f>
        <v>110</v>
      </c>
      <c r="B113" s="141">
        <f ca="1">TblImps[[#This Row],[Time]]</f>
        <v>45371.291666666402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 + TblConstr[[#This Row],[Tot Fac]]*bonus_jobs_facts</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40">
        <f>TblRezone[[#This Row],[Hour]]</f>
        <v>111</v>
      </c>
      <c r="B114" s="141">
        <f ca="1">TblImps[[#This Row],[Time]]</f>
        <v>45371.333333333067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 + TblConstr[[#This Row],[Tot Fac]]*bonus_jobs_facts</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40">
        <f>TblRezone[[#This Row],[Hour]]</f>
        <v>112</v>
      </c>
      <c r="B115" s="141">
        <f ca="1">TblImps[[#This Row],[Time]]</f>
        <v>45371.374999999731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 + TblConstr[[#This Row],[Tot Fac]]*bonus_jobs_facts</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40">
        <f>TblRezone[[#This Row],[Hour]]</f>
        <v>113</v>
      </c>
      <c r="B116" s="141">
        <f ca="1">TblImps[[#This Row],[Time]]</f>
        <v>45371.416666666395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 + TblConstr[[#This Row],[Tot Fac]]*bonus_jobs_facts</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40">
        <f>TblRezone[[#This Row],[Hour]]</f>
        <v>114</v>
      </c>
      <c r="B117" s="141">
        <f ca="1">TblImps[[#This Row],[Time]]</f>
        <v>45371.458333333059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 + TblConstr[[#This Row],[Tot Fac]]*bonus_jobs_facts</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40">
        <f>TblRezone[[#This Row],[Hour]]</f>
        <v>115</v>
      </c>
      <c r="B118" s="141">
        <f ca="1">TblImps[[#This Row],[Time]]</f>
        <v>45371.499999999724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 + TblConstr[[#This Row],[Tot Fac]]*bonus_jobs_facts</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40">
        <f>TblRezone[[#This Row],[Hour]]</f>
        <v>116</v>
      </c>
      <c r="B119" s="141">
        <f ca="1">TblImps[[#This Row],[Time]]</f>
        <v>45371.541666666388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 + TblConstr[[#This Row],[Tot Fac]]*bonus_jobs_facts</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40">
        <f>TblRezone[[#This Row],[Hour]]</f>
        <v>117</v>
      </c>
      <c r="B120" s="141">
        <f ca="1">TblImps[[#This Row],[Time]]</f>
        <v>45371.583333333052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 + TblConstr[[#This Row],[Tot Fac]]*bonus_jobs_facts</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40">
        <f>TblRezone[[#This Row],[Hour]]</f>
        <v>118</v>
      </c>
      <c r="B121" s="141">
        <f ca="1">TblImps[[#This Row],[Time]]</f>
        <v>45371.624999999716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 + TblConstr[[#This Row],[Tot Fac]]*bonus_jobs_facts</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40">
        <f>TblRezone[[#This Row],[Hour]]</f>
        <v>119</v>
      </c>
      <c r="B122" s="141">
        <f ca="1">TblImps[[#This Row],[Time]]</f>
        <v>45371.66666666638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 + TblConstr[[#This Row],[Tot Fac]]*bonus_jobs_facts</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40">
        <f>TblRezone[[#This Row],[Hour]]</f>
        <v>120</v>
      </c>
      <c r="B123" s="141">
        <f ca="1">TblImps[[#This Row],[Time]]</f>
        <v>45371.708333333045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 + TblConstr[[#This Row],[Tot Fac]]*bonus_jobs_facts</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40">
        <f>TblRezone[[#This Row],[Hour]]</f>
        <v>121</v>
      </c>
      <c r="B124" s="141">
        <f ca="1">TblImps[[#This Row],[Time]]</f>
        <v>45371.749999999709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 + TblConstr[[#This Row],[Tot Fac]]*bonus_jobs_facts</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40">
        <f>TblRezone[[#This Row],[Hour]]</f>
        <v>122</v>
      </c>
      <c r="B125" s="141">
        <f ca="1">TblImps[[#This Row],[Time]]</f>
        <v>45371.791666666373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 + TblConstr[[#This Row],[Tot Fac]]*bonus_jobs_facts</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40">
        <f>TblRezone[[#This Row],[Hour]]</f>
        <v>123</v>
      </c>
      <c r="B126" s="141">
        <f ca="1">TblImps[[#This Row],[Time]]</f>
        <v>45371.833333333037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 + TblConstr[[#This Row],[Tot Fac]]*bonus_jobs_facts</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40">
        <f>TblRezone[[#This Row],[Hour]]</f>
        <v>124</v>
      </c>
      <c r="B127" s="141">
        <f ca="1">TblImps[[#This Row],[Time]]</f>
        <v>45371.874999999702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 + TblConstr[[#This Row],[Tot Fac]]*bonus_jobs_facts</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40">
        <f>TblRezone[[#This Row],[Hour]]</f>
        <v>125</v>
      </c>
      <c r="B128" s="141">
        <f ca="1">TblImps[[#This Row],[Time]]</f>
        <v>45371.916666666366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 + TblConstr[[#This Row],[Tot Fac]]*bonus_jobs_facts</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40">
        <f>TblRezone[[#This Row],[Hour]]</f>
        <v>126</v>
      </c>
      <c r="B129" s="141">
        <f ca="1">TblImps[[#This Row],[Time]]</f>
        <v>45371.95833333303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 + TblConstr[[#This Row],[Tot Fac]]*bonus_jobs_facts</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40">
        <f>TblRezone[[#This Row],[Hour]]</f>
        <v>127</v>
      </c>
      <c r="B130" s="141">
        <f ca="1">TblImps[[#This Row],[Time]]</f>
        <v>45371.999999999694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 + TblConstr[[#This Row],[Tot Fac]]*bonus_jobs_facts</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40">
        <f>TblRezone[[#This Row],[Hour]]</f>
        <v>128</v>
      </c>
      <c r="B131" s="141">
        <f ca="1">TblImps[[#This Row],[Time]]</f>
        <v>45372.041666666359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 + TblConstr[[#This Row],[Tot Fac]]*bonus_jobs_facts</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40">
        <f>TblRezone[[#This Row],[Hour]]</f>
        <v>129</v>
      </c>
      <c r="B132" s="141">
        <f ca="1">TblImps[[#This Row],[Time]]</f>
        <v>45372.083333333023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 + TblConstr[[#This Row],[Tot Fac]]*bonus_jobs_facts</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40">
        <f>TblRezone[[#This Row],[Hour]]</f>
        <v>130</v>
      </c>
      <c r="B133" s="141">
        <f ca="1">TblImps[[#This Row],[Time]]</f>
        <v>45372.124999999687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 + TblConstr[[#This Row],[Tot Fac]]*bonus_jobs_facts</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40">
        <f>TblRezone[[#This Row],[Hour]]</f>
        <v>131</v>
      </c>
      <c r="B134" s="141">
        <f ca="1">TblImps[[#This Row],[Time]]</f>
        <v>45372.166666666351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 + TblConstr[[#This Row],[Tot Fac]]*bonus_jobs_facts</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40">
        <f>TblRezone[[#This Row],[Hour]]</f>
        <v>132</v>
      </c>
      <c r="B135" s="141">
        <f ca="1">TblImps[[#This Row],[Time]]</f>
        <v>45372.208333333016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 + TblConstr[[#This Row],[Tot Fac]]*bonus_jobs_facts</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40">
        <f>TblRezone[[#This Row],[Hour]]</f>
        <v>133</v>
      </c>
      <c r="B136" s="141">
        <f ca="1">TblImps[[#This Row],[Time]]</f>
        <v>45372.24999999968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 + TblConstr[[#This Row],[Tot Fac]]*bonus_jobs_facts</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496" t="s">
        <v>317</v>
      </c>
      <c r="D1269" s="449"/>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230</v>
      </c>
      <c r="E1" s="5" t="s">
        <v>17</v>
      </c>
      <c r="S1" s="499" t="s">
        <v>249</v>
      </c>
      <c r="T1" s="499"/>
      <c r="U1" s="499"/>
      <c r="AA1" s="499" t="s">
        <v>85</v>
      </c>
      <c r="AB1" s="499"/>
      <c r="AH1" s="499" t="s">
        <v>166</v>
      </c>
      <c r="AI1" s="499"/>
      <c r="AJ1" s="499"/>
      <c r="AK1" s="499"/>
      <c r="AL1" s="499"/>
      <c r="AM1" s="499"/>
      <c r="AO1" s="5" t="s">
        <v>19</v>
      </c>
      <c r="AT1" s="499" t="s">
        <v>186</v>
      </c>
      <c r="AU1" s="499"/>
      <c r="BC1" s="5" t="s">
        <v>422</v>
      </c>
      <c r="BI1" s="5" t="s">
        <v>17</v>
      </c>
    </row>
    <row r="2" spans="1:65" s="5" customFormat="1" x14ac:dyDescent="0.2">
      <c r="A2" s="28"/>
    </row>
    <row r="3" spans="1:65" s="154" customFormat="1" ht="25.5" x14ac:dyDescent="0.2">
      <c r="A3" s="138" t="s">
        <v>0</v>
      </c>
      <c r="B3" s="138" t="s">
        <v>312</v>
      </c>
      <c r="C3" s="138" t="s">
        <v>323</v>
      </c>
      <c r="D3" s="138" t="s">
        <v>775</v>
      </c>
      <c r="E3" s="138" t="s">
        <v>1</v>
      </c>
      <c r="F3" s="138" t="s">
        <v>21</v>
      </c>
      <c r="G3" s="138" t="s">
        <v>232</v>
      </c>
      <c r="H3" s="138" t="s">
        <v>2</v>
      </c>
      <c r="I3" s="138" t="s">
        <v>5</v>
      </c>
      <c r="J3" s="138" t="s">
        <v>7</v>
      </c>
      <c r="K3" s="138" t="s">
        <v>12</v>
      </c>
      <c r="L3" s="138" t="s">
        <v>3</v>
      </c>
      <c r="M3" s="138" t="s">
        <v>4</v>
      </c>
      <c r="N3" s="138" t="s">
        <v>82</v>
      </c>
      <c r="O3" s="138" t="s">
        <v>353</v>
      </c>
      <c r="P3" s="138" t="s">
        <v>373</v>
      </c>
      <c r="Q3" s="138" t="s">
        <v>374</v>
      </c>
      <c r="R3" s="138" t="s">
        <v>776</v>
      </c>
      <c r="S3" s="138" t="s">
        <v>6</v>
      </c>
      <c r="T3" s="138" t="s">
        <v>9</v>
      </c>
      <c r="U3" s="138" t="s">
        <v>8</v>
      </c>
      <c r="V3" s="138" t="s">
        <v>13</v>
      </c>
      <c r="W3" s="138" t="s">
        <v>10</v>
      </c>
      <c r="X3" s="138" t="s">
        <v>11</v>
      </c>
      <c r="Y3" s="138" t="s">
        <v>50</v>
      </c>
      <c r="Z3" s="138" t="s">
        <v>777</v>
      </c>
      <c r="AA3" s="138" t="s">
        <v>840</v>
      </c>
      <c r="AB3" s="138" t="s">
        <v>841</v>
      </c>
      <c r="AC3" s="138" t="s">
        <v>842</v>
      </c>
      <c r="AD3" s="138" t="s">
        <v>843</v>
      </c>
      <c r="AE3" s="138" t="s">
        <v>844</v>
      </c>
      <c r="AF3" s="138" t="s">
        <v>845</v>
      </c>
      <c r="AG3" s="138" t="s">
        <v>778</v>
      </c>
      <c r="AH3" s="138" t="s">
        <v>846</v>
      </c>
      <c r="AI3" s="138" t="s">
        <v>847</v>
      </c>
      <c r="AJ3" s="138" t="s">
        <v>848</v>
      </c>
      <c r="AK3" s="138" t="s">
        <v>849</v>
      </c>
      <c r="AL3" s="138" t="s">
        <v>850</v>
      </c>
      <c r="AM3" s="138" t="s">
        <v>851</v>
      </c>
      <c r="AN3" s="138" t="s">
        <v>792</v>
      </c>
      <c r="AO3" s="138" t="s">
        <v>14</v>
      </c>
      <c r="AP3" s="138" t="s">
        <v>20</v>
      </c>
      <c r="AQ3" s="138" t="s">
        <v>16</v>
      </c>
      <c r="AR3" s="138" t="s">
        <v>15</v>
      </c>
      <c r="AS3" s="138" t="s">
        <v>793</v>
      </c>
      <c r="AT3" s="138" t="s">
        <v>852</v>
      </c>
      <c r="AU3" s="138" t="s">
        <v>853</v>
      </c>
      <c r="AV3" s="138" t="s">
        <v>854</v>
      </c>
      <c r="AW3" s="138" t="s">
        <v>855</v>
      </c>
      <c r="AX3" s="138" t="s">
        <v>856</v>
      </c>
      <c r="AY3" s="138" t="s">
        <v>794</v>
      </c>
      <c r="AZ3" s="138" t="s">
        <v>327</v>
      </c>
      <c r="BA3" s="138" t="s">
        <v>328</v>
      </c>
      <c r="BB3" s="138" t="s">
        <v>857</v>
      </c>
      <c r="BC3" s="138" t="s">
        <v>858</v>
      </c>
      <c r="BD3" s="138" t="s">
        <v>859</v>
      </c>
      <c r="BE3" s="138" t="s">
        <v>860</v>
      </c>
      <c r="BF3" s="138" t="s">
        <v>861</v>
      </c>
      <c r="BG3" s="138" t="s">
        <v>862</v>
      </c>
      <c r="BH3" s="138" t="s">
        <v>195</v>
      </c>
      <c r="BI3" s="138" t="s">
        <v>863</v>
      </c>
      <c r="BJ3" s="138" t="s">
        <v>864</v>
      </c>
      <c r="BK3" s="138" t="s">
        <v>865</v>
      </c>
      <c r="BL3" s="138" t="s">
        <v>866</v>
      </c>
      <c r="BM3" s="138" t="s">
        <v>867</v>
      </c>
    </row>
    <row r="4" spans="1:65" x14ac:dyDescent="0.2">
      <c r="A4" s="140">
        <f>TblRezone[[#This Row],[Hour]]</f>
        <v>1</v>
      </c>
      <c r="B4" s="155">
        <f>TblImps[[#This Row],[Time]]</f>
        <v>45366.75</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120000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-20000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20000</v>
      </c>
      <c r="BD4" s="161"/>
      <c r="BE4" s="161"/>
      <c r="BF4" s="161">
        <v>-10000</v>
      </c>
      <c r="BG4" s="162">
        <f>TblProd[[#This Row],[Time]]</f>
        <v>45366.75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120000</v>
      </c>
      <c r="BJ4" s="97">
        <f>TblProd[[#This Row],[Food]]</f>
        <v>15000</v>
      </c>
      <c r="BK4" s="97">
        <f ca="1">TblProd[[#This Row],[Lumber]]</f>
        <v>15000</v>
      </c>
      <c r="BL4" s="97">
        <f ca="1">TblProd[[#This Row],[Mana]]</f>
        <v>0</v>
      </c>
      <c r="BM4" s="97">
        <f ca="1">TblProd[[#This Row],[Ore]]</f>
        <v>0</v>
      </c>
    </row>
    <row r="5" spans="1:65" x14ac:dyDescent="0.2">
      <c r="A5" s="140">
        <v>2</v>
      </c>
      <c r="B5" s="155">
        <f ca="1">TblImps[[#This Row],[Time]]</f>
        <v>45366.791666666664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124860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45366.791666666664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124860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45366.833333333328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129790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45366.833333333328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129790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45366.874999999993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134790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45366.874999999993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134790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45366.916666666657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139860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45366.916666666657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139860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45366.958333333321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145003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45366.958333333321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145003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45366.999999999985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150222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45366.999999999985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150222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45367.04166666665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155519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45367.04166666665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155519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45367.083333333314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160892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45367.083333333314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160892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45367.124999999978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166343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45367.124999999978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166343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45367.166666666642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171875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45367.166666666642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171875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45367.208333333307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177491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45367.208333333307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177491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45367.249999999971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183161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45367.249999999971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183161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45367.291666666635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188831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45367.291666666635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188831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45367.333333333299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194501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45367.333333333299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194501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45367.374999999964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200171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45367.374999999964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200171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45367.416666666628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205841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45367.416666666628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205841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45367.458333333292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211511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45367.458333333292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211511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45367.499999999956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217181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45367.499999999956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217181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45367.541666666621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222851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45367.541666666621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222851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45367.583333333285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228521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45367.583333333285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228521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45367.624999999949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234191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45367.624999999949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234191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45367.666666666613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239861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45367.666666666613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239861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45367.708333333278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245531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45367.708333333278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245531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45367.749999999942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251201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45367.749999999942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251201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45367.791666666606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256871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45367.791666666606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256871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45367.83333333327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262541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45367.83333333327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262541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45367.874999999935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268211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45367.874999999935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268211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45367.916666666599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273881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45367.916666666599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273881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45367.958333333263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279551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45367.958333333263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279551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45367.999999999927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285207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45367.999999999927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285207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45368.041666666591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290820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45368.041666666591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290820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45368.083333333256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296390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45368.083333333256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296390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45368.12499999992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301916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45368.12499999992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301916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45368.166666666584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307402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45368.166666666584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307402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45368.208333333248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312888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45368.208333333248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312888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45368.249999999913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318374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45368.249999999913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318374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45368.291666666577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323860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45368.291666666577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323860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45368.333333333241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329346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45368.333333333241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329346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45368.374999999905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334832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45368.374999999905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334832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45368.41666666657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340318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45368.41666666657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340318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45368.458333333234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345804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45368.458333333234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345804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45368.499999999898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351290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45368.499999999898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351290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45368.541666666562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356776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45368.541666666562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356776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45368.583333333227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362262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45368.583333333227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362262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45368.624999999891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367748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45368.624999999891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367748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45368.666666666555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373234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45368.666666666555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373234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45368.708333333219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378720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45368.708333333219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378720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45368.749999999884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384206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45368.749999999884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384206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45368.791666666548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389692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45368.791666666548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389692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45368.833333333212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395178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45368.833333333212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395178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45368.874999999876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400664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45368.874999999876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400664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45368.916666666541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406150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45368.916666666541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406150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45368.958333333205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411636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45368.958333333205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411636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45368.999999999869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417122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45368.999999999869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417122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45369.041666666533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422608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45369.041666666533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422608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45369.083333333198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428094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45369.083333333198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428094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45369.124999999862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433580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45369.124999999862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433580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45369.166666666526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439066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45369.166666666526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439066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45369.20833333319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444552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45369.20833333319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444552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45369.249999999854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450038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45369.249999999854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450038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45369.291666666519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455524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45369.291666666519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455524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45369.333333333183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461010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45369.333333333183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461010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45369.374999999847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466496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45369.374999999847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466496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45369.416666666511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471982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45369.416666666511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471982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45369.458333333176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477468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45369.458333333176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477468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45369.49999999984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482954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45369.49999999984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482954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45369.541666666504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488440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45369.541666666504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488440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45369.583333333168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493926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45369.583333333168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493926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45369.624999999833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499412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45369.624999999833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499412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45369.666666666497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504898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45369.666666666497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504898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45369.708333333161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510384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45369.708333333161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510384</v>
      </c>
      <c r="BJ75" s="97">
        <f ca="1">TblProd[[#This Row],[Food]]</f>
        <v>109812</v>
      </c>
      <c r="BK75" s="97">
        <f ca="1">TblProd[[#This Row],[Lumber]]</f>
        <v>58358</v>
      </c>
      <c r="BL75" s="97">
        <f ca="1">TblProd[[#This Row],[Mana]]</f>
        <v>0</v>
      </c>
      <c r="BM75" s="97">
        <f ca="1">TblProd[[#This Row],[Ore]]</f>
        <v>0</v>
      </c>
    </row>
    <row r="76" spans="1:65" s="5" customFormat="1" x14ac:dyDescent="0.2">
      <c r="A76" s="147" t="s">
        <v>231</v>
      </c>
      <c r="B76" s="163">
        <f ca="1">TblImps[[#This Row],[Time]]</f>
        <v>45369.749999999825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45369.749999999825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45369.79166666649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521356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45369.79166666649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521356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45369.833333333154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526842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45369.833333333154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526842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45369.874999999818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532328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45369.874999999818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532328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45369.916666666482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537814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45369.916666666482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537814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45369.958333333147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543300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45369.958333333147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543300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45369.999999999811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548786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45369.999999999811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548786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45370.041666666475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554272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45370.041666666475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554272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45370.083333333139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559758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45370.083333333139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559758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45370.124999999804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565244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45370.124999999804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565244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45370.166666666468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570730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45370.166666666468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570730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45370.208333333132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576216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45370.208333333132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576216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45370.249999999796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581702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45370.249999999796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581702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45370.291666666461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587188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45370.291666666461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587188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45370.333333333125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592674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45370.333333333125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592674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45370.374999999789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598160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45370.374999999789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598160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45370.416666666453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603646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45370.416666666453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603646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45370.458333333117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609132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45370.458333333117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609132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45370.499999999782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614618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45370.499999999782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614618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45370.541666666446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620104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45370.541666666446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620104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45370.58333333311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625590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45370.58333333311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625590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45370.624999999774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631076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45370.624999999774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631076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45370.666666666439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636562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45370.666666666439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636562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45370.708333333103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642048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45370.708333333103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642048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45370.749999999767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647534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45370.749999999767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647534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45370.791666666431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653020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45370.791666666431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653020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45370.833333333096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658506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45370.833333333096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45370.87499999976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663992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45370.87499999976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663992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45370.916666666424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669478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45370.916666666424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45370.958333333088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674964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45370.958333333088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674964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45370.999999999753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680450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45370.999999999753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680450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45371.041666666417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685936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45371.041666666417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685936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45371.083333333081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691422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45371.083333333081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691422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45371.124999999745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696908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45371.124999999745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45371.16666666641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702394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45371.16666666641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702394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45371.208333333074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707880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45371.208333333074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45371.249999999738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713366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45371.249999999738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713366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45371.291666666402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718852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45371.291666666402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45371.333333333067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724338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45371.333333333067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724338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45371.374999999731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729824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45371.374999999731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45371.416666666395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735310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45371.416666666395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45371.458333333059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740796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45371.458333333059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740796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45371.499999999724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746282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45371.499999999724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45371.541666666388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751768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45371.541666666388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751768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45371.583333333052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757254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45371.583333333052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45371.624999999716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762740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45371.624999999716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762740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45371.66666666638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768226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45371.66666666638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45371.708333333045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773712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45371.708333333045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773712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45371.749999999709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779198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45371.749999999709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45371.791666666373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784684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45371.791666666373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45371.833333333037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790170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45371.833333333037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790170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45371.874999999702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795656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45371.874999999702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45371.916666666366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801142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45371.916666666366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801142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45371.95833333303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806628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45371.95833333303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45371.999999999694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812114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45371.999999999694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812114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45372.041666666359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817600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45372.041666666359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45372.083333333023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823086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45372.083333333023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45372.124999999687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828572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45372.124999999687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45372.166666666351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834058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45372.166666666351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45372.208333333016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839544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45372.208333333016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45372.24999999968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845030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45372.24999999968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845030</v>
      </c>
      <c r="BJ136" s="97">
        <f ca="1">TblProd[[#This Row],[Food]]</f>
        <v>150708</v>
      </c>
      <c r="BK136" s="97">
        <f ca="1">TblProd[[#This Row],[Lumber]]</f>
        <v>77441</v>
      </c>
      <c r="BL136" s="97">
        <f ca="1">TblProd[[#This Row],[Mana]]</f>
        <v>0</v>
      </c>
      <c r="BM136" s="97">
        <f ca="1">TblProd[[#This Row],[Ore]]</f>
        <v>0</v>
      </c>
    </row>
    <row r="1269" spans="3:12" x14ac:dyDescent="0.2">
      <c r="C1269" s="496" t="s">
        <v>317</v>
      </c>
      <c r="D1269" s="449"/>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09" priority="58" stopIfTrue="1">
      <formula>ROW()-2=#REF!</formula>
    </cfRule>
  </conditionalFormatting>
  <conditionalFormatting sqref="A1269:XFD1270">
    <cfRule type="expression" dxfId="808" priority="59" stopIfTrue="1">
      <formula>$C$1270&gt;144</formula>
    </cfRule>
  </conditionalFormatting>
  <conditionalFormatting sqref="E4:Q136">
    <cfRule type="expression" dxfId="807" priority="39" stopIfTrue="1">
      <formula>OR(ROW()-3=$C$1270,E4&lt;0)</formula>
    </cfRule>
  </conditionalFormatting>
  <conditionalFormatting sqref="BH4:BH136">
    <cfRule type="cellIs" dxfId="806" priority="61" stopIfTrue="1" operator="equal">
      <formula>"Nope"</formula>
    </cfRule>
  </conditionalFormatting>
  <conditionalFormatting sqref="A4:BM136">
    <cfRule type="expression" dxfId="805" priority="1" stopIfTrue="1">
      <formula>ROW()-3=$C$1270</formula>
    </cfRule>
    <cfRule type="expression" dxfId="804" priority="56">
      <formula>$A4="OOP"</formula>
    </cfRule>
    <cfRule type="expression" dxfId="803" priority="57">
      <formula>ROUND(($A4-1)/12,0)=INT($A4-1)/12</formula>
    </cfRule>
  </conditionalFormatting>
  <conditionalFormatting sqref="A1:XFD3">
    <cfRule type="expression" dxfId="80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49"/>
      <c r="R1" s="5"/>
      <c r="S1" s="5"/>
      <c r="T1" s="5"/>
      <c r="U1" s="5"/>
      <c r="V1" s="5"/>
      <c r="W1" s="5"/>
      <c r="X1" s="5"/>
      <c r="Y1" s="5"/>
      <c r="Z1" s="5"/>
      <c r="AA1" s="5"/>
      <c r="AB1" s="5"/>
      <c r="AC1" s="5"/>
      <c r="AD1" s="5"/>
      <c r="AE1" s="5"/>
      <c r="AF1" s="5"/>
      <c r="AG1" s="5"/>
      <c r="AH1" s="5"/>
      <c r="AI1" s="177" t="s">
        <v>516</v>
      </c>
      <c r="AJ1" s="177" t="s">
        <v>519</v>
      </c>
      <c r="AK1" s="499" t="s">
        <v>77</v>
      </c>
      <c r="AL1" s="499"/>
      <c r="AM1" s="497" t="s">
        <v>517</v>
      </c>
      <c r="AN1" s="497"/>
      <c r="AO1" s="497" t="s">
        <v>518</v>
      </c>
      <c r="AP1" s="497"/>
      <c r="AQ1" s="497" t="s">
        <v>515</v>
      </c>
      <c r="AR1" s="497"/>
      <c r="AS1" s="5"/>
      <c r="AT1" s="5"/>
      <c r="AU1" s="5"/>
      <c r="AV1" s="5" t="s">
        <v>514</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296</v>
      </c>
      <c r="DA1" s="499"/>
      <c r="DB1" s="499"/>
      <c r="DC1" s="499"/>
      <c r="DD1" s="499"/>
      <c r="DE1" s="5"/>
      <c r="DF1" s="5"/>
      <c r="DG1" s="499" t="s">
        <v>259</v>
      </c>
      <c r="DH1" s="499"/>
      <c r="DI1" s="5" t="s">
        <v>534</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1008</v>
      </c>
      <c r="E3" s="138" t="s">
        <v>775</v>
      </c>
      <c r="F3" s="138" t="s">
        <v>1</v>
      </c>
      <c r="G3" s="173" t="s">
        <v>245</v>
      </c>
      <c r="H3" s="138" t="s">
        <v>58</v>
      </c>
      <c r="I3" s="138" t="s">
        <v>247</v>
      </c>
      <c r="J3" s="138" t="s">
        <v>246</v>
      </c>
      <c r="K3" s="138" t="s">
        <v>60</v>
      </c>
      <c r="L3" s="138" t="s">
        <v>244</v>
      </c>
      <c r="M3" s="138" t="s">
        <v>62</v>
      </c>
      <c r="N3" s="138" t="s">
        <v>1052</v>
      </c>
      <c r="O3" s="174" t="s">
        <v>72</v>
      </c>
      <c r="P3" s="174" t="s">
        <v>71</v>
      </c>
      <c r="Q3" s="174" t="s">
        <v>70</v>
      </c>
      <c r="R3" s="174" t="s">
        <v>69</v>
      </c>
      <c r="S3" s="174" t="s">
        <v>68</v>
      </c>
      <c r="T3" s="174" t="s">
        <v>63</v>
      </c>
      <c r="U3" s="174" t="s">
        <v>349</v>
      </c>
      <c r="V3" s="174" t="s">
        <v>64</v>
      </c>
      <c r="W3" s="174" t="s">
        <v>65</v>
      </c>
      <c r="X3" s="174" t="s">
        <v>66</v>
      </c>
      <c r="Y3" s="174" t="s">
        <v>67</v>
      </c>
      <c r="Z3" s="174" t="s">
        <v>351</v>
      </c>
      <c r="AA3" s="174" t="s">
        <v>354</v>
      </c>
      <c r="AB3" s="174" t="s">
        <v>74</v>
      </c>
      <c r="AC3" s="174" t="s">
        <v>352</v>
      </c>
      <c r="AD3" s="174" t="s">
        <v>298</v>
      </c>
      <c r="AE3" s="174" t="s">
        <v>75</v>
      </c>
      <c r="AF3" s="174" t="s">
        <v>372</v>
      </c>
      <c r="AG3" s="174" t="s">
        <v>76</v>
      </c>
      <c r="AH3" s="138" t="s">
        <v>364</v>
      </c>
      <c r="AI3" s="138" t="s">
        <v>817</v>
      </c>
      <c r="AJ3" s="138" t="s">
        <v>818</v>
      </c>
      <c r="AK3" s="138" t="s">
        <v>2</v>
      </c>
      <c r="AL3" s="138" t="s">
        <v>7</v>
      </c>
      <c r="AM3" s="138" t="s">
        <v>813</v>
      </c>
      <c r="AN3" s="138" t="s">
        <v>814</v>
      </c>
      <c r="AO3" s="138" t="s">
        <v>815</v>
      </c>
      <c r="AP3" s="138" t="s">
        <v>816</v>
      </c>
      <c r="AQ3" s="138" t="s">
        <v>1040</v>
      </c>
      <c r="AR3" s="138" t="s">
        <v>1041</v>
      </c>
      <c r="AS3" s="138" t="s">
        <v>520</v>
      </c>
      <c r="AT3" s="138" t="s">
        <v>521</v>
      </c>
      <c r="AU3" s="138" t="s">
        <v>776</v>
      </c>
      <c r="AV3" s="138" t="s">
        <v>819</v>
      </c>
      <c r="AW3" s="138" t="s">
        <v>820</v>
      </c>
      <c r="AX3" s="138" t="s">
        <v>777</v>
      </c>
      <c r="AY3" s="173" t="s">
        <v>821</v>
      </c>
      <c r="AZ3" s="138" t="s">
        <v>822</v>
      </c>
      <c r="BA3" s="138" t="s">
        <v>823</v>
      </c>
      <c r="BB3" s="138" t="s">
        <v>824</v>
      </c>
      <c r="BC3" s="138" t="s">
        <v>825</v>
      </c>
      <c r="BD3" s="138" t="s">
        <v>826</v>
      </c>
      <c r="BE3" s="138" t="s">
        <v>827</v>
      </c>
      <c r="BF3" s="138" t="s">
        <v>828</v>
      </c>
      <c r="BG3" s="138" t="s">
        <v>829</v>
      </c>
      <c r="BH3" s="138" t="s">
        <v>830</v>
      </c>
      <c r="BI3" s="138" t="s">
        <v>831</v>
      </c>
      <c r="BJ3" s="138" t="s">
        <v>832</v>
      </c>
      <c r="BK3" s="138" t="s">
        <v>833</v>
      </c>
      <c r="BL3" s="138" t="s">
        <v>834</v>
      </c>
      <c r="BM3" s="138" t="s">
        <v>835</v>
      </c>
      <c r="BN3" s="138" t="s">
        <v>836</v>
      </c>
      <c r="BO3" s="138" t="s">
        <v>837</v>
      </c>
      <c r="BP3" s="138" t="s">
        <v>838</v>
      </c>
      <c r="BQ3" s="175" t="s">
        <v>839</v>
      </c>
      <c r="BR3" s="138" t="s">
        <v>792</v>
      </c>
      <c r="BS3" s="138" t="s">
        <v>793</v>
      </c>
      <c r="BT3" s="138" t="s">
        <v>884</v>
      </c>
      <c r="BU3" s="138" t="s">
        <v>862</v>
      </c>
      <c r="BV3" s="138" t="s">
        <v>794</v>
      </c>
      <c r="BW3" s="138" t="s">
        <v>1023</v>
      </c>
      <c r="BX3" s="138" t="s">
        <v>905</v>
      </c>
      <c r="BY3" s="138" t="s">
        <v>906</v>
      </c>
      <c r="BZ3" s="138" t="s">
        <v>907</v>
      </c>
      <c r="CA3" s="138" t="s">
        <v>908</v>
      </c>
      <c r="CB3" s="138" t="s">
        <v>909</v>
      </c>
      <c r="CC3" s="138" t="s">
        <v>910</v>
      </c>
      <c r="CD3" s="138" t="s">
        <v>911</v>
      </c>
      <c r="CE3" s="138" t="s">
        <v>912</v>
      </c>
      <c r="CF3" s="138" t="s">
        <v>913</v>
      </c>
      <c r="CG3" s="138" t="s">
        <v>914</v>
      </c>
      <c r="CH3" s="138" t="s">
        <v>915</v>
      </c>
      <c r="CI3" s="138" t="s">
        <v>916</v>
      </c>
      <c r="CJ3" s="138" t="s">
        <v>917</v>
      </c>
      <c r="CK3" s="138" t="s">
        <v>918</v>
      </c>
      <c r="CL3" s="138" t="s">
        <v>919</v>
      </c>
      <c r="CM3" s="138" t="s">
        <v>920</v>
      </c>
      <c r="CN3" s="138" t="s">
        <v>921</v>
      </c>
      <c r="CO3" s="138" t="s">
        <v>922</v>
      </c>
      <c r="CP3" s="138" t="s">
        <v>868</v>
      </c>
      <c r="CQ3" s="138" t="s">
        <v>805</v>
      </c>
      <c r="CR3" s="138" t="s">
        <v>806</v>
      </c>
      <c r="CS3" s="138" t="s">
        <v>807</v>
      </c>
      <c r="CT3" s="138" t="s">
        <v>808</v>
      </c>
      <c r="CU3" s="138" t="s">
        <v>809</v>
      </c>
      <c r="CV3" s="138" t="s">
        <v>810</v>
      </c>
      <c r="CW3" s="138" t="s">
        <v>811</v>
      </c>
      <c r="CX3" s="138" t="s">
        <v>259</v>
      </c>
      <c r="CY3" s="138" t="s">
        <v>869</v>
      </c>
      <c r="CZ3" s="138" t="s">
        <v>873</v>
      </c>
      <c r="DA3" s="138" t="s">
        <v>874</v>
      </c>
      <c r="DB3" s="138" t="s">
        <v>875</v>
      </c>
      <c r="DC3" s="138" t="s">
        <v>876</v>
      </c>
      <c r="DD3" s="138" t="s">
        <v>877</v>
      </c>
      <c r="DE3" s="138" t="s">
        <v>878</v>
      </c>
      <c r="DF3" s="138" t="s">
        <v>879</v>
      </c>
      <c r="DG3" s="138" t="s">
        <v>812</v>
      </c>
      <c r="DH3" s="138" t="s">
        <v>297</v>
      </c>
      <c r="DI3" s="138" t="s">
        <v>535</v>
      </c>
      <c r="DJ3" s="138" t="s">
        <v>536</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45366.75</v>
      </c>
      <c r="AI4" s="183">
        <f ca="1">MIN(25%,(TblConstr[[#This Row],[Tot Fac]]+TblConstr[[#This Row],[Dest Fac]])/(TblConstr[[#This Row],[Land]]-TblExplore[[#This Row],[Land Bonus]]*20))</f>
        <v>0</v>
      </c>
      <c r="AJ4" s="183">
        <f ca="1">MIN(25%,(TblConstr[[#This Row],[Tot Fac]]+TblConstr[[#This Row],[Dest Fac]])/TblConstr[[#This Row],[Land]])</f>
        <v>0</v>
      </c>
      <c r="AK4" s="97">
        <f ca="1">TblProd[[#This Row],[Platinum]]</f>
        <v>120000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45366.75</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45366.791666666664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124860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45366.791666666664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45366.833333333328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129790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45366.833333333328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45366.874999999993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134790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45366.874999999993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45366.916666666657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139860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45366.916666666657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45366.958333333321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145003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45366.958333333321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45366.999999999985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150222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45366.999999999985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45367.04166666665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155519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45367.04166666665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45367.083333333314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160892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45367.083333333314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45367.124999999978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166343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45367.124999999978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45367.166666666642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171875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45367.166666666642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45367.208333333307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177491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45367.208333333307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45367.249999999971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183161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45367.249999999971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45367.291666666635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188831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45367.291666666635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45367.333333333299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194501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45367.333333333299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45367.374999999964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200171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45367.374999999964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45367.416666666628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205841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45367.416666666628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45367.458333333292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211511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45367.458333333292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45367.499999999956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217181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45367.499999999956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45367.541666666621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222851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45367.541666666621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45367.583333333285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228521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45367.583333333285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45367.624999999949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234191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45367.624999999949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45367.666666666613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239861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45367.666666666613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45367.708333333278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245531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45367.708333333278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45367.749999999942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251201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45367.749999999942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45367.791666666606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256871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45367.791666666606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45367.83333333327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262541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45367.83333333327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45367.874999999935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268211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45367.874999999935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45367.916666666599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273881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45367.916666666599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45367.958333333263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279551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45367.958333333263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45367.999999999927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285207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45367.999999999927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45368.041666666591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290820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45368.041666666591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45368.083333333256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296390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45368.083333333256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45368.12499999992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301916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45368.12499999992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45368.166666666584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307402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45368.166666666584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45368.208333333248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312888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45368.208333333248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45368.249999999913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318374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45368.249999999913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45368.291666666577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323860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45368.291666666577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45368.333333333241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329346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45368.333333333241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45368.374999999905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334832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45368.374999999905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45368.41666666657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340318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45368.41666666657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45368.458333333234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345804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45368.458333333234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45368.499999999898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351290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45368.499999999898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45368.541666666562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356776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45368.541666666562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45368.583333333227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362262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45368.583333333227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45368.624999999891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367748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45368.624999999891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45368.666666666555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373234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45368.666666666555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45368.708333333219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378720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45368.708333333219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45368.749999999884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384206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45368.749999999884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45368.791666666548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389692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45368.791666666548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45368.833333333212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395178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45368.833333333212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45368.874999999876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400664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45368.874999999876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45368.916666666541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406150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45368.916666666541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45368.958333333205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411636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45368.958333333205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45368.999999999869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417122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45368.999999999869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45369.041666666533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422608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45369.041666666533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45369.083333333198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428094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45369.083333333198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45369.124999999862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433580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45369.124999999862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45369.166666666526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439066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45369.166666666526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45369.20833333319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444552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45369.20833333319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45369.249999999854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450038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45369.249999999854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45369.291666666519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455524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45369.291666666519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45369.333333333183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461010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45369.333333333183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45369.374999999847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466496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45369.374999999847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45369.416666666511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471982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45369.416666666511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45369.458333333176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477468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45369.458333333176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45369.49999999984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482954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45369.49999999984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45369.541666666504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488440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45369.541666666504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45369.583333333168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493926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45369.583333333168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45369.624999999833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499412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45369.624999999833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45369.666666666497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504898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45369.666666666497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45369.708333333161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510384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45369.708333333161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45369.749999999825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515870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45369.749999999825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45369.79166666649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521356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45369.79166666649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45369.833333333154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526842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45369.833333333154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45369.874999999818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532328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45369.874999999818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45369.916666666482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537814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45369.916666666482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45369.958333333147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543300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45369.958333333147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45369.999999999811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548786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45369.999999999811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45370.041666666475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554272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45370.041666666475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45370.083333333139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559758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45370.083333333139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45370.124999999804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565244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45370.124999999804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45370.166666666468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570730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45370.166666666468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45370.208333333132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576216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45370.208333333132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45370.249999999796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581702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45370.249999999796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45370.291666666461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587188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45370.291666666461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45370.333333333125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592674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45370.333333333125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45370.374999999789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598160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45370.374999999789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45370.416666666453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603646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45370.416666666453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45370.458333333117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609132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45370.458333333117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45370.499999999782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614618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45370.499999999782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45370.541666666446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620104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45370.541666666446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45370.58333333311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625590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45370.58333333311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45370.624999999774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631076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45370.624999999774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45370.666666666439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636562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45370.666666666439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45370.708333333103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642048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45370.708333333103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45370.749999999767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647534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45370.749999999767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45370.791666666431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653020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45370.791666666431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45370.833333333096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45370.833333333096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45370.87499999976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663992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45370.87499999976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45370.916666666424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45370.916666666424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45370.958333333088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674964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45370.958333333088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45370.999999999753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680450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45370.999999999753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45371.041666666417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685936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45371.041666666417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45371.083333333081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691422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45371.083333333081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45371.124999999745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45371.124999999745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45371.16666666641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702394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45371.16666666641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45371.208333333074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45371.208333333074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45371.249999999738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713366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45371.249999999738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45371.291666666402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45371.291666666402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45371.333333333067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724338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45371.333333333067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45371.374999999731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45371.374999999731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45371.416666666395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45371.416666666395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45371.458333333059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740796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45371.458333333059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45371.499999999724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45371.499999999724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45371.541666666388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751768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45371.541666666388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45371.583333333052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45371.583333333052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45371.624999999716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762740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45371.624999999716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45371.66666666638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45371.66666666638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45371.708333333045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773712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45371.708333333045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45371.749999999709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45371.749999999709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45371.791666666373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45371.791666666373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45371.833333333037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790170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45371.833333333037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45371.874999999702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45371.874999999702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45371.916666666366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801142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45371.916666666366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45371.95833333303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45371.95833333303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45371.999999999694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812114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45371.999999999694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45372.041666666359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45372.041666666359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45372.083333333023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45372.083333333023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45372.124999999687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45372.124999999687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45372.166666666351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45372.166666666351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45372.208333333016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45372.208333333016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45372.24999999968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45372.24999999968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6" t="s">
        <v>317</v>
      </c>
      <c r="B1269" s="449"/>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2" priority="73" stopIfTrue="1">
      <formula>XEZ137&lt;0</formula>
    </cfRule>
  </conditionalFormatting>
  <conditionalFormatting sqref="A137:D1268 A1271:D65537 F1271:H65537 F137:H1268">
    <cfRule type="expression" dxfId="731" priority="74" stopIfTrue="1">
      <formula>XEV137&lt;0</formula>
    </cfRule>
  </conditionalFormatting>
  <conditionalFormatting sqref="E1271:E65537 E137:E1268">
    <cfRule type="expression" dxfId="730" priority="75" stopIfTrue="1">
      <formula>XEU137&lt;0</formula>
    </cfRule>
  </conditionalFormatting>
  <conditionalFormatting sqref="DI1271:DJ52023 O1271:AG52052 O137:AG1268 BV1271:DH52052 BV137:DJ1268">
    <cfRule type="expression" dxfId="729" priority="76" stopIfTrue="1">
      <formula>ROW()-2=#REF!</formula>
    </cfRule>
  </conditionalFormatting>
  <conditionalFormatting sqref="A1269:AG1270 BV1269:DJ1270">
    <cfRule type="expression" dxfId="728" priority="77" stopIfTrue="1">
      <formula>$A$1270&gt;144</formula>
    </cfRule>
  </conditionalFormatting>
  <conditionalFormatting sqref="K1271:L65537 K137:L1268">
    <cfRule type="expression" dxfId="727" priority="95" stopIfTrue="1">
      <formula>A137&lt;0</formula>
    </cfRule>
  </conditionalFormatting>
  <conditionalFormatting sqref="AY4:BQ136">
    <cfRule type="expression" dxfId="726" priority="7" stopIfTrue="1">
      <formula>OR(AY4&lt;0,ROW()-3=$A$1270)</formula>
    </cfRule>
  </conditionalFormatting>
  <conditionalFormatting sqref="I1271:J65537 I137:J1268">
    <cfRule type="expression" dxfId="725" priority="98" stopIfTrue="1">
      <formula>A137&lt;0</formula>
    </cfRule>
  </conditionalFormatting>
  <conditionalFormatting sqref="A4:DJ35 A36:O38 Q36:W38 A39:W39 Y36:DJ39 A40:DJ52 A60:DJ136 A53:Q59 S53:X59 Z53:DJ59">
    <cfRule type="expression" dxfId="724" priority="13" stopIfTrue="1">
      <formula>ROW()-3=$A$1270</formula>
    </cfRule>
    <cfRule type="expression" dxfId="723" priority="136">
      <formula>$A4=73</formula>
    </cfRule>
    <cfRule type="expression" dxfId="722" priority="137">
      <formula>ROUND(($A4-1)/12,0)=INT($A4-1)/12</formula>
    </cfRule>
  </conditionalFormatting>
  <conditionalFormatting sqref="A1:XFD3">
    <cfRule type="expression" dxfId="721" priority="138">
      <formula>$A$1270&lt;0</formula>
    </cfRule>
  </conditionalFormatting>
  <conditionalFormatting sqref="P36:P38">
    <cfRule type="expression" dxfId="720" priority="4" stopIfTrue="1">
      <formula>ROW()-3=$B$1270</formula>
    </cfRule>
  </conditionalFormatting>
  <conditionalFormatting sqref="P36:P38">
    <cfRule type="expression" dxfId="719" priority="5">
      <formula>$A36=73</formula>
    </cfRule>
    <cfRule type="expression" dxfId="718" priority="6">
      <formula>ROUND(($A36-1)/12,0)=INT($A36-1)/12</formula>
    </cfRule>
  </conditionalFormatting>
  <conditionalFormatting sqref="X36:X39">
    <cfRule type="expression" dxfId="717" priority="1" stopIfTrue="1">
      <formula>ROW()-3=$B$1270</formula>
    </cfRule>
  </conditionalFormatting>
  <conditionalFormatting sqref="X36:X39">
    <cfRule type="expression" dxfId="716" priority="2">
      <formula>$A36=73</formula>
    </cfRule>
    <cfRule type="expression" dxfId="715"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0" t="s">
        <v>302</v>
      </c>
      <c r="M1" s="449"/>
      <c r="N1" s="449"/>
      <c r="O1" s="449"/>
      <c r="P1" s="449"/>
      <c r="Q1" s="449"/>
      <c r="R1" s="28"/>
      <c r="S1" s="5" t="s">
        <v>356</v>
      </c>
      <c r="T1" s="5" t="s">
        <v>177</v>
      </c>
      <c r="AB1" s="499" t="s">
        <v>77</v>
      </c>
      <c r="AC1" s="499"/>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775</v>
      </c>
      <c r="D3" s="138" t="s">
        <v>55</v>
      </c>
      <c r="E3" s="138" t="s">
        <v>58</v>
      </c>
      <c r="F3" s="138" t="s">
        <v>1031</v>
      </c>
      <c r="G3" s="138" t="s">
        <v>59</v>
      </c>
      <c r="H3" s="138" t="s">
        <v>60</v>
      </c>
      <c r="I3" s="138" t="s">
        <v>61</v>
      </c>
      <c r="J3" s="138" t="s">
        <v>62</v>
      </c>
      <c r="K3" s="222" t="s">
        <v>880</v>
      </c>
      <c r="L3" s="222" t="s">
        <v>881</v>
      </c>
      <c r="M3" s="222" t="s">
        <v>882</v>
      </c>
      <c r="N3" s="223" t="s">
        <v>185</v>
      </c>
      <c r="O3" s="223" t="s">
        <v>366</v>
      </c>
      <c r="P3" s="223" t="s">
        <v>365</v>
      </c>
      <c r="Q3" s="138" t="s">
        <v>884</v>
      </c>
      <c r="R3" s="138" t="s">
        <v>857</v>
      </c>
      <c r="S3" s="138" t="s">
        <v>885</v>
      </c>
      <c r="T3" s="138" t="s">
        <v>1024</v>
      </c>
      <c r="U3" s="138" t="s">
        <v>1025</v>
      </c>
      <c r="V3" s="138" t="s">
        <v>1026</v>
      </c>
      <c r="W3" s="138" t="s">
        <v>1027</v>
      </c>
      <c r="X3" s="138" t="s">
        <v>1028</v>
      </c>
      <c r="Y3" s="138" t="s">
        <v>1029</v>
      </c>
      <c r="Z3" s="138" t="s">
        <v>1030</v>
      </c>
      <c r="AA3" s="138" t="s">
        <v>312</v>
      </c>
      <c r="AB3" s="138" t="s">
        <v>24</v>
      </c>
      <c r="AC3" s="138" t="s">
        <v>2</v>
      </c>
      <c r="AD3" s="138" t="s">
        <v>776</v>
      </c>
      <c r="AE3" s="138" t="s">
        <v>511</v>
      </c>
      <c r="AF3" s="138" t="s">
        <v>57</v>
      </c>
      <c r="AG3" s="138" t="s">
        <v>179</v>
      </c>
      <c r="AH3" s="138" t="s">
        <v>883</v>
      </c>
      <c r="AI3" s="138" t="s">
        <v>870</v>
      </c>
      <c r="AJ3" s="224" t="s">
        <v>763</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45366.75</v>
      </c>
      <c r="AB4" s="97">
        <f ca="1">TblMili[[#This Row],[Draftees]]</f>
        <v>100</v>
      </c>
      <c r="AC4" s="97">
        <f ca="1">TblProd[[#This Row],[Platinum]]</f>
        <v>120000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45366.791666666664</v>
      </c>
      <c r="AB5" s="97">
        <f ca="1">TblMili[[#This Row],[Draftees]]</f>
        <v>113</v>
      </c>
      <c r="AC5" s="97">
        <f ca="1">TblProd[[#This Row],[Platinum]]</f>
        <v>124860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45366.833333333328</v>
      </c>
      <c r="AB6" s="97">
        <f ca="1">TblMili[[#This Row],[Draftees]]</f>
        <v>126</v>
      </c>
      <c r="AC6" s="97">
        <f ca="1">TblProd[[#This Row],[Platinum]]</f>
        <v>129790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45366.874999999993</v>
      </c>
      <c r="AB7" s="97">
        <f ca="1">TblMili[[#This Row],[Draftees]]</f>
        <v>140</v>
      </c>
      <c r="AC7" s="97">
        <f ca="1">TblProd[[#This Row],[Platinum]]</f>
        <v>134790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45366.916666666657</v>
      </c>
      <c r="AB8" s="97">
        <f ca="1">TblMili[[#This Row],[Draftees]]</f>
        <v>154</v>
      </c>
      <c r="AC8" s="97">
        <f ca="1">TblProd[[#This Row],[Platinum]]</f>
        <v>139860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45366.958333333321</v>
      </c>
      <c r="AB9" s="97">
        <f ca="1">TblMili[[#This Row],[Draftees]]</f>
        <v>168</v>
      </c>
      <c r="AC9" s="97">
        <f ca="1">TblProd[[#This Row],[Platinum]]</f>
        <v>145003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45366.999999999985</v>
      </c>
      <c r="AB10" s="97">
        <f ca="1">TblMili[[#This Row],[Draftees]]</f>
        <v>182</v>
      </c>
      <c r="AC10" s="97">
        <f ca="1">TblProd[[#This Row],[Platinum]]</f>
        <v>150222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45367.04166666665</v>
      </c>
      <c r="AB11" s="97">
        <f ca="1">TblMili[[#This Row],[Draftees]]</f>
        <v>197</v>
      </c>
      <c r="AC11" s="97">
        <f ca="1">TblProd[[#This Row],[Platinum]]</f>
        <v>155519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45367.083333333314</v>
      </c>
      <c r="AB12" s="97">
        <f ca="1">TblMili[[#This Row],[Draftees]]</f>
        <v>212</v>
      </c>
      <c r="AC12" s="97">
        <f ca="1">TblProd[[#This Row],[Platinum]]</f>
        <v>160892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45367.124999999978</v>
      </c>
      <c r="AB13" s="97">
        <f ca="1">TblMili[[#This Row],[Draftees]]</f>
        <v>227</v>
      </c>
      <c r="AC13" s="97">
        <f ca="1">TblProd[[#This Row],[Platinum]]</f>
        <v>166343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45367.166666666642</v>
      </c>
      <c r="AB14" s="97">
        <f ca="1">TblMili[[#This Row],[Draftees]]</f>
        <v>242</v>
      </c>
      <c r="AC14" s="97">
        <f ca="1">TblProd[[#This Row],[Platinum]]</f>
        <v>171875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45367.208333333307</v>
      </c>
      <c r="AB15" s="97">
        <f ca="1">TblMili[[#This Row],[Draftees]]</f>
        <v>258</v>
      </c>
      <c r="AC15" s="97">
        <f ca="1">TblProd[[#This Row],[Platinum]]</f>
        <v>177491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382</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45367.249999999971</v>
      </c>
      <c r="AB16" s="97">
        <f ca="1">TblMili[[#This Row],[Draftees]]</f>
        <v>274</v>
      </c>
      <c r="AC16" s="97">
        <f ca="1">TblProd[[#This Row],[Platinum]]</f>
        <v>183161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370</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45367.291666666635</v>
      </c>
      <c r="AB17" s="97">
        <f ca="1">TblMili[[#This Row],[Draftees]]</f>
        <v>290</v>
      </c>
      <c r="AC17" s="97">
        <f ca="1">TblProd[[#This Row],[Platinum]]</f>
        <v>188831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369</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45367.333333333299</v>
      </c>
      <c r="AB18" s="97">
        <f ca="1">TblMili[[#This Row],[Draftees]]</f>
        <v>307</v>
      </c>
      <c r="AC18" s="97">
        <f ca="1">TblProd[[#This Row],[Platinum]]</f>
        <v>194501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367</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45367.374999999964</v>
      </c>
      <c r="AB19" s="97">
        <f ca="1">TblMili[[#This Row],[Draftees]]</f>
        <v>324</v>
      </c>
      <c r="AC19" s="97">
        <f ca="1">TblProd[[#This Row],[Platinum]]</f>
        <v>200171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368</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45367.416666666628</v>
      </c>
      <c r="AB20" s="97">
        <f ca="1">TblMili[[#This Row],[Draftees]]</f>
        <v>341</v>
      </c>
      <c r="AC20" s="97">
        <f ca="1">TblProd[[#This Row],[Platinum]]</f>
        <v>205841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45367.458333333292</v>
      </c>
      <c r="AB21" s="97">
        <f ca="1">TblMili[[#This Row],[Draftees]]</f>
        <v>359</v>
      </c>
      <c r="AC21" s="97">
        <f ca="1">TblProd[[#This Row],[Platinum]]</f>
        <v>211511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45367.499999999956</v>
      </c>
      <c r="AB22" s="97">
        <f ca="1">TblMili[[#This Row],[Draftees]]</f>
        <v>377</v>
      </c>
      <c r="AC22" s="97">
        <f ca="1">TblProd[[#This Row],[Platinum]]</f>
        <v>217181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45367.541666666621</v>
      </c>
      <c r="AB23" s="97">
        <f ca="1">TblMili[[#This Row],[Draftees]]</f>
        <v>395</v>
      </c>
      <c r="AC23" s="97">
        <f ca="1">TblProd[[#This Row],[Platinum]]</f>
        <v>222851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45367.583333333285</v>
      </c>
      <c r="AB24" s="97">
        <f ca="1">TblMili[[#This Row],[Draftees]]</f>
        <v>413</v>
      </c>
      <c r="AC24" s="97">
        <f ca="1">TblProd[[#This Row],[Platinum]]</f>
        <v>228521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383</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45367.624999999949</v>
      </c>
      <c r="AB25" s="97">
        <f ca="1">TblMili[[#This Row],[Draftees]]</f>
        <v>430</v>
      </c>
      <c r="AC25" s="97">
        <f ca="1">TblProd[[#This Row],[Platinum]]</f>
        <v>234191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370</v>
      </c>
      <c r="M26" s="236">
        <f ca="1">Military!AP67</f>
        <v>466496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45367.666666666613</v>
      </c>
      <c r="AB26" s="97">
        <f ca="1">TblMili[[#This Row],[Draftees]]</f>
        <v>447</v>
      </c>
      <c r="AC26" s="97">
        <f ca="1">TblProd[[#This Row],[Platinum]]</f>
        <v>239861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369</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45367.708333333278</v>
      </c>
      <c r="AB27" s="97">
        <f ca="1">TblMili[[#This Row],[Draftees]]</f>
        <v>464</v>
      </c>
      <c r="AC27" s="97">
        <f ca="1">TblProd[[#This Row],[Platinum]]</f>
        <v>245531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367</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45367.749999999942</v>
      </c>
      <c r="AB28" s="97">
        <f ca="1">TblMili[[#This Row],[Draftees]]</f>
        <v>481</v>
      </c>
      <c r="AC28" s="97">
        <f ca="1">TblProd[[#This Row],[Platinum]]</f>
        <v>251201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368</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45367.791666666606</v>
      </c>
      <c r="AB29" s="97">
        <f ca="1">TblMili[[#This Row],[Draftees]]</f>
        <v>498</v>
      </c>
      <c r="AC29" s="97">
        <f ca="1">TblProd[[#This Row],[Platinum]]</f>
        <v>256871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45367.83333333327</v>
      </c>
      <c r="AB30" s="97">
        <f ca="1">TblMili[[#This Row],[Draftees]]</f>
        <v>515</v>
      </c>
      <c r="AC30" s="97">
        <f ca="1">TblProd[[#This Row],[Platinum]]</f>
        <v>262541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45367.874999999935</v>
      </c>
      <c r="AB31" s="97">
        <f ca="1">TblMili[[#This Row],[Draftees]]</f>
        <v>531</v>
      </c>
      <c r="AC31" s="97">
        <f ca="1">TblProd[[#This Row],[Platinum]]</f>
        <v>268211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45367.916666666599</v>
      </c>
      <c r="AB32" s="97">
        <f ca="1">TblMili[[#This Row],[Draftees]]</f>
        <v>547</v>
      </c>
      <c r="AC32" s="97">
        <f ca="1">TblProd[[#This Row],[Platinum]]</f>
        <v>273881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45367.958333333263</v>
      </c>
      <c r="AB33" s="97">
        <f ca="1">TblMili[[#This Row],[Draftees]]</f>
        <v>563</v>
      </c>
      <c r="AC33" s="97">
        <f ca="1">TblProd[[#This Row],[Platinum]]</f>
        <v>279551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45367.999999999927</v>
      </c>
      <c r="AB34" s="97">
        <f ca="1">TblMili[[#This Row],[Draftees]]</f>
        <v>579</v>
      </c>
      <c r="AC34" s="97">
        <f ca="1">TblProd[[#This Row],[Platinum]]</f>
        <v>285207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45368.041666666591</v>
      </c>
      <c r="AB35" s="97">
        <f ca="1">TblMili[[#This Row],[Draftees]]</f>
        <v>595</v>
      </c>
      <c r="AC35" s="97">
        <f ca="1">TblProd[[#This Row],[Platinum]]</f>
        <v>290820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45368.083333333256</v>
      </c>
      <c r="AB36" s="97">
        <f ca="1">TblMili[[#This Row],[Draftees]]</f>
        <v>611</v>
      </c>
      <c r="AC36" s="97">
        <f ca="1">TblProd[[#This Row],[Platinum]]</f>
        <v>296390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45368.12499999992</v>
      </c>
      <c r="AB37" s="97">
        <f ca="1">TblMili[[#This Row],[Draftees]]</f>
        <v>626</v>
      </c>
      <c r="AC37" s="97">
        <f ca="1">TblProd[[#This Row],[Platinum]]</f>
        <v>301916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45368.166666666584</v>
      </c>
      <c r="AB38" s="97">
        <f ca="1">TblMili[[#This Row],[Draftees]]</f>
        <v>626</v>
      </c>
      <c r="AC38" s="97">
        <f ca="1">TblProd[[#This Row],[Platinum]]</f>
        <v>307402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45368.208333333248</v>
      </c>
      <c r="AB39" s="97">
        <f ca="1">TblMili[[#This Row],[Draftees]]</f>
        <v>626</v>
      </c>
      <c r="AC39" s="97">
        <f ca="1">TblProd[[#This Row],[Platinum]]</f>
        <v>312888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45368.249999999913</v>
      </c>
      <c r="AB40" s="97">
        <f ca="1">TblMili[[#This Row],[Draftees]]</f>
        <v>626</v>
      </c>
      <c r="AC40" s="97">
        <f ca="1">TblProd[[#This Row],[Platinum]]</f>
        <v>318374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45368.291666666577</v>
      </c>
      <c r="AB41" s="97">
        <f ca="1">TblMili[[#This Row],[Draftees]]</f>
        <v>626</v>
      </c>
      <c r="AC41" s="97">
        <f ca="1">TblProd[[#This Row],[Platinum]]</f>
        <v>323860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45368.333333333241</v>
      </c>
      <c r="AB42" s="97">
        <f ca="1">TblMili[[#This Row],[Draftees]]</f>
        <v>626</v>
      </c>
      <c r="AC42" s="97">
        <f ca="1">TblProd[[#This Row],[Platinum]]</f>
        <v>329346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45368.374999999905</v>
      </c>
      <c r="AB43" s="97">
        <f ca="1">TblMili[[#This Row],[Draftees]]</f>
        <v>626</v>
      </c>
      <c r="AC43" s="97">
        <f ca="1">TblProd[[#This Row],[Platinum]]</f>
        <v>334832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45368.41666666657</v>
      </c>
      <c r="AB44" s="97">
        <f ca="1">TblMili[[#This Row],[Draftees]]</f>
        <v>626</v>
      </c>
      <c r="AC44" s="97">
        <f ca="1">TblProd[[#This Row],[Platinum]]</f>
        <v>340318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45368.458333333234</v>
      </c>
      <c r="AB45" s="97">
        <f ca="1">TblMili[[#This Row],[Draftees]]</f>
        <v>626</v>
      </c>
      <c r="AC45" s="97">
        <f ca="1">TblProd[[#This Row],[Platinum]]</f>
        <v>345804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45368.499999999898</v>
      </c>
      <c r="AB46" s="97">
        <f ca="1">TblMili[[#This Row],[Draftees]]</f>
        <v>626</v>
      </c>
      <c r="AC46" s="97">
        <f ca="1">TblProd[[#This Row],[Platinum]]</f>
        <v>351290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45368.541666666562</v>
      </c>
      <c r="AB47" s="97">
        <f ca="1">TblMili[[#This Row],[Draftees]]</f>
        <v>626</v>
      </c>
      <c r="AC47" s="97">
        <f ca="1">TblProd[[#This Row],[Platinum]]</f>
        <v>356776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45368.583333333227</v>
      </c>
      <c r="AB48" s="97">
        <f ca="1">TblMili[[#This Row],[Draftees]]</f>
        <v>626</v>
      </c>
      <c r="AC48" s="97">
        <f ca="1">TblProd[[#This Row],[Platinum]]</f>
        <v>362262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45368.624999999891</v>
      </c>
      <c r="AB49" s="97">
        <f ca="1">TblMili[[#This Row],[Draftees]]</f>
        <v>626</v>
      </c>
      <c r="AC49" s="97">
        <f ca="1">TblProd[[#This Row],[Platinum]]</f>
        <v>367748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45368.666666666555</v>
      </c>
      <c r="AB50" s="97">
        <f ca="1">TblMili[[#This Row],[Draftees]]</f>
        <v>626</v>
      </c>
      <c r="AC50" s="97">
        <f ca="1">TblProd[[#This Row],[Platinum]]</f>
        <v>373234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45368.708333333219</v>
      </c>
      <c r="AB51" s="97">
        <f ca="1">TblMili[[#This Row],[Draftees]]</f>
        <v>626</v>
      </c>
      <c r="AC51" s="97">
        <f ca="1">TblProd[[#This Row],[Platinum]]</f>
        <v>378720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45368.749999999884</v>
      </c>
      <c r="AB52" s="97">
        <f ca="1">TblMili[[#This Row],[Draftees]]</f>
        <v>626</v>
      </c>
      <c r="AC52" s="97">
        <f ca="1">TblProd[[#This Row],[Platinum]]</f>
        <v>384206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45368.791666666548</v>
      </c>
      <c r="AB53" s="97">
        <f ca="1">TblMili[[#This Row],[Draftees]]</f>
        <v>626</v>
      </c>
      <c r="AC53" s="97">
        <f ca="1">TblProd[[#This Row],[Platinum]]</f>
        <v>389692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1050</v>
      </c>
      <c r="M54" s="398" t="s">
        <v>304</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45368.833333333212</v>
      </c>
      <c r="AB54" s="97">
        <f ca="1">TblMili[[#This Row],[Draftees]]</f>
        <v>626</v>
      </c>
      <c r="AC54" s="97">
        <f ca="1">TblProd[[#This Row],[Platinum]]</f>
        <v>395178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45368.874999999876</v>
      </c>
      <c r="AB55" s="97">
        <f ca="1">TblMili[[#This Row],[Draftees]]</f>
        <v>626</v>
      </c>
      <c r="AC55" s="97">
        <f ca="1">TblProd[[#This Row],[Platinum]]</f>
        <v>400664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45368.916666666541</v>
      </c>
      <c r="AB56" s="97">
        <f ca="1">TblMili[[#This Row],[Draftees]]</f>
        <v>626</v>
      </c>
      <c r="AC56" s="97">
        <f ca="1">TblProd[[#This Row],[Platinum]]</f>
        <v>406150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45368.958333333205</v>
      </c>
      <c r="AB57" s="97">
        <f ca="1">TblMili[[#This Row],[Draftees]]</f>
        <v>626</v>
      </c>
      <c r="AC57" s="97">
        <f ca="1">TblProd[[#This Row],[Platinum]]</f>
        <v>411636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45368.999999999869</v>
      </c>
      <c r="AB58" s="97">
        <f ca="1">TblMili[[#This Row],[Draftees]]</f>
        <v>626</v>
      </c>
      <c r="AC58" s="97">
        <f ca="1">TblProd[[#This Row],[Platinum]]</f>
        <v>417122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45369.041666666533</v>
      </c>
      <c r="AB59" s="97">
        <f ca="1">TblMili[[#This Row],[Draftees]]</f>
        <v>626</v>
      </c>
      <c r="AC59" s="97">
        <f ca="1">TblProd[[#This Row],[Platinum]]</f>
        <v>422608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45369.083333333198</v>
      </c>
      <c r="AB60" s="97">
        <f ca="1">TblMili[[#This Row],[Draftees]]</f>
        <v>626</v>
      </c>
      <c r="AC60" s="97">
        <f ca="1">TblProd[[#This Row],[Platinum]]</f>
        <v>428094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45369.124999999862</v>
      </c>
      <c r="AB61" s="97">
        <f ca="1">TblMili[[#This Row],[Draftees]]</f>
        <v>626</v>
      </c>
      <c r="AC61" s="97">
        <f ca="1">TblProd[[#This Row],[Platinum]]</f>
        <v>433580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45369.166666666526</v>
      </c>
      <c r="AB62" s="97">
        <f ca="1">TblMili[[#This Row],[Draftees]]</f>
        <v>626</v>
      </c>
      <c r="AC62" s="97">
        <f ca="1">TblProd[[#This Row],[Platinum]]</f>
        <v>439066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45369.20833333319</v>
      </c>
      <c r="AB63" s="97">
        <f ca="1">TblMili[[#This Row],[Draftees]]</f>
        <v>626</v>
      </c>
      <c r="AC63" s="97">
        <f ca="1">TblProd[[#This Row],[Platinum]]</f>
        <v>444552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45369.249999999854</v>
      </c>
      <c r="AB64" s="97">
        <f ca="1">TblMili[[#This Row],[Draftees]]</f>
        <v>626</v>
      </c>
      <c r="AC64" s="97">
        <f ca="1">TblProd[[#This Row],[Platinum]]</f>
        <v>450038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45369.291666666519</v>
      </c>
      <c r="AB65" s="97">
        <f ca="1">TblMili[[#This Row],[Draftees]]</f>
        <v>626</v>
      </c>
      <c r="AC65" s="97">
        <f ca="1">TblProd[[#This Row],[Platinum]]</f>
        <v>455524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45369.333333333183</v>
      </c>
      <c r="AB66" s="97">
        <f ca="1">TblMili[[#This Row],[Draftees]]</f>
        <v>626</v>
      </c>
      <c r="AC66" s="97">
        <f ca="1">TblProd[[#This Row],[Platinum]]</f>
        <v>461010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45369.374999999847</v>
      </c>
      <c r="AB67" s="97">
        <f ca="1">TblMili[[#This Row],[Draftees]]</f>
        <v>626</v>
      </c>
      <c r="AC67" s="97">
        <f ca="1">TblProd[[#This Row],[Platinum]]</f>
        <v>466496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45369.416666666511</v>
      </c>
      <c r="AB68" s="97">
        <f ca="1">TblMili[[#This Row],[Draftees]]</f>
        <v>626</v>
      </c>
      <c r="AC68" s="97">
        <f ca="1">TblProd[[#This Row],[Platinum]]</f>
        <v>471982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45369.458333333176</v>
      </c>
      <c r="AB69" s="97">
        <f ca="1">TblMili[[#This Row],[Draftees]]</f>
        <v>626</v>
      </c>
      <c r="AC69" s="97">
        <f ca="1">TblProd[[#This Row],[Platinum]]</f>
        <v>477468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45369.49999999984</v>
      </c>
      <c r="AB70" s="97">
        <f ca="1">TblMili[[#This Row],[Draftees]]</f>
        <v>626</v>
      </c>
      <c r="AC70" s="97">
        <f ca="1">TblProd[[#This Row],[Platinum]]</f>
        <v>482954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45369.541666666504</v>
      </c>
      <c r="AB71" s="97">
        <f ca="1">TblMili[[#This Row],[Draftees]]</f>
        <v>626</v>
      </c>
      <c r="AC71" s="97">
        <f ca="1">TblProd[[#This Row],[Platinum]]</f>
        <v>488440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45369.583333333168</v>
      </c>
      <c r="AB72" s="97">
        <f ca="1">TblMili[[#This Row],[Draftees]]</f>
        <v>626</v>
      </c>
      <c r="AC72" s="97">
        <f ca="1">TblProd[[#This Row],[Platinum]]</f>
        <v>493926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45369.624999999833</v>
      </c>
      <c r="AB73" s="97">
        <f ca="1">TblMili[[#This Row],[Draftees]]</f>
        <v>626</v>
      </c>
      <c r="AC73" s="97">
        <f ca="1">TblProd[[#This Row],[Platinum]]</f>
        <v>499412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45369.666666666497</v>
      </c>
      <c r="AB74" s="97">
        <f ca="1">TblMili[[#This Row],[Draftees]]</f>
        <v>626</v>
      </c>
      <c r="AC74" s="97">
        <f ca="1">TblProd[[#This Row],[Platinum]]</f>
        <v>504898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45369.708333333161</v>
      </c>
      <c r="AB75" s="97">
        <f ca="1">TblMili[[#This Row],[Draftees]]</f>
        <v>626</v>
      </c>
      <c r="AC75" s="97">
        <f ca="1">TblProd[[#This Row],[Platinum]]</f>
        <v>510384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45369.749999999825</v>
      </c>
      <c r="AB76" s="210">
        <f ca="1">TblMili[[#This Row],[Draftees]]</f>
        <v>626</v>
      </c>
      <c r="AC76" s="210">
        <f ca="1">TblProd[[#This Row],[Platinum]]</f>
        <v>515870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45369.79166666649</v>
      </c>
      <c r="AB77" s="97">
        <f ca="1">TblMili[[#This Row],[Draftees]]</f>
        <v>626</v>
      </c>
      <c r="AC77" s="97">
        <f ca="1">TblProd[[#This Row],[Platinum]]</f>
        <v>521356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45369.833333333154</v>
      </c>
      <c r="AB78" s="97">
        <f ca="1">TblMili[[#This Row],[Draftees]]</f>
        <v>626</v>
      </c>
      <c r="AC78" s="97">
        <f ca="1">TblProd[[#This Row],[Platinum]]</f>
        <v>526842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45369.874999999818</v>
      </c>
      <c r="AB79" s="97">
        <f ca="1">TblMili[[#This Row],[Draftees]]</f>
        <v>626</v>
      </c>
      <c r="AC79" s="97">
        <f ca="1">TblProd[[#This Row],[Platinum]]</f>
        <v>532328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45369.916666666482</v>
      </c>
      <c r="AB80" s="97">
        <f ca="1">TblMili[[#This Row],[Draftees]]</f>
        <v>626</v>
      </c>
      <c r="AC80" s="97">
        <f ca="1">TblProd[[#This Row],[Platinum]]</f>
        <v>537814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45369.958333333147</v>
      </c>
      <c r="AB81" s="97">
        <f ca="1">TblMili[[#This Row],[Draftees]]</f>
        <v>626</v>
      </c>
      <c r="AC81" s="97">
        <f ca="1">TblProd[[#This Row],[Platinum]]</f>
        <v>543300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45369.999999999811</v>
      </c>
      <c r="AB82" s="97">
        <f ca="1">TblMili[[#This Row],[Draftees]]</f>
        <v>626</v>
      </c>
      <c r="AC82" s="97">
        <f ca="1">TblProd[[#This Row],[Platinum]]</f>
        <v>548786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45370.041666666475</v>
      </c>
      <c r="AB83" s="97">
        <f ca="1">TblMili[[#This Row],[Draftees]]</f>
        <v>626</v>
      </c>
      <c r="AC83" s="97">
        <f ca="1">TblProd[[#This Row],[Platinum]]</f>
        <v>554272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45370.083333333139</v>
      </c>
      <c r="AB84" s="97">
        <f ca="1">TblMili[[#This Row],[Draftees]]</f>
        <v>626</v>
      </c>
      <c r="AC84" s="97">
        <f ca="1">TblProd[[#This Row],[Platinum]]</f>
        <v>559758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45370.124999999804</v>
      </c>
      <c r="AB85" s="97">
        <f ca="1">TblMili[[#This Row],[Draftees]]</f>
        <v>626</v>
      </c>
      <c r="AC85" s="97">
        <f ca="1">TblProd[[#This Row],[Platinum]]</f>
        <v>565244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45370.166666666468</v>
      </c>
      <c r="AB86" s="97">
        <f ca="1">TblMili[[#This Row],[Draftees]]</f>
        <v>626</v>
      </c>
      <c r="AC86" s="97">
        <f ca="1">TblProd[[#This Row],[Platinum]]</f>
        <v>570730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45370.208333333132</v>
      </c>
      <c r="AB87" s="97">
        <f ca="1">TblMili[[#This Row],[Draftees]]</f>
        <v>626</v>
      </c>
      <c r="AC87" s="97">
        <f ca="1">TblProd[[#This Row],[Platinum]]</f>
        <v>576216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45370.249999999796</v>
      </c>
      <c r="AB88" s="97">
        <f ca="1">TblMili[[#This Row],[Draftees]]</f>
        <v>626</v>
      </c>
      <c r="AC88" s="97">
        <f ca="1">TblProd[[#This Row],[Platinum]]</f>
        <v>581702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45370.291666666461</v>
      </c>
      <c r="AB89" s="97">
        <f ca="1">TblMili[[#This Row],[Draftees]]</f>
        <v>626</v>
      </c>
      <c r="AC89" s="97">
        <f ca="1">TblProd[[#This Row],[Platinum]]</f>
        <v>587188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45370.333333333125</v>
      </c>
      <c r="AB90" s="97">
        <f ca="1">TblMili[[#This Row],[Draftees]]</f>
        <v>626</v>
      </c>
      <c r="AC90" s="97">
        <f ca="1">TblProd[[#This Row],[Platinum]]</f>
        <v>592674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45370.374999999789</v>
      </c>
      <c r="AB91" s="97">
        <f ca="1">TblMili[[#This Row],[Draftees]]</f>
        <v>626</v>
      </c>
      <c r="AC91" s="97">
        <f ca="1">TblProd[[#This Row],[Platinum]]</f>
        <v>598160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45370.416666666453</v>
      </c>
      <c r="AB92" s="97">
        <f ca="1">TblMili[[#This Row],[Draftees]]</f>
        <v>626</v>
      </c>
      <c r="AC92" s="97">
        <f ca="1">TblProd[[#This Row],[Platinum]]</f>
        <v>603646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45370.458333333117</v>
      </c>
      <c r="AB93" s="97">
        <f ca="1">TblMili[[#This Row],[Draftees]]</f>
        <v>626</v>
      </c>
      <c r="AC93" s="97">
        <f ca="1">TblProd[[#This Row],[Platinum]]</f>
        <v>609132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45370.499999999782</v>
      </c>
      <c r="AB94" s="97">
        <f ca="1">TblMili[[#This Row],[Draftees]]</f>
        <v>626</v>
      </c>
      <c r="AC94" s="97">
        <f ca="1">TblProd[[#This Row],[Platinum]]</f>
        <v>614618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45370.541666666446</v>
      </c>
      <c r="AB95" s="97">
        <f ca="1">TblMili[[#This Row],[Draftees]]</f>
        <v>626</v>
      </c>
      <c r="AC95" s="97">
        <f ca="1">TblProd[[#This Row],[Platinum]]</f>
        <v>620104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45370.58333333311</v>
      </c>
      <c r="AB96" s="97">
        <f ca="1">TblMili[[#This Row],[Draftees]]</f>
        <v>626</v>
      </c>
      <c r="AC96" s="97">
        <f ca="1">TblProd[[#This Row],[Platinum]]</f>
        <v>625590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45370.624999999774</v>
      </c>
      <c r="AB97" s="97">
        <f ca="1">TblMili[[#This Row],[Draftees]]</f>
        <v>626</v>
      </c>
      <c r="AC97" s="97">
        <f ca="1">TblProd[[#This Row],[Platinum]]</f>
        <v>631076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45370.666666666439</v>
      </c>
      <c r="AB98" s="97">
        <f ca="1">TblMili[[#This Row],[Draftees]]</f>
        <v>626</v>
      </c>
      <c r="AC98" s="97">
        <f ca="1">TblProd[[#This Row],[Platinum]]</f>
        <v>636562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45370.708333333103</v>
      </c>
      <c r="AB99" s="97">
        <f ca="1">TblMili[[#This Row],[Draftees]]</f>
        <v>626</v>
      </c>
      <c r="AC99" s="97">
        <f ca="1">TblProd[[#This Row],[Platinum]]</f>
        <v>642048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45370.749999999767</v>
      </c>
      <c r="AB100" s="97">
        <f ca="1">TblMili[[#This Row],[Draftees]]</f>
        <v>626</v>
      </c>
      <c r="AC100" s="97">
        <f ca="1">TblProd[[#This Row],[Platinum]]</f>
        <v>647534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45370.791666666431</v>
      </c>
      <c r="AB101" s="97">
        <f ca="1">TblMili[[#This Row],[Draftees]]</f>
        <v>626</v>
      </c>
      <c r="AC101" s="97">
        <f ca="1">TblProd[[#This Row],[Platinum]]</f>
        <v>653020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45370.833333333096</v>
      </c>
      <c r="AB102" s="97">
        <f ca="1">TblMili[[#This Row],[Draftees]]</f>
        <v>626</v>
      </c>
      <c r="AC102" s="97">
        <f ca="1">TblProd[[#This Row],[Platinum]]</f>
        <v>658506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45370.87499999976</v>
      </c>
      <c r="AB103" s="97">
        <f ca="1">TblMili[[#This Row],[Draftees]]</f>
        <v>626</v>
      </c>
      <c r="AC103" s="97">
        <f ca="1">TblProd[[#This Row],[Platinum]]</f>
        <v>663992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45370.916666666424</v>
      </c>
      <c r="AB104" s="97">
        <f ca="1">TblMili[[#This Row],[Draftees]]</f>
        <v>626</v>
      </c>
      <c r="AC104" s="97">
        <f ca="1">TblProd[[#This Row],[Platinum]]</f>
        <v>669478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45370.958333333088</v>
      </c>
      <c r="AB105" s="97">
        <f ca="1">TblMili[[#This Row],[Draftees]]</f>
        <v>626</v>
      </c>
      <c r="AC105" s="97">
        <f ca="1">TblProd[[#This Row],[Platinum]]</f>
        <v>674964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45370.999999999753</v>
      </c>
      <c r="AB106" s="97">
        <f ca="1">TblMili[[#This Row],[Draftees]]</f>
        <v>626</v>
      </c>
      <c r="AC106" s="97">
        <f ca="1">TblProd[[#This Row],[Platinum]]</f>
        <v>680450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45371.041666666417</v>
      </c>
      <c r="AB107" s="97">
        <f ca="1">TblMili[[#This Row],[Draftees]]</f>
        <v>626</v>
      </c>
      <c r="AC107" s="97">
        <f ca="1">TblProd[[#This Row],[Platinum]]</f>
        <v>685936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45371.083333333081</v>
      </c>
      <c r="AB108" s="97">
        <f ca="1">TblMili[[#This Row],[Draftees]]</f>
        <v>626</v>
      </c>
      <c r="AC108" s="97">
        <f ca="1">TblProd[[#This Row],[Platinum]]</f>
        <v>691422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45371.124999999745</v>
      </c>
      <c r="AB109" s="97">
        <f ca="1">TblMili[[#This Row],[Draftees]]</f>
        <v>626</v>
      </c>
      <c r="AC109" s="97">
        <f ca="1">TblProd[[#This Row],[Platinum]]</f>
        <v>696908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45371.16666666641</v>
      </c>
      <c r="AB110" s="97">
        <f ca="1">TblMili[[#This Row],[Draftees]]</f>
        <v>626</v>
      </c>
      <c r="AC110" s="97">
        <f ca="1">TblProd[[#This Row],[Platinum]]</f>
        <v>702394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45371.208333333074</v>
      </c>
      <c r="AB111" s="97">
        <f ca="1">TblMili[[#This Row],[Draftees]]</f>
        <v>626</v>
      </c>
      <c r="AC111" s="97">
        <f ca="1">TblProd[[#This Row],[Platinum]]</f>
        <v>707880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45371.249999999738</v>
      </c>
      <c r="AB112" s="97">
        <f ca="1">TblMili[[#This Row],[Draftees]]</f>
        <v>626</v>
      </c>
      <c r="AC112" s="97">
        <f ca="1">TblProd[[#This Row],[Platinum]]</f>
        <v>713366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45371.291666666402</v>
      </c>
      <c r="AB113" s="97">
        <f ca="1">TblMili[[#This Row],[Draftees]]</f>
        <v>626</v>
      </c>
      <c r="AC113" s="97">
        <f ca="1">TblProd[[#This Row],[Platinum]]</f>
        <v>718852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45371.333333333067</v>
      </c>
      <c r="AB114" s="97">
        <f ca="1">TblMili[[#This Row],[Draftees]]</f>
        <v>626</v>
      </c>
      <c r="AC114" s="97">
        <f ca="1">TblProd[[#This Row],[Platinum]]</f>
        <v>724338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45371.374999999731</v>
      </c>
      <c r="AB115" s="97">
        <f ca="1">TblMili[[#This Row],[Draftees]]</f>
        <v>626</v>
      </c>
      <c r="AC115" s="97">
        <f ca="1">TblProd[[#This Row],[Platinum]]</f>
        <v>729824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45371.416666666395</v>
      </c>
      <c r="AB116" s="97">
        <f ca="1">TblMili[[#This Row],[Draftees]]</f>
        <v>626</v>
      </c>
      <c r="AC116" s="97">
        <f ca="1">TblProd[[#This Row],[Platinum]]</f>
        <v>735310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45371.458333333059</v>
      </c>
      <c r="AB117" s="97">
        <f ca="1">TblMili[[#This Row],[Draftees]]</f>
        <v>626</v>
      </c>
      <c r="AC117" s="97">
        <f ca="1">TblProd[[#This Row],[Platinum]]</f>
        <v>740796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45371.499999999724</v>
      </c>
      <c r="AB118" s="97">
        <f ca="1">TblMili[[#This Row],[Draftees]]</f>
        <v>626</v>
      </c>
      <c r="AC118" s="97">
        <f ca="1">TblProd[[#This Row],[Platinum]]</f>
        <v>746282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45371.541666666388</v>
      </c>
      <c r="AB119" s="97">
        <f ca="1">TblMili[[#This Row],[Draftees]]</f>
        <v>626</v>
      </c>
      <c r="AC119" s="97">
        <f ca="1">TblProd[[#This Row],[Platinum]]</f>
        <v>751768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45371.583333333052</v>
      </c>
      <c r="AB120" s="97">
        <f ca="1">TblMili[[#This Row],[Draftees]]</f>
        <v>626</v>
      </c>
      <c r="AC120" s="97">
        <f ca="1">TblProd[[#This Row],[Platinum]]</f>
        <v>757254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45371.624999999716</v>
      </c>
      <c r="AB121" s="97">
        <f ca="1">TblMili[[#This Row],[Draftees]]</f>
        <v>626</v>
      </c>
      <c r="AC121" s="97">
        <f ca="1">TblProd[[#This Row],[Platinum]]</f>
        <v>762740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45371.66666666638</v>
      </c>
      <c r="AB122" s="97">
        <f ca="1">TblMili[[#This Row],[Draftees]]</f>
        <v>626</v>
      </c>
      <c r="AC122" s="97">
        <f ca="1">TblProd[[#This Row],[Platinum]]</f>
        <v>768226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45371.708333333045</v>
      </c>
      <c r="AB123" s="97">
        <f ca="1">TblMili[[#This Row],[Draftees]]</f>
        <v>626</v>
      </c>
      <c r="AC123" s="97">
        <f ca="1">TblProd[[#This Row],[Platinum]]</f>
        <v>773712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301</v>
      </c>
      <c r="M124" s="240" t="s">
        <v>304</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45371.749999999709</v>
      </c>
      <c r="AB124" s="97">
        <f ca="1">TblMili[[#This Row],[Draftees]]</f>
        <v>626</v>
      </c>
      <c r="AC124" s="97">
        <f ca="1">TblProd[[#This Row],[Platinum]]</f>
        <v>779198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45371.791666666373</v>
      </c>
      <c r="AB125" s="97">
        <f ca="1">TblMili[[#This Row],[Draftees]]</f>
        <v>626</v>
      </c>
      <c r="AC125" s="97">
        <f ca="1">TblProd[[#This Row],[Platinum]]</f>
        <v>784684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45371.833333333037</v>
      </c>
      <c r="AB126" s="97">
        <f ca="1">TblMili[[#This Row],[Draftees]]</f>
        <v>626</v>
      </c>
      <c r="AC126" s="97">
        <f ca="1">TblProd[[#This Row],[Platinum]]</f>
        <v>790170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45371.874999999702</v>
      </c>
      <c r="AB127" s="97">
        <f ca="1">TblMili[[#This Row],[Draftees]]</f>
        <v>626</v>
      </c>
      <c r="AC127" s="97">
        <f ca="1">TblProd[[#This Row],[Platinum]]</f>
        <v>795656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45371.916666666366</v>
      </c>
      <c r="AB128" s="97">
        <f ca="1">TblMili[[#This Row],[Draftees]]</f>
        <v>626</v>
      </c>
      <c r="AC128" s="97">
        <f ca="1">TblProd[[#This Row],[Platinum]]</f>
        <v>801142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45371.95833333303</v>
      </c>
      <c r="AB129" s="97">
        <f ca="1">TblMili[[#This Row],[Draftees]]</f>
        <v>626</v>
      </c>
      <c r="AC129" s="97">
        <f ca="1">TblProd[[#This Row],[Platinum]]</f>
        <v>806628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45371.999999999694</v>
      </c>
      <c r="AB130" s="97">
        <f ca="1">TblMili[[#This Row],[Draftees]]</f>
        <v>626</v>
      </c>
      <c r="AC130" s="97">
        <f ca="1">TblProd[[#This Row],[Platinum]]</f>
        <v>812114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45372.041666666359</v>
      </c>
      <c r="AB131" s="97">
        <f ca="1">TblMili[[#This Row],[Draftees]]</f>
        <v>626</v>
      </c>
      <c r="AC131" s="97">
        <f ca="1">TblProd[[#This Row],[Platinum]]</f>
        <v>817600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45372.083333333023</v>
      </c>
      <c r="AB132" s="97">
        <f ca="1">TblMili[[#This Row],[Draftees]]</f>
        <v>626</v>
      </c>
      <c r="AC132" s="97">
        <f ca="1">TblProd[[#This Row],[Platinum]]</f>
        <v>823086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45372.124999999687</v>
      </c>
      <c r="AB133" s="97">
        <f ca="1">TblMili[[#This Row],[Draftees]]</f>
        <v>626</v>
      </c>
      <c r="AC133" s="97">
        <f ca="1">TblProd[[#This Row],[Platinum]]</f>
        <v>828572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45372.166666666351</v>
      </c>
      <c r="AB134" s="97">
        <f ca="1">TblMili[[#This Row],[Draftees]]</f>
        <v>626</v>
      </c>
      <c r="AC134" s="97">
        <f ca="1">TblProd[[#This Row],[Platinum]]</f>
        <v>834058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45372.208333333016</v>
      </c>
      <c r="AB135" s="97">
        <f ca="1">TblMili[[#This Row],[Draftees]]</f>
        <v>626</v>
      </c>
      <c r="AC135" s="97">
        <f ca="1">TblProd[[#This Row],[Platinum]]</f>
        <v>839544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45372.24999999968</v>
      </c>
      <c r="AB136" s="97">
        <f ca="1">TblMili[[#This Row],[Draftees]]</f>
        <v>626</v>
      </c>
      <c r="AC136" s="97">
        <f ca="1">TblProd[[#This Row],[Platinum]]</f>
        <v>845030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6" t="s">
        <v>317</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2" priority="19" stopIfTrue="1">
      <formula>$M26&lt;$M17</formula>
    </cfRule>
    <cfRule type="expression" dxfId="481" priority="20" stopIfTrue="1">
      <formula>$M17&lt;$M26</formula>
    </cfRule>
  </conditionalFormatting>
  <conditionalFormatting sqref="C1270 D1269:AJ1270 A1269:B1270">
    <cfRule type="expression" dxfId="480" priority="17" stopIfTrue="1">
      <formula>$B$1270&gt;144</formula>
    </cfRule>
  </conditionalFormatting>
  <conditionalFormatting sqref="A4:J136 N4:AJ12 N49:AJ136 N41:S48 U41:AJ48 N16:AJ23 N13:V15 X13:AJ15 N27:AJ40 N24:V26 X24:AJ26">
    <cfRule type="expression" dxfId="479" priority="7" stopIfTrue="1">
      <formula>ROW()-3=$B$1270</formula>
    </cfRule>
  </conditionalFormatting>
  <conditionalFormatting sqref="D4:J136">
    <cfRule type="expression" dxfId="478" priority="8" stopIfTrue="1">
      <formula>OR(ROW()-3=$B$1270,D4&lt;0)</formula>
    </cfRule>
  </conditionalFormatting>
  <conditionalFormatting sqref="A1:XFD3">
    <cfRule type="expression" dxfId="477" priority="22" stopIfTrue="1">
      <formula>$B$1270&lt;0</formula>
    </cfRule>
  </conditionalFormatting>
  <conditionalFormatting sqref="A4:AJ12 A49:AJ136 A41:S48 U41:AJ48 A16:AJ23 A13:V15 X13:AJ15 A27:AJ40 A24:V26 X24:AJ26">
    <cfRule type="expression" dxfId="476" priority="9">
      <formula>$A4=73</formula>
    </cfRule>
    <cfRule type="expression" dxfId="475" priority="16">
      <formula>ROUND(($A4-1)/12,0)=INT($A4-1)/12</formula>
    </cfRule>
  </conditionalFormatting>
  <conditionalFormatting sqref="W13:W15">
    <cfRule type="expression" dxfId="474" priority="4" stopIfTrue="1">
      <formula>ROW()-3=$A$1270</formula>
    </cfRule>
    <cfRule type="expression" dxfId="473" priority="5">
      <formula>$A13=73</formula>
    </cfRule>
    <cfRule type="expression" dxfId="472" priority="6">
      <formula>ROUND(($A13-1)/12,0)=INT($A13-1)/12</formula>
    </cfRule>
  </conditionalFormatting>
  <conditionalFormatting sqref="W24:W26">
    <cfRule type="expression" dxfId="471" priority="1" stopIfTrue="1">
      <formula>ROW()-3=$B$1270</formula>
    </cfRule>
  </conditionalFormatting>
  <conditionalFormatting sqref="W24:W26">
    <cfRule type="expression" dxfId="470" priority="2">
      <formula>$A24=73</formula>
    </cfRule>
    <cfRule type="expression" dxfId="469"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305</v>
      </c>
      <c r="M1" s="5"/>
      <c r="N1" s="5"/>
      <c r="O1" s="5"/>
      <c r="P1" s="5"/>
      <c r="Q1" s="5"/>
      <c r="R1" s="5"/>
      <c r="S1" s="5"/>
      <c r="T1" s="5"/>
      <c r="U1" s="5"/>
      <c r="V1" s="5" t="s">
        <v>194</v>
      </c>
      <c r="W1" s="5"/>
      <c r="X1" s="5" t="s">
        <v>33</v>
      </c>
      <c r="Y1" s="5"/>
      <c r="Z1" s="5"/>
      <c r="AA1" s="5" t="s">
        <v>193</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178</v>
      </c>
      <c r="E3" s="138" t="s">
        <v>59</v>
      </c>
      <c r="F3" s="138" t="s">
        <v>60</v>
      </c>
      <c r="G3" s="138" t="s">
        <v>61</v>
      </c>
      <c r="H3" s="138" t="s">
        <v>62</v>
      </c>
      <c r="I3" s="138" t="s">
        <v>775</v>
      </c>
      <c r="J3" s="138" t="s">
        <v>0</v>
      </c>
      <c r="K3" s="138" t="s">
        <v>312</v>
      </c>
      <c r="L3" s="138" t="s">
        <v>1032</v>
      </c>
      <c r="M3" s="138" t="s">
        <v>1033</v>
      </c>
      <c r="N3" s="138" t="s">
        <v>1034</v>
      </c>
      <c r="O3" s="138" t="s">
        <v>1035</v>
      </c>
      <c r="P3" s="138" t="s">
        <v>1036</v>
      </c>
      <c r="Q3" s="138" t="s">
        <v>1037</v>
      </c>
      <c r="R3" s="138" t="s">
        <v>1038</v>
      </c>
      <c r="S3" s="138" t="s">
        <v>303</v>
      </c>
      <c r="T3" s="138" t="s">
        <v>195</v>
      </c>
      <c r="U3" s="138" t="s">
        <v>776</v>
      </c>
      <c r="V3" s="138" t="s">
        <v>2</v>
      </c>
      <c r="W3" s="138" t="s">
        <v>777</v>
      </c>
      <c r="X3" s="138" t="s">
        <v>57</v>
      </c>
      <c r="Y3" s="138" t="s">
        <v>904</v>
      </c>
      <c r="Z3" s="138" t="s">
        <v>792</v>
      </c>
      <c r="AA3" s="138" t="s">
        <v>261</v>
      </c>
      <c r="AB3" s="138" t="s">
        <v>793</v>
      </c>
      <c r="AC3" s="138" t="s">
        <v>191</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45366.75</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120000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45366.791666666664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124860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45366.833333333328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129790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45366.874999999993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134790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45366.916666666657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139860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45366.958333333321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145003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45366.999999999985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150222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45367.04166666665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155519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45367.083333333314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160892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45367.124999999978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166343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45367.166666666642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171875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45367.208333333307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177491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45367.249999999971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183161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45367.291666666635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188831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45367.333333333299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194501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45367.374999999964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200171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45367.416666666628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205841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45367.458333333292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211511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45367.499999999956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217181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45367.541666666621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222851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45367.583333333285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228521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45367.624999999949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234191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45367.666666666613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239861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45367.708333333278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245531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45367.749999999942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251201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45367.791666666606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256871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45367.83333333327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262541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45367.874999999935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268211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45367.916666666599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273881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45367.958333333263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279551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45367.999999999927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285207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45368.041666666591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290820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45368.083333333256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296390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45368.12499999992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301916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45368.166666666584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307402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45368.208333333248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312888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45368.249999999913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318374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45368.291666666577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323860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45368.333333333241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329346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45368.374999999905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334832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45368.41666666657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340318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45368.458333333234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345804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45368.499999999898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351290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45368.541666666562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356776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45368.583333333227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362262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45368.624999999891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367748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45368.666666666555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373234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45368.708333333219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378720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45368.749999999884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384206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45368.791666666548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389692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45368.833333333212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395178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45368.874999999876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400664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45368.916666666541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406150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45368.958333333205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411636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45368.999999999869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417122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45369.041666666533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422608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45369.083333333198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428094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45369.124999999862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433580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45369.166666666526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439066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45369.20833333319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444552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45369.249999999854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450038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45369.291666666519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455524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45369.333333333183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461010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45369.374999999847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466496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45369.416666666511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471982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45369.458333333176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477468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45369.49999999984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482954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45369.541666666504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488440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45369.583333333168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493926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45369.624999999833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499412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45369.666666666497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504898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45369.708333333161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510384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45369.749999999825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515870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45369.79166666649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521356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45369.833333333154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526842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45369.874999999818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532328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45369.916666666482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537814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45369.958333333147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543300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45369.999999999811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548786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45370.041666666475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554272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45370.083333333139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559758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45370.124999999804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565244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45370.166666666468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570730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45370.208333333132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576216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45370.249999999796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581702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45370.291666666461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587188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45370.333333333125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592674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45370.374999999789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598160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45370.416666666453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603646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45370.458333333117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609132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45370.499999999782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614618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45370.541666666446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620104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45370.58333333311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625590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45370.624999999774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631076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45370.666666666439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636562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45370.708333333103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642048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45370.749999999767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647534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45370.791666666431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653020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45370.833333333096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45370.87499999976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663992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45370.916666666424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45370.958333333088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674964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45370.999999999753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680450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45371.041666666417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685936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45371.083333333081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691422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45371.124999999745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45371.16666666641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702394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45371.208333333074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45371.249999999738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713366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45371.291666666402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45371.333333333067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724338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45371.374999999731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45371.416666666395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45371.458333333059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740796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45371.499999999724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45371.541666666388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751768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45371.583333333052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45371.624999999716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762740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45371.66666666638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45371.708333333045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773712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45371.749999999709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45371.791666666373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45371.833333333037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790170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45371.874999999702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45371.916666666366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801142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45371.95833333303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45371.999999999694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812114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45372.041666666359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45372.083333333023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45372.124999999687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45372.166666666351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45372.208333333016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45372.24999999968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6" t="s">
        <v>317</v>
      </c>
      <c r="B1269" s="496"/>
      <c r="I1269" s="253" t="s">
        <v>307</v>
      </c>
      <c r="L1269" s="254"/>
      <c r="M1269" s="254">
        <v>-10</v>
      </c>
      <c r="N1269" s="254">
        <v>10</v>
      </c>
      <c r="O1269" s="254"/>
      <c r="P1269" s="254"/>
      <c r="Q1269" s="254"/>
      <c r="R1269" s="254"/>
    </row>
    <row r="1270" spans="1:18" x14ac:dyDescent="0.2">
      <c r="A1270" s="28">
        <f>Overview!E17</f>
        <v>0</v>
      </c>
      <c r="B1270" s="28"/>
      <c r="L1270" s="501" t="s">
        <v>306</v>
      </c>
      <c r="M1270" s="449"/>
      <c r="N1270" s="449"/>
      <c r="O1270" s="449"/>
      <c r="P1270" s="449"/>
      <c r="Q1270" s="449"/>
      <c r="R1270" s="449"/>
    </row>
  </sheetData>
  <mergeCells count="2">
    <mergeCell ref="L1270:R1270"/>
    <mergeCell ref="A1269:B1269"/>
  </mergeCells>
  <phoneticPr fontId="0" type="noConversion"/>
  <conditionalFormatting sqref="A1271:AC60158 A137:AC1268">
    <cfRule type="expression" dxfId="429" priority="14" stopIfTrue="1">
      <formula>ROW()-2=#REF!</formula>
    </cfRule>
  </conditionalFormatting>
  <conditionalFormatting sqref="A1269:AC1270">
    <cfRule type="expression" dxfId="428" priority="15" stopIfTrue="1">
      <formula>$A$1270&gt;144</formula>
    </cfRule>
  </conditionalFormatting>
  <conditionalFormatting sqref="A1:AC3">
    <cfRule type="expression" dxfId="427" priority="19" stopIfTrue="1">
      <formula>$A$1270&lt;0</formula>
    </cfRule>
  </conditionalFormatting>
  <conditionalFormatting sqref="A4:AC136">
    <cfRule type="expression" dxfId="426" priority="1" stopIfTrue="1">
      <formula>ROW()-3=$A$1270</formula>
    </cfRule>
    <cfRule type="expression" dxfId="425" priority="2" stopIfTrue="1">
      <formula>OR(AND(ROW()-3=$A$1270,A4="Ok",XFD4&lt;&gt;0),A4="Nope")</formula>
    </cfRule>
    <cfRule type="expression" dxfId="424" priority="4">
      <formula>$J4=73</formula>
    </cfRule>
    <cfRule type="expression" dxfId="423" priority="7">
      <formula>ROUND(($J4-1)/12,0)=INT($J4-1)/12</formula>
    </cfRule>
  </conditionalFormatting>
  <conditionalFormatting sqref="T76">
    <cfRule type="expression" dxfId="422" priority="13" stopIfTrue="1">
      <formula>S76=0</formula>
    </cfRule>
  </conditionalFormatting>
  <conditionalFormatting sqref="B4:H136">
    <cfRule type="cellIs" dxfId="42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107" width="12.85546875" style="45" customWidth="1"/>
    <col min="108" max="108" width="3" style="45" customWidth="1"/>
    <col min="109" max="110" width="12.85546875" style="45"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475</v>
      </c>
      <c r="T1" s="497"/>
      <c r="U1" s="176"/>
      <c r="V1" s="497" t="s">
        <v>476</v>
      </c>
      <c r="W1" s="497"/>
      <c r="X1" s="5"/>
      <c r="Y1" s="497" t="s">
        <v>24</v>
      </c>
      <c r="Z1" s="497"/>
      <c r="AA1" s="497"/>
      <c r="AB1" s="28"/>
      <c r="AC1" s="5"/>
      <c r="AD1" s="5"/>
      <c r="AE1" s="5"/>
      <c r="AF1" s="5"/>
      <c r="AG1" s="5" t="s">
        <v>182</v>
      </c>
      <c r="AH1" s="5"/>
      <c r="AI1" s="5"/>
      <c r="AJ1" s="5"/>
      <c r="AK1" s="5"/>
      <c r="AL1" s="5"/>
      <c r="AM1" s="5"/>
      <c r="AN1" s="5"/>
      <c r="AO1" s="5"/>
      <c r="AP1" s="5" t="s">
        <v>77</v>
      </c>
      <c r="AQ1" s="5"/>
      <c r="AR1" s="5" t="s">
        <v>33</v>
      </c>
      <c r="AS1" s="5"/>
      <c r="AT1" s="5"/>
      <c r="AU1" s="5"/>
      <c r="AV1" s="5"/>
      <c r="AW1" s="5" t="s">
        <v>187</v>
      </c>
      <c r="AX1" s="5"/>
      <c r="AY1" s="5"/>
      <c r="AZ1" s="5"/>
      <c r="BA1" s="5"/>
      <c r="BB1" s="5"/>
      <c r="BC1" s="5"/>
      <c r="BD1" s="5"/>
      <c r="BE1" s="5"/>
      <c r="BF1" s="5"/>
      <c r="BG1" s="5"/>
      <c r="BH1" s="5"/>
      <c r="BI1" s="497" t="s">
        <v>491</v>
      </c>
      <c r="BJ1" s="497"/>
      <c r="BK1" s="497"/>
      <c r="BL1" s="497"/>
      <c r="BM1" s="497"/>
      <c r="BN1" s="497"/>
      <c r="BO1" s="497"/>
      <c r="BP1" s="497"/>
      <c r="BQ1" s="498"/>
      <c r="BR1" s="498"/>
      <c r="BS1" s="498"/>
      <c r="BT1" s="498"/>
      <c r="BU1" s="5"/>
      <c r="BV1" s="499" t="s">
        <v>299</v>
      </c>
      <c r="BW1" s="449"/>
      <c r="BX1" s="449"/>
      <c r="BY1" s="28"/>
      <c r="BZ1" s="28"/>
      <c r="CA1" s="5"/>
      <c r="CB1" s="5"/>
      <c r="CC1" s="28"/>
      <c r="CD1" s="28"/>
      <c r="CE1" s="28"/>
      <c r="CF1" s="28"/>
      <c r="CG1" s="28"/>
      <c r="CH1" s="28"/>
      <c r="CI1" s="28"/>
      <c r="CJ1" s="28"/>
      <c r="CK1" s="5"/>
      <c r="CL1" s="5"/>
      <c r="CM1" s="5"/>
      <c r="CN1" s="497" t="s">
        <v>313</v>
      </c>
      <c r="CO1" s="497"/>
      <c r="CP1" s="497"/>
      <c r="CQ1" s="498"/>
      <c r="CR1" s="498"/>
      <c r="CS1" s="498"/>
      <c r="CT1" s="498"/>
      <c r="CU1" s="498"/>
      <c r="CV1" s="498"/>
      <c r="CW1" s="57"/>
      <c r="CX1" s="57"/>
      <c r="CY1" s="57"/>
      <c r="CZ1" s="57"/>
      <c r="DA1" s="57"/>
      <c r="DB1" s="57"/>
      <c r="DC1" s="5"/>
      <c r="DD1" s="5"/>
      <c r="DE1" s="5" t="s">
        <v>255</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1095</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1095</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1095</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189</v>
      </c>
      <c r="D3" s="138" t="s">
        <v>775</v>
      </c>
      <c r="E3" s="138" t="s">
        <v>771</v>
      </c>
      <c r="F3" s="138" t="s">
        <v>772</v>
      </c>
      <c r="G3" s="138" t="s">
        <v>773</v>
      </c>
      <c r="H3" s="138" t="s">
        <v>774</v>
      </c>
      <c r="I3" s="138" t="s">
        <v>25</v>
      </c>
      <c r="J3" s="138" t="s">
        <v>1095</v>
      </c>
      <c r="K3" s="138" t="s">
        <v>26</v>
      </c>
      <c r="L3" s="138" t="s">
        <v>27</v>
      </c>
      <c r="M3" s="138" t="s">
        <v>776</v>
      </c>
      <c r="N3" s="138" t="s">
        <v>232</v>
      </c>
      <c r="O3" s="138" t="s">
        <v>777</v>
      </c>
      <c r="P3" s="138" t="s">
        <v>190</v>
      </c>
      <c r="Q3" s="138" t="s">
        <v>802</v>
      </c>
      <c r="R3" s="138" t="s">
        <v>229</v>
      </c>
      <c r="S3" s="258" t="s">
        <v>477</v>
      </c>
      <c r="T3" s="138" t="s">
        <v>474</v>
      </c>
      <c r="U3" s="138" t="s">
        <v>803</v>
      </c>
      <c r="V3" s="259" t="s">
        <v>871</v>
      </c>
      <c r="W3" s="138" t="s">
        <v>872</v>
      </c>
      <c r="X3" s="138" t="s">
        <v>1</v>
      </c>
      <c r="Y3" s="138" t="s">
        <v>181</v>
      </c>
      <c r="Z3" s="138" t="s">
        <v>180</v>
      </c>
      <c r="AA3" s="138" t="s">
        <v>24</v>
      </c>
      <c r="AB3" s="138" t="s">
        <v>792</v>
      </c>
      <c r="AC3" s="138" t="s">
        <v>185</v>
      </c>
      <c r="AD3" s="138" t="s">
        <v>793</v>
      </c>
      <c r="AE3" s="138" t="s">
        <v>857</v>
      </c>
      <c r="AF3" s="138" t="s">
        <v>312</v>
      </c>
      <c r="AG3" s="138" t="s">
        <v>786</v>
      </c>
      <c r="AH3" s="138" t="s">
        <v>787</v>
      </c>
      <c r="AI3" s="138" t="s">
        <v>788</v>
      </c>
      <c r="AJ3" s="138" t="s">
        <v>789</v>
      </c>
      <c r="AK3" s="138" t="s">
        <v>790</v>
      </c>
      <c r="AL3" s="138" t="s">
        <v>1094</v>
      </c>
      <c r="AM3" s="138" t="s">
        <v>791</v>
      </c>
      <c r="AN3" s="138" t="s">
        <v>1093</v>
      </c>
      <c r="AO3" s="138" t="s">
        <v>794</v>
      </c>
      <c r="AP3" s="138" t="s">
        <v>2</v>
      </c>
      <c r="AQ3" s="258" t="s">
        <v>1013</v>
      </c>
      <c r="AR3" s="138" t="s">
        <v>804</v>
      </c>
      <c r="AS3" s="258" t="s">
        <v>1014</v>
      </c>
      <c r="AT3" s="138" t="s">
        <v>1051</v>
      </c>
      <c r="AU3" s="138" t="s">
        <v>1053</v>
      </c>
      <c r="AV3" s="138" t="s">
        <v>779</v>
      </c>
      <c r="AW3" s="138" t="s">
        <v>795</v>
      </c>
      <c r="AX3" s="138" t="s">
        <v>796</v>
      </c>
      <c r="AY3" s="138" t="s">
        <v>797</v>
      </c>
      <c r="AZ3" s="138" t="s">
        <v>798</v>
      </c>
      <c r="BA3" s="138" t="s">
        <v>799</v>
      </c>
      <c r="BB3" s="138" t="s">
        <v>800</v>
      </c>
      <c r="BC3" s="138" t="s">
        <v>1096</v>
      </c>
      <c r="BD3" s="138" t="s">
        <v>801</v>
      </c>
      <c r="BE3" s="138" t="s">
        <v>1097</v>
      </c>
      <c r="BF3" s="138" t="s">
        <v>780</v>
      </c>
      <c r="BG3" s="138" t="s">
        <v>233</v>
      </c>
      <c r="BH3" s="138" t="s">
        <v>355</v>
      </c>
      <c r="BI3" s="138" t="s">
        <v>492</v>
      </c>
      <c r="BJ3" s="138" t="s">
        <v>493</v>
      </c>
      <c r="BK3" s="138" t="s">
        <v>494</v>
      </c>
      <c r="BL3" s="138" t="s">
        <v>495</v>
      </c>
      <c r="BM3" s="138" t="s">
        <v>496</v>
      </c>
      <c r="BN3" s="138" t="s">
        <v>497</v>
      </c>
      <c r="BO3" s="138" t="s">
        <v>498</v>
      </c>
      <c r="BP3" s="138" t="s">
        <v>499</v>
      </c>
      <c r="BQ3" s="138" t="s">
        <v>900</v>
      </c>
      <c r="BR3" s="138" t="s">
        <v>1098</v>
      </c>
      <c r="BS3" s="138" t="s">
        <v>901</v>
      </c>
      <c r="BT3" s="138" t="s">
        <v>902</v>
      </c>
      <c r="BU3" s="138" t="s">
        <v>903</v>
      </c>
      <c r="BV3" s="138" t="s">
        <v>246</v>
      </c>
      <c r="BW3" s="138" t="s">
        <v>298</v>
      </c>
      <c r="BX3" s="138" t="s">
        <v>125</v>
      </c>
      <c r="BY3" s="138" t="s">
        <v>1016</v>
      </c>
      <c r="BZ3" s="138" t="s">
        <v>1015</v>
      </c>
      <c r="CA3" s="138" t="s">
        <v>140</v>
      </c>
      <c r="CB3" s="138" t="s">
        <v>133</v>
      </c>
      <c r="CC3" s="138" t="s">
        <v>1077</v>
      </c>
      <c r="CD3" s="138" t="s">
        <v>1081</v>
      </c>
      <c r="CE3" s="138" t="s">
        <v>329</v>
      </c>
      <c r="CF3" s="138" t="s">
        <v>330</v>
      </c>
      <c r="CG3" s="138" t="s">
        <v>334</v>
      </c>
      <c r="CH3" s="138" t="s">
        <v>335</v>
      </c>
      <c r="CI3" s="138" t="s">
        <v>144</v>
      </c>
      <c r="CJ3" s="138" t="s">
        <v>501</v>
      </c>
      <c r="CK3" s="260" t="s">
        <v>781</v>
      </c>
      <c r="CL3" s="260" t="s">
        <v>782</v>
      </c>
      <c r="CM3" s="260" t="s">
        <v>783</v>
      </c>
      <c r="CN3" s="138" t="s">
        <v>1017</v>
      </c>
      <c r="CO3" s="138" t="s">
        <v>886</v>
      </c>
      <c r="CP3" s="138" t="s">
        <v>887</v>
      </c>
      <c r="CQ3" s="138" t="s">
        <v>888</v>
      </c>
      <c r="CR3" s="138" t="s">
        <v>889</v>
      </c>
      <c r="CS3" s="138" t="s">
        <v>890</v>
      </c>
      <c r="CT3" s="138" t="s">
        <v>891</v>
      </c>
      <c r="CU3" s="138" t="s">
        <v>892</v>
      </c>
      <c r="CV3" s="138" t="s">
        <v>893</v>
      </c>
      <c r="CW3" s="138" t="s">
        <v>894</v>
      </c>
      <c r="CX3" s="138" t="s">
        <v>895</v>
      </c>
      <c r="CY3" s="138" t="s">
        <v>896</v>
      </c>
      <c r="CZ3" s="260" t="s">
        <v>784</v>
      </c>
      <c r="DA3" s="138" t="s">
        <v>1088</v>
      </c>
      <c r="DB3" s="260" t="s">
        <v>785</v>
      </c>
      <c r="DC3" s="138" t="s">
        <v>897</v>
      </c>
      <c r="DD3" s="138" t="s">
        <v>1054</v>
      </c>
      <c r="DE3" s="138" t="s">
        <v>898</v>
      </c>
      <c r="DF3" s="138" t="s">
        <v>899</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45366.75</v>
      </c>
      <c r="AG4" s="182"/>
      <c r="AH4" s="182"/>
      <c r="AI4" s="182"/>
      <c r="AJ4" s="182"/>
      <c r="AK4" s="182"/>
      <c r="AL4" s="182"/>
      <c r="AM4" s="182"/>
      <c r="AN4" s="182"/>
      <c r="AO4" s="145"/>
      <c r="AP4" s="97">
        <f ca="1">TblProd[[#This Row],[Platinum]]</f>
        <v>120000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45366.75</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1240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0.83333333333333337</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45366.791666666664</v>
      </c>
      <c r="AG5" s="182"/>
      <c r="AH5" s="182"/>
      <c r="AI5" s="182"/>
      <c r="AJ5" s="182"/>
      <c r="AK5" s="182"/>
      <c r="AL5" s="182"/>
      <c r="AM5" s="182"/>
      <c r="AN5" s="182"/>
      <c r="AO5" s="145"/>
      <c r="AP5" s="97">
        <f ca="1">TblProd[[#This Row],[Platinum]]</f>
        <v>124860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45366.791666666664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1240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2.1999999999999997</v>
      </c>
      <c r="CH5" s="45">
        <f ca="1">MIN(ice_elem_cap,TblMili[[#This Row],[Raw (2)]]*ice_elem_bonus)</f>
        <v>0.1</v>
      </c>
      <c r="CI5" s="266">
        <f t="shared" si="0"/>
        <v>0.83333333333333337</v>
      </c>
      <c r="CJ5" s="266">
        <f ca="1">MIN(nox_nightshade_cap,TblConstr[[#This Row],[Homeland]]/TblConstr[[#This Row],[Land]]/nox_nightshade_swamp_bonus)</f>
        <v>4</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45366.833333333328</v>
      </c>
      <c r="AG6" s="182"/>
      <c r="AH6" s="182"/>
      <c r="AI6" s="182"/>
      <c r="AJ6" s="182"/>
      <c r="AK6" s="182"/>
      <c r="AL6" s="182"/>
      <c r="AM6" s="182"/>
      <c r="AN6" s="182"/>
      <c r="AO6" s="145"/>
      <c r="AP6" s="97">
        <f ca="1">TblProd[[#This Row],[Platinum]]</f>
        <v>129790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45366.833333333328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1240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2.1999999999999997</v>
      </c>
      <c r="CH6" s="45">
        <f ca="1">MIN(ice_elem_cap,TblMili[[#This Row],[Raw (2)]]*ice_elem_bonus)</f>
        <v>0.1</v>
      </c>
      <c r="CI6" s="266">
        <f t="shared" si="0"/>
        <v>0.83333333333333337</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45366.874999999993</v>
      </c>
      <c r="AG7" s="182"/>
      <c r="AH7" s="182"/>
      <c r="AI7" s="182"/>
      <c r="AJ7" s="182"/>
      <c r="AK7" s="182"/>
      <c r="AL7" s="182"/>
      <c r="AM7" s="182"/>
      <c r="AN7" s="182"/>
      <c r="AO7" s="145"/>
      <c r="AP7" s="97">
        <f ca="1">TblProd[[#This Row],[Platinum]]</f>
        <v>134790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45366.874999999993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1240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2.1999999999999997</v>
      </c>
      <c r="CH7" s="45">
        <f ca="1">MIN(ice_elem_cap,TblMili[[#This Row],[Raw (2)]]*ice_elem_bonus)</f>
        <v>0.1</v>
      </c>
      <c r="CI7" s="266">
        <f t="shared" si="0"/>
        <v>0.83333333333333337</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45366.916666666657</v>
      </c>
      <c r="AG8" s="182"/>
      <c r="AH8" s="182"/>
      <c r="AI8" s="182"/>
      <c r="AJ8" s="182"/>
      <c r="AK8" s="182"/>
      <c r="AL8" s="182"/>
      <c r="AM8" s="182"/>
      <c r="AN8" s="182"/>
      <c r="AO8" s="145"/>
      <c r="AP8" s="97">
        <f ca="1">TblProd[[#This Row],[Platinum]]</f>
        <v>139860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45366.916666666657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1240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2.1999999999999997</v>
      </c>
      <c r="CH8" s="45">
        <f ca="1">MIN(ice_elem_cap,TblMili[[#This Row],[Raw (2)]]*ice_elem_bonus)</f>
        <v>0.1</v>
      </c>
      <c r="CI8" s="266">
        <f t="shared" si="0"/>
        <v>0.83333333333333337</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45366.958333333321</v>
      </c>
      <c r="AG9" s="182"/>
      <c r="AH9" s="182"/>
      <c r="AI9" s="182"/>
      <c r="AJ9" s="182"/>
      <c r="AK9" s="182"/>
      <c r="AL9" s="182"/>
      <c r="AM9" s="182"/>
      <c r="AN9" s="182"/>
      <c r="AO9" s="145"/>
      <c r="AP9" s="97">
        <f ca="1">TblProd[[#This Row],[Platinum]]</f>
        <v>145003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45366.958333333321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1240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2.1999999999999997</v>
      </c>
      <c r="CH9" s="45">
        <f ca="1">MIN(ice_elem_cap,TblMili[[#This Row],[Raw (2)]]*ice_elem_bonus)</f>
        <v>0.1</v>
      </c>
      <c r="CI9" s="266">
        <f t="shared" si="0"/>
        <v>0.83333333333333337</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45366.999999999985</v>
      </c>
      <c r="AG10" s="182"/>
      <c r="AH10" s="182"/>
      <c r="AI10" s="182"/>
      <c r="AJ10" s="182"/>
      <c r="AK10" s="182"/>
      <c r="AL10" s="182"/>
      <c r="AM10" s="182"/>
      <c r="AN10" s="182"/>
      <c r="AO10" s="145"/>
      <c r="AP10" s="97">
        <f ca="1">TblProd[[#This Row],[Platinum]]</f>
        <v>150222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45366.999999999985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1240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2.1999999999999997</v>
      </c>
      <c r="CH10" s="45">
        <f ca="1">MIN(ice_elem_cap,TblMili[[#This Row],[Raw (2)]]*ice_elem_bonus)</f>
        <v>0.1</v>
      </c>
      <c r="CI10" s="266">
        <f t="shared" si="0"/>
        <v>0.83333333333333337</v>
      </c>
      <c r="CJ10" s="266">
        <f ca="1">MIN(nox_nightshade_cap,TblConstr[[#This Row],[Homeland]]/TblConstr[[#This Row],[Land]]/nox_nightshade_swamp_bonus)</f>
        <v>4</v>
      </c>
      <c r="CK10" s="267" t="s">
        <v>331</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45367.04166666665</v>
      </c>
      <c r="AG11" s="182"/>
      <c r="AH11" s="182"/>
      <c r="AI11" s="182"/>
      <c r="AJ11" s="182"/>
      <c r="AK11" s="182"/>
      <c r="AL11" s="182"/>
      <c r="AM11" s="182"/>
      <c r="AN11" s="182"/>
      <c r="AO11" s="145"/>
      <c r="AP11" s="97">
        <f ca="1">TblProd[[#This Row],[Platinum]]</f>
        <v>155519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45367.04166666665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1240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2.1999999999999997</v>
      </c>
      <c r="CH11" s="45">
        <f ca="1">MIN(ice_elem_cap,TblMili[[#This Row],[Raw (2)]]*ice_elem_bonus)</f>
        <v>0.1</v>
      </c>
      <c r="CI11" s="266">
        <f t="shared" si="0"/>
        <v>0.83333333333333337</v>
      </c>
      <c r="CJ11" s="266">
        <f ca="1">MIN(nox_nightshade_cap,TblConstr[[#This Row],[Homeland]]/TblConstr[[#This Row],[Land]]/nox_nightshade_swamp_bonus)</f>
        <v>4</v>
      </c>
      <c r="CK11" s="267" t="s">
        <v>144</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45367.083333333314</v>
      </c>
      <c r="AG12" s="182"/>
      <c r="AH12" s="182"/>
      <c r="AI12" s="182"/>
      <c r="AJ12" s="182"/>
      <c r="AK12" s="182"/>
      <c r="AL12" s="182"/>
      <c r="AM12" s="182"/>
      <c r="AN12" s="182"/>
      <c r="AO12" s="145"/>
      <c r="AP12" s="97">
        <f ca="1">TblProd[[#This Row],[Platinum]]</f>
        <v>160892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45367.083333333314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1240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2.1999999999999997</v>
      </c>
      <c r="CH12" s="45">
        <f ca="1">MIN(ice_elem_cap,TblMili[[#This Row],[Raw (2)]]*ice_elem_bonus)</f>
        <v>0.1</v>
      </c>
      <c r="CI12" s="266">
        <f t="shared" si="0"/>
        <v>0.83333333333333337</v>
      </c>
      <c r="CJ12" s="266">
        <f ca="1">MIN(nox_nightshade_cap,TblConstr[[#This Row],[Homeland]]/TblConstr[[#This Row],[Land]]/nox_nightshade_swamp_bonus)</f>
        <v>4</v>
      </c>
      <c r="CK12" s="267" t="s">
        <v>501</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45367.124999999978</v>
      </c>
      <c r="AG13" s="182"/>
      <c r="AH13" s="182"/>
      <c r="AI13" s="182"/>
      <c r="AJ13" s="182"/>
      <c r="AK13" s="182"/>
      <c r="AL13" s="182"/>
      <c r="AM13" s="182"/>
      <c r="AN13" s="182"/>
      <c r="AO13" s="145"/>
      <c r="AP13" s="97">
        <f ca="1">TblProd[[#This Row],[Platinum]]</f>
        <v>166343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45367.124999999978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1240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2.1999999999999997</v>
      </c>
      <c r="CH13" s="45">
        <f ca="1">MIN(ice_elem_cap,TblMili[[#This Row],[Raw (2)]]*ice_elem_bonus)</f>
        <v>0.1</v>
      </c>
      <c r="CI13" s="266">
        <f t="shared" si="0"/>
        <v>0.83333333333333337</v>
      </c>
      <c r="CJ13" s="266">
        <f ca="1">MIN(nox_nightshade_cap,TblConstr[[#This Row],[Homeland]]/TblConstr[[#This Row],[Land]]/nox_nightshade_swamp_bonus)</f>
        <v>4</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45367.166666666642</v>
      </c>
      <c r="AG14" s="182"/>
      <c r="AH14" s="182"/>
      <c r="AI14" s="182"/>
      <c r="AJ14" s="182"/>
      <c r="AK14" s="182"/>
      <c r="AL14" s="182"/>
      <c r="AM14" s="182"/>
      <c r="AN14" s="182"/>
      <c r="AO14" s="145"/>
      <c r="AP14" s="97">
        <f ca="1">TblProd[[#This Row],[Platinum]]</f>
        <v>171875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45367.166666666642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1240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2.1999999999999997</v>
      </c>
      <c r="CH14" s="45">
        <f ca="1">MIN(ice_elem_cap,TblMili[[#This Row],[Raw (2)]]*ice_elem_bonus)</f>
        <v>0.1</v>
      </c>
      <c r="CI14" s="266">
        <f t="shared" si="0"/>
        <v>0.83333333333333337</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45367.208333333307</v>
      </c>
      <c r="AG15" s="182"/>
      <c r="AH15" s="182"/>
      <c r="AI15" s="182"/>
      <c r="AJ15" s="182"/>
      <c r="AK15" s="182"/>
      <c r="AL15" s="182"/>
      <c r="AM15" s="182"/>
      <c r="AN15" s="182"/>
      <c r="AO15" s="145"/>
      <c r="AP15" s="97">
        <f ca="1">TblProd[[#This Row],[Platinum]]</f>
        <v>177491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45367.208333333307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1240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2.1999999999999997</v>
      </c>
      <c r="CH15" s="45">
        <f ca="1">MIN(ice_elem_cap,TblMili[[#This Row],[Raw (2)]]*ice_elem_bonus)</f>
        <v>0.1</v>
      </c>
      <c r="CI15" s="266">
        <f t="shared" si="0"/>
        <v>0.83333333333333337</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45367.249999999971</v>
      </c>
      <c r="AG16" s="182"/>
      <c r="AH16" s="182"/>
      <c r="AI16" s="182"/>
      <c r="AJ16" s="182"/>
      <c r="AK16" s="182"/>
      <c r="AL16" s="182"/>
      <c r="AM16" s="182"/>
      <c r="AN16" s="182"/>
      <c r="AO16" s="145"/>
      <c r="AP16" s="97">
        <f ca="1">TblProd[[#This Row],[Platinum]]</f>
        <v>183161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45367.249999999971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1240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2.1999999999999997</v>
      </c>
      <c r="CH16" s="45">
        <f ca="1">MIN(ice_elem_cap,TblMili[[#This Row],[Raw (2)]]*ice_elem_bonus)</f>
        <v>0.1</v>
      </c>
      <c r="CI16" s="266">
        <f t="shared" si="0"/>
        <v>0.83333333333333337</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45367.291666666635</v>
      </c>
      <c r="AG17" s="182"/>
      <c r="AH17" s="182"/>
      <c r="AI17" s="182"/>
      <c r="AJ17" s="182"/>
      <c r="AK17" s="182"/>
      <c r="AL17" s="182"/>
      <c r="AM17" s="182"/>
      <c r="AN17" s="182"/>
      <c r="AO17" s="145"/>
      <c r="AP17" s="97">
        <f ca="1">TblProd[[#This Row],[Platinum]]</f>
        <v>188831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45367.291666666635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1240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2.1999999999999997</v>
      </c>
      <c r="CH17" s="45">
        <f ca="1">MIN(ice_elem_cap,TblMili[[#This Row],[Raw (2)]]*ice_elem_bonus)</f>
        <v>0.1</v>
      </c>
      <c r="CI17" s="266">
        <f t="shared" si="0"/>
        <v>0.83333333333333337</v>
      </c>
      <c r="CJ17" s="266">
        <f ca="1">MIN(nox_nightshade_cap,TblConstr[[#This Row],[Homeland]]/TblConstr[[#This Row],[Land]]/nox_nightshade_swamp_bonus)</f>
        <v>4</v>
      </c>
      <c r="CK17" s="267" t="s">
        <v>522</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45367.333333333299</v>
      </c>
      <c r="AG18" s="182"/>
      <c r="AH18" s="182"/>
      <c r="AI18" s="182"/>
      <c r="AJ18" s="182"/>
      <c r="AK18" s="182"/>
      <c r="AL18" s="182"/>
      <c r="AM18" s="182"/>
      <c r="AN18" s="182"/>
      <c r="AO18" s="145"/>
      <c r="AP18" s="97">
        <f ca="1">TblProd[[#This Row],[Platinum]]</f>
        <v>194501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45367.333333333299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1240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2.1999999999999997</v>
      </c>
      <c r="CH18" s="45">
        <f ca="1">MIN(ice_elem_cap,TblMili[[#This Row],[Raw (2)]]*ice_elem_bonus)</f>
        <v>0.1</v>
      </c>
      <c r="CI18" s="266">
        <f t="shared" si="0"/>
        <v>0.83333333333333337</v>
      </c>
      <c r="CJ18" s="266">
        <f ca="1">MIN(nox_nightshade_cap,TblConstr[[#This Row],[Homeland]]/TblConstr[[#This Row],[Land]]/nox_nightshade_swamp_bonus)</f>
        <v>4</v>
      </c>
      <c r="CK18" s="267" t="s">
        <v>523</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45367.374999999964</v>
      </c>
      <c r="AG19" s="182"/>
      <c r="AH19" s="182"/>
      <c r="AI19" s="182"/>
      <c r="AJ19" s="182"/>
      <c r="AK19" s="182"/>
      <c r="AL19" s="182"/>
      <c r="AM19" s="182"/>
      <c r="AN19" s="182"/>
      <c r="AO19" s="145"/>
      <c r="AP19" s="97">
        <f ca="1">TblProd[[#This Row],[Platinum]]</f>
        <v>200171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45367.374999999964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1240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2.1999999999999997</v>
      </c>
      <c r="CH19" s="45">
        <f ca="1">MIN(ice_elem_cap,TblMili[[#This Row],[Raw (2)]]*ice_elem_bonus)</f>
        <v>0.1</v>
      </c>
      <c r="CI19" s="266">
        <f t="shared" si="0"/>
        <v>0.83333333333333337</v>
      </c>
      <c r="CJ19" s="266">
        <f ca="1">MIN(nox_nightshade_cap,TblConstr[[#This Row],[Homeland]]/TblConstr[[#This Row],[Land]]/nox_nightshade_swamp_bonus)</f>
        <v>4</v>
      </c>
      <c r="CK19" s="267" t="s">
        <v>524</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45367.416666666628</v>
      </c>
      <c r="AG20" s="182"/>
      <c r="AH20" s="182"/>
      <c r="AI20" s="182"/>
      <c r="AJ20" s="182"/>
      <c r="AK20" s="182"/>
      <c r="AL20" s="182"/>
      <c r="AM20" s="182"/>
      <c r="AN20" s="182"/>
      <c r="AO20" s="145"/>
      <c r="AP20" s="97">
        <f ca="1">TblProd[[#This Row],[Platinum]]</f>
        <v>205841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45367.416666666628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1240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2.1999999999999997</v>
      </c>
      <c r="CH20" s="45">
        <f ca="1">MIN(ice_elem_cap,TblMili[[#This Row],[Raw (2)]]*ice_elem_bonus)</f>
        <v>0.1</v>
      </c>
      <c r="CI20" s="266">
        <f t="shared" si="0"/>
        <v>0.83333333333333337</v>
      </c>
      <c r="CJ20" s="266">
        <f ca="1">MIN(nox_nightshade_cap,TblConstr[[#This Row],[Homeland]]/TblConstr[[#This Row],[Land]]/nox_nightshade_swamp_bonus)</f>
        <v>4</v>
      </c>
      <c r="CK20" s="267" t="s">
        <v>526</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45367.458333333292</v>
      </c>
      <c r="AG21" s="182"/>
      <c r="AH21" s="182"/>
      <c r="AI21" s="182"/>
      <c r="AJ21" s="182"/>
      <c r="AK21" s="182"/>
      <c r="AL21" s="182"/>
      <c r="AM21" s="182"/>
      <c r="AN21" s="182"/>
      <c r="AO21" s="145"/>
      <c r="AP21" s="97">
        <f ca="1">TblProd[[#This Row],[Platinum]]</f>
        <v>211511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45367.458333333292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1240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2.1999999999999997</v>
      </c>
      <c r="CH21" s="45">
        <f ca="1">MIN(ice_elem_cap,TblMili[[#This Row],[Raw (2)]]*ice_elem_bonus)</f>
        <v>0.1</v>
      </c>
      <c r="CI21" s="266">
        <f t="shared" si="0"/>
        <v>0.83333333333333337</v>
      </c>
      <c r="CJ21" s="266">
        <f ca="1">MIN(nox_nightshade_cap,TblConstr[[#This Row],[Homeland]]/TblConstr[[#This Row],[Land]]/nox_nightshade_swamp_bonus)</f>
        <v>4</v>
      </c>
      <c r="CK21" s="267" t="s">
        <v>525</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45367.499999999956</v>
      </c>
      <c r="AG22" s="182"/>
      <c r="AH22" s="182"/>
      <c r="AI22" s="182"/>
      <c r="AJ22" s="182"/>
      <c r="AK22" s="182"/>
      <c r="AL22" s="182"/>
      <c r="AM22" s="182"/>
      <c r="AN22" s="182"/>
      <c r="AO22" s="145"/>
      <c r="AP22" s="97">
        <f ca="1">TblProd[[#This Row],[Platinum]]</f>
        <v>217181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45367.499999999956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1240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2.1999999999999997</v>
      </c>
      <c r="CH22" s="45">
        <f ca="1">MIN(ice_elem_cap,TblMili[[#This Row],[Raw (2)]]*ice_elem_bonus)</f>
        <v>0.1</v>
      </c>
      <c r="CI22" s="266">
        <f t="shared" si="0"/>
        <v>0.83333333333333337</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45367.541666666621</v>
      </c>
      <c r="AG23" s="182"/>
      <c r="AH23" s="182"/>
      <c r="AI23" s="182"/>
      <c r="AJ23" s="182"/>
      <c r="AK23" s="182"/>
      <c r="AL23" s="182"/>
      <c r="AM23" s="182"/>
      <c r="AN23" s="182"/>
      <c r="AO23" s="145"/>
      <c r="AP23" s="97">
        <f ca="1">TblProd[[#This Row],[Platinum]]</f>
        <v>222851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45367.541666666621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1240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2.1999999999999997</v>
      </c>
      <c r="CH23" s="45">
        <f ca="1">MIN(ice_elem_cap,TblMili[[#This Row],[Raw (2)]]*ice_elem_bonus)</f>
        <v>0.1</v>
      </c>
      <c r="CI23" s="266">
        <f t="shared" si="0"/>
        <v>0.83333333333333337</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45367.583333333285</v>
      </c>
      <c r="AG24" s="182"/>
      <c r="AH24" s="182"/>
      <c r="AI24" s="182"/>
      <c r="AJ24" s="182"/>
      <c r="AK24" s="182"/>
      <c r="AL24" s="182"/>
      <c r="AM24" s="182"/>
      <c r="AN24" s="182"/>
      <c r="AO24" s="145"/>
      <c r="AP24" s="97">
        <f ca="1">TblProd[[#This Row],[Platinum]]</f>
        <v>228521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45367.583333333285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1240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2.1999999999999997</v>
      </c>
      <c r="CH24" s="45">
        <f ca="1">MIN(ice_elem_cap,TblMili[[#This Row],[Raw (2)]]*ice_elem_bonus)</f>
        <v>0.1</v>
      </c>
      <c r="CI24" s="266">
        <f t="shared" si="0"/>
        <v>0.83333333333333337</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45367.624999999949</v>
      </c>
      <c r="AG25" s="182"/>
      <c r="AH25" s="182"/>
      <c r="AI25" s="182"/>
      <c r="AJ25" s="182"/>
      <c r="AK25" s="182"/>
      <c r="AL25" s="182"/>
      <c r="AM25" s="182"/>
      <c r="AN25" s="182"/>
      <c r="AO25" s="145"/>
      <c r="AP25" s="97">
        <f ca="1">TblProd[[#This Row],[Platinum]]</f>
        <v>234191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45367.624999999949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1240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2.1999999999999997</v>
      </c>
      <c r="CH25" s="45">
        <f ca="1">MIN(ice_elem_cap,TblMili[[#This Row],[Raw (2)]]*ice_elem_bonus)</f>
        <v>0.1</v>
      </c>
      <c r="CI25" s="266">
        <f t="shared" si="0"/>
        <v>0.83333333333333337</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45367.666666666613</v>
      </c>
      <c r="AG26" s="182"/>
      <c r="AH26" s="182"/>
      <c r="AI26" s="182"/>
      <c r="AJ26" s="182"/>
      <c r="AK26" s="182"/>
      <c r="AL26" s="182"/>
      <c r="AM26" s="182"/>
      <c r="AN26" s="182"/>
      <c r="AO26" s="145"/>
      <c r="AP26" s="97">
        <f ca="1">TblProd[[#This Row],[Platinum]]</f>
        <v>239861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45367.666666666613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1240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2.1999999999999997</v>
      </c>
      <c r="CH26" s="45">
        <f ca="1">MIN(ice_elem_cap,TblMili[[#This Row],[Raw (2)]]*ice_elem_bonus)</f>
        <v>0.1</v>
      </c>
      <c r="CI26" s="266">
        <f t="shared" si="0"/>
        <v>0.83333333333333337</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45367.708333333278</v>
      </c>
      <c r="AG27" s="182"/>
      <c r="AH27" s="182"/>
      <c r="AI27" s="182"/>
      <c r="AJ27" s="182"/>
      <c r="AK27" s="182"/>
      <c r="AL27" s="182"/>
      <c r="AM27" s="182"/>
      <c r="AN27" s="182"/>
      <c r="AO27" s="145"/>
      <c r="AP27" s="97">
        <f ca="1">TblProd[[#This Row],[Platinum]]</f>
        <v>245531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45367.708333333278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1240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2.1999999999999997</v>
      </c>
      <c r="CH27" s="45">
        <f ca="1">MIN(ice_elem_cap,TblMili[[#This Row],[Raw (2)]]*ice_elem_bonus)</f>
        <v>0.1</v>
      </c>
      <c r="CI27" s="266">
        <f t="shared" si="0"/>
        <v>0.83333333333333337</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45367.749999999942</v>
      </c>
      <c r="AG28" s="182"/>
      <c r="AH28" s="182"/>
      <c r="AI28" s="182"/>
      <c r="AJ28" s="182"/>
      <c r="AK28" s="182"/>
      <c r="AL28" s="182"/>
      <c r="AM28" s="182"/>
      <c r="AN28" s="182"/>
      <c r="AO28" s="145"/>
      <c r="AP28" s="97">
        <f ca="1">TblProd[[#This Row],[Platinum]]</f>
        <v>251201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45367.749999999942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1240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2.1999999999999997</v>
      </c>
      <c r="CH28" s="45">
        <f ca="1">MIN(ice_elem_cap,TblMili[[#This Row],[Raw (2)]]*ice_elem_bonus)</f>
        <v>0.1</v>
      </c>
      <c r="CI28" s="266">
        <f t="shared" si="0"/>
        <v>0.83333333333333337</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45367.791666666606</v>
      </c>
      <c r="AG29" s="182"/>
      <c r="AH29" s="182"/>
      <c r="AI29" s="182"/>
      <c r="AJ29" s="182"/>
      <c r="AK29" s="182"/>
      <c r="AL29" s="182"/>
      <c r="AM29" s="182"/>
      <c r="AN29" s="182"/>
      <c r="AO29" s="145"/>
      <c r="AP29" s="97">
        <f ca="1">TblProd[[#This Row],[Platinum]]</f>
        <v>256871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45367.791666666606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1240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2.1999999999999997</v>
      </c>
      <c r="CH29" s="45">
        <f ca="1">MIN(ice_elem_cap,TblMili[[#This Row],[Raw (2)]]*ice_elem_bonus)</f>
        <v>0.1</v>
      </c>
      <c r="CI29" s="266">
        <f t="shared" si="0"/>
        <v>0.83333333333333337</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45367.83333333327</v>
      </c>
      <c r="AG30" s="182"/>
      <c r="AH30" s="182"/>
      <c r="AI30" s="182"/>
      <c r="AJ30" s="182"/>
      <c r="AK30" s="182"/>
      <c r="AL30" s="182"/>
      <c r="AM30" s="182"/>
      <c r="AN30" s="182"/>
      <c r="AO30" s="145"/>
      <c r="AP30" s="97">
        <f ca="1">TblProd[[#This Row],[Platinum]]</f>
        <v>262541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45367.83333333327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1240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2.1999999999999997</v>
      </c>
      <c r="CH30" s="45">
        <f ca="1">MIN(ice_elem_cap,TblMili[[#This Row],[Raw (2)]]*ice_elem_bonus)</f>
        <v>0.1</v>
      </c>
      <c r="CI30" s="266">
        <f t="shared" si="0"/>
        <v>0.83333333333333337</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45367.874999999935</v>
      </c>
      <c r="AG31" s="182"/>
      <c r="AH31" s="182"/>
      <c r="AI31" s="182"/>
      <c r="AJ31" s="182"/>
      <c r="AK31" s="182"/>
      <c r="AL31" s="182"/>
      <c r="AM31" s="182"/>
      <c r="AN31" s="182"/>
      <c r="AO31" s="145"/>
      <c r="AP31" s="97">
        <f ca="1">TblProd[[#This Row],[Platinum]]</f>
        <v>268211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45367.874999999935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1240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2.1999999999999997</v>
      </c>
      <c r="CH31" s="45">
        <f ca="1">MIN(ice_elem_cap,TblMili[[#This Row],[Raw (2)]]*ice_elem_bonus)</f>
        <v>0.1</v>
      </c>
      <c r="CI31" s="266">
        <f t="shared" si="0"/>
        <v>0.83333333333333337</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45367.916666666599</v>
      </c>
      <c r="AG32" s="182"/>
      <c r="AH32" s="182"/>
      <c r="AI32" s="182"/>
      <c r="AJ32" s="182"/>
      <c r="AK32" s="182"/>
      <c r="AL32" s="182"/>
      <c r="AM32" s="182"/>
      <c r="AN32" s="182"/>
      <c r="AO32" s="145"/>
      <c r="AP32" s="97">
        <f ca="1">TblProd[[#This Row],[Platinum]]</f>
        <v>273881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45367.916666666599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1240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2.1999999999999997</v>
      </c>
      <c r="CH32" s="45">
        <f ca="1">MIN(ice_elem_cap,TblMili[[#This Row],[Raw (2)]]*ice_elem_bonus)</f>
        <v>0.1</v>
      </c>
      <c r="CI32" s="266">
        <f t="shared" si="0"/>
        <v>0.83333333333333337</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45367.958333333263</v>
      </c>
      <c r="AG33" s="182"/>
      <c r="AH33" s="182"/>
      <c r="AI33" s="182"/>
      <c r="AJ33" s="182"/>
      <c r="AK33" s="182"/>
      <c r="AL33" s="182"/>
      <c r="AM33" s="182"/>
      <c r="AN33" s="182"/>
      <c r="AO33" s="145"/>
      <c r="AP33" s="97">
        <f ca="1">TblProd[[#This Row],[Platinum]]</f>
        <v>279551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45367.958333333263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1240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2.1999999999999997</v>
      </c>
      <c r="CH33" s="45">
        <f ca="1">MIN(ice_elem_cap,TblMili[[#This Row],[Raw (2)]]*ice_elem_bonus)</f>
        <v>0.1</v>
      </c>
      <c r="CI33" s="266">
        <f t="shared" si="0"/>
        <v>0.83333333333333337</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45367.999999999927</v>
      </c>
      <c r="AG34" s="182"/>
      <c r="AH34" s="182"/>
      <c r="AI34" s="182"/>
      <c r="AJ34" s="182"/>
      <c r="AK34" s="182"/>
      <c r="AL34" s="182"/>
      <c r="AM34" s="182"/>
      <c r="AN34" s="182"/>
      <c r="AO34" s="145"/>
      <c r="AP34" s="97">
        <f ca="1">TblProd[[#This Row],[Platinum]]</f>
        <v>285207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45367.999999999927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1240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2.1999999999999997</v>
      </c>
      <c r="CH34" s="45">
        <f ca="1">MIN(ice_elem_cap,TblMili[[#This Row],[Raw (2)]]*ice_elem_bonus)</f>
        <v>0.1</v>
      </c>
      <c r="CI34" s="266">
        <f t="shared" si="0"/>
        <v>0.83333333333333337</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45368.041666666591</v>
      </c>
      <c r="AG35" s="182"/>
      <c r="AH35" s="182"/>
      <c r="AI35" s="182"/>
      <c r="AJ35" s="182"/>
      <c r="AK35" s="182"/>
      <c r="AL35" s="182"/>
      <c r="AM35" s="182"/>
      <c r="AN35" s="182"/>
      <c r="AO35" s="145"/>
      <c r="AP35" s="97">
        <f ca="1">TblProd[[#This Row],[Platinum]]</f>
        <v>290820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45368.041666666591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1240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2.1999999999999997</v>
      </c>
      <c r="CH35" s="45">
        <f ca="1">MIN(ice_elem_cap,TblMili[[#This Row],[Raw (2)]]*ice_elem_bonus)</f>
        <v>0.1</v>
      </c>
      <c r="CI35" s="266">
        <f t="shared" si="0"/>
        <v>0.83333333333333337</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45368.083333333256</v>
      </c>
      <c r="AG36" s="182"/>
      <c r="AH36" s="182"/>
      <c r="AI36" s="182"/>
      <c r="AJ36" s="182"/>
      <c r="AK36" s="182"/>
      <c r="AL36" s="182"/>
      <c r="AM36" s="182"/>
      <c r="AN36" s="182"/>
      <c r="AO36" s="145"/>
      <c r="AP36" s="97">
        <f ca="1">TblProd[[#This Row],[Platinum]]</f>
        <v>296390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45368.083333333256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1240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0.83333333333333337</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45368.12499999992</v>
      </c>
      <c r="AG37" s="182"/>
      <c r="AH37" s="182"/>
      <c r="AI37" s="182"/>
      <c r="AJ37" s="182"/>
      <c r="AK37" s="182"/>
      <c r="AL37" s="182"/>
      <c r="AM37" s="182"/>
      <c r="AN37" s="182"/>
      <c r="AO37" s="145"/>
      <c r="AP37" s="97">
        <f ca="1">TblProd[[#This Row],[Platinum]]</f>
        <v>301916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45368.12499999992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1240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2.1999999999999997</v>
      </c>
      <c r="CH37" s="45">
        <f ca="1">MIN(ice_elem_cap,TblMili[[#This Row],[Raw (2)]]*ice_elem_bonus)</f>
        <v>0.1</v>
      </c>
      <c r="CI37" s="266">
        <f t="shared" si="2"/>
        <v>0.83333333333333337</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45368.166666666584</v>
      </c>
      <c r="AG38" s="182"/>
      <c r="AH38" s="182"/>
      <c r="AI38" s="182"/>
      <c r="AJ38" s="182"/>
      <c r="AK38" s="182"/>
      <c r="AL38" s="182"/>
      <c r="AM38" s="182"/>
      <c r="AN38" s="182"/>
      <c r="AO38" s="145"/>
      <c r="AP38" s="97">
        <f ca="1">TblProd[[#This Row],[Platinum]]</f>
        <v>307402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45368.166666666584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1240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2.1999999999999997</v>
      </c>
      <c r="CH38" s="45">
        <f ca="1">MIN(ice_elem_cap,TblMili[[#This Row],[Raw (2)]]*ice_elem_bonus)</f>
        <v>0.1</v>
      </c>
      <c r="CI38" s="266">
        <f t="shared" si="2"/>
        <v>0.83333333333333337</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45368.208333333248</v>
      </c>
      <c r="AG39" s="182"/>
      <c r="AH39" s="182"/>
      <c r="AI39" s="182"/>
      <c r="AJ39" s="182"/>
      <c r="AK39" s="182"/>
      <c r="AL39" s="182"/>
      <c r="AM39" s="182"/>
      <c r="AN39" s="182"/>
      <c r="AO39" s="145"/>
      <c r="AP39" s="97">
        <f ca="1">TblProd[[#This Row],[Platinum]]</f>
        <v>312888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45368.208333333248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1240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2.1999999999999997</v>
      </c>
      <c r="CH39" s="45">
        <f ca="1">MIN(ice_elem_cap,TblMili[[#This Row],[Raw (2)]]*ice_elem_bonus)</f>
        <v>0.1</v>
      </c>
      <c r="CI39" s="266">
        <f t="shared" si="2"/>
        <v>0.83333333333333337</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45368.249999999913</v>
      </c>
      <c r="AG40" s="182"/>
      <c r="AH40" s="182"/>
      <c r="AI40" s="182"/>
      <c r="AJ40" s="182"/>
      <c r="AK40" s="182"/>
      <c r="AL40" s="182"/>
      <c r="AM40" s="182"/>
      <c r="AN40" s="182"/>
      <c r="AO40" s="145"/>
      <c r="AP40" s="97">
        <f ca="1">TblProd[[#This Row],[Platinum]]</f>
        <v>318374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45368.249999999913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1240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2.1999999999999997</v>
      </c>
      <c r="CH40" s="45">
        <f ca="1">MIN(ice_elem_cap,TblMili[[#This Row],[Raw (2)]]*ice_elem_bonus)</f>
        <v>0.1</v>
      </c>
      <c r="CI40" s="266">
        <f t="shared" si="2"/>
        <v>0.83333333333333337</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45368.291666666577</v>
      </c>
      <c r="AG41" s="182"/>
      <c r="AH41" s="182"/>
      <c r="AI41" s="182"/>
      <c r="AJ41" s="182"/>
      <c r="AK41" s="182"/>
      <c r="AL41" s="182"/>
      <c r="AM41" s="182"/>
      <c r="AN41" s="182"/>
      <c r="AO41" s="145"/>
      <c r="AP41" s="97">
        <f ca="1">TblProd[[#This Row],[Platinum]]</f>
        <v>323860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45368.291666666577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1240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2.1999999999999997</v>
      </c>
      <c r="CH41" s="45">
        <f ca="1">MIN(ice_elem_cap,TblMili[[#This Row],[Raw (2)]]*ice_elem_bonus)</f>
        <v>0.1</v>
      </c>
      <c r="CI41" s="266">
        <f t="shared" si="2"/>
        <v>0.83333333333333337</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45368.333333333241</v>
      </c>
      <c r="AG42" s="182"/>
      <c r="AH42" s="182"/>
      <c r="AI42" s="182"/>
      <c r="AJ42" s="182"/>
      <c r="AK42" s="182"/>
      <c r="AL42" s="182"/>
      <c r="AM42" s="182"/>
      <c r="AN42" s="182"/>
      <c r="AO42" s="145"/>
      <c r="AP42" s="97">
        <f ca="1">TblProd[[#This Row],[Platinum]]</f>
        <v>329346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45368.333333333241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1240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2.1999999999999997</v>
      </c>
      <c r="CH42" s="45">
        <f ca="1">MIN(ice_elem_cap,TblMili[[#This Row],[Raw (2)]]*ice_elem_bonus)</f>
        <v>0.1</v>
      </c>
      <c r="CI42" s="266">
        <f t="shared" si="2"/>
        <v>0.83333333333333337</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45368.374999999905</v>
      </c>
      <c r="AG43" s="182"/>
      <c r="AH43" s="182"/>
      <c r="AI43" s="182"/>
      <c r="AJ43" s="182"/>
      <c r="AK43" s="182"/>
      <c r="AL43" s="182"/>
      <c r="AM43" s="182"/>
      <c r="AN43" s="182"/>
      <c r="AO43" s="145"/>
      <c r="AP43" s="97">
        <f ca="1">TblProd[[#This Row],[Platinum]]</f>
        <v>334832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45368.374999999905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1240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2.1999999999999997</v>
      </c>
      <c r="CH43" s="45">
        <f ca="1">MIN(ice_elem_cap,TblMili[[#This Row],[Raw (2)]]*ice_elem_bonus)</f>
        <v>0.1</v>
      </c>
      <c r="CI43" s="266">
        <f t="shared" si="2"/>
        <v>0.83333333333333337</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45368.41666666657</v>
      </c>
      <c r="AG44" s="182"/>
      <c r="AH44" s="182"/>
      <c r="AI44" s="182"/>
      <c r="AJ44" s="182"/>
      <c r="AK44" s="182"/>
      <c r="AL44" s="182"/>
      <c r="AM44" s="182"/>
      <c r="AN44" s="182"/>
      <c r="AO44" s="145"/>
      <c r="AP44" s="97">
        <f ca="1">TblProd[[#This Row],[Platinum]]</f>
        <v>340318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45368.41666666657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1240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2.1999999999999997</v>
      </c>
      <c r="CH44" s="45">
        <f ca="1">MIN(ice_elem_cap,TblMili[[#This Row],[Raw (2)]]*ice_elem_bonus)</f>
        <v>0.1</v>
      </c>
      <c r="CI44" s="266">
        <f t="shared" si="2"/>
        <v>0.83333333333333337</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45368.458333333234</v>
      </c>
      <c r="AG45" s="182"/>
      <c r="AH45" s="182"/>
      <c r="AI45" s="182"/>
      <c r="AJ45" s="182"/>
      <c r="AK45" s="182"/>
      <c r="AL45" s="182"/>
      <c r="AM45" s="182"/>
      <c r="AN45" s="182"/>
      <c r="AO45" s="145"/>
      <c r="AP45" s="97">
        <f ca="1">TblProd[[#This Row],[Platinum]]</f>
        <v>345804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45368.458333333234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1240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2.1999999999999997</v>
      </c>
      <c r="CH45" s="45">
        <f ca="1">MIN(ice_elem_cap,TblMili[[#This Row],[Raw (2)]]*ice_elem_bonus)</f>
        <v>0.1</v>
      </c>
      <c r="CI45" s="266">
        <f t="shared" si="2"/>
        <v>0.83333333333333337</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45368.499999999898</v>
      </c>
      <c r="AG46" s="182"/>
      <c r="AH46" s="182"/>
      <c r="AI46" s="182"/>
      <c r="AJ46" s="182"/>
      <c r="AK46" s="182"/>
      <c r="AL46" s="182"/>
      <c r="AM46" s="182"/>
      <c r="AN46" s="182"/>
      <c r="AO46" s="145"/>
      <c r="AP46" s="97">
        <f ca="1">TblProd[[#This Row],[Platinum]]</f>
        <v>351290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45368.499999999898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1240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2.1999999999999997</v>
      </c>
      <c r="CH46" s="45">
        <f ca="1">MIN(ice_elem_cap,TblMili[[#This Row],[Raw (2)]]*ice_elem_bonus)</f>
        <v>0.1</v>
      </c>
      <c r="CI46" s="266">
        <f t="shared" si="2"/>
        <v>0.83333333333333337</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45368.541666666562</v>
      </c>
      <c r="AG47" s="182"/>
      <c r="AH47" s="182"/>
      <c r="AI47" s="182"/>
      <c r="AJ47" s="182"/>
      <c r="AK47" s="182"/>
      <c r="AL47" s="182"/>
      <c r="AM47" s="182"/>
      <c r="AN47" s="182"/>
      <c r="AO47" s="145"/>
      <c r="AP47" s="97">
        <f ca="1">TblProd[[#This Row],[Platinum]]</f>
        <v>356776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45368.541666666562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1240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2.1999999999999997</v>
      </c>
      <c r="CH47" s="45">
        <f ca="1">MIN(ice_elem_cap,TblMili[[#This Row],[Raw (2)]]*ice_elem_bonus)</f>
        <v>0.1</v>
      </c>
      <c r="CI47" s="266">
        <f t="shared" si="2"/>
        <v>0.83333333333333337</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45368.583333333227</v>
      </c>
      <c r="AG48" s="182"/>
      <c r="AH48" s="182"/>
      <c r="AI48" s="182"/>
      <c r="AJ48" s="182"/>
      <c r="AK48" s="182"/>
      <c r="AL48" s="182"/>
      <c r="AM48" s="182"/>
      <c r="AN48" s="182"/>
      <c r="AO48" s="145"/>
      <c r="AP48" s="97">
        <f ca="1">TblProd[[#This Row],[Platinum]]</f>
        <v>362262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45368.583333333227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1240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2.1999999999999997</v>
      </c>
      <c r="CH48" s="45">
        <f ca="1">MIN(ice_elem_cap,TblMili[[#This Row],[Raw (2)]]*ice_elem_bonus)</f>
        <v>0.1</v>
      </c>
      <c r="CI48" s="266">
        <f t="shared" si="2"/>
        <v>0.83333333333333337</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45368.624999999891</v>
      </c>
      <c r="AG49" s="182"/>
      <c r="AH49" s="182"/>
      <c r="AI49" s="182"/>
      <c r="AJ49" s="182"/>
      <c r="AK49" s="182"/>
      <c r="AL49" s="182"/>
      <c r="AM49" s="182"/>
      <c r="AN49" s="182"/>
      <c r="AO49" s="145"/>
      <c r="AP49" s="97">
        <f ca="1">TblProd[[#This Row],[Platinum]]</f>
        <v>367748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45368.624999999891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1240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2.1999999999999997</v>
      </c>
      <c r="CH49" s="45">
        <f ca="1">MIN(ice_elem_cap,TblMili[[#This Row],[Raw (2)]]*ice_elem_bonus)</f>
        <v>0.1</v>
      </c>
      <c r="CI49" s="266">
        <f t="shared" si="2"/>
        <v>0.83333333333333337</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45368.666666666555</v>
      </c>
      <c r="AG50" s="182"/>
      <c r="AH50" s="182"/>
      <c r="AI50" s="182"/>
      <c r="AJ50" s="182"/>
      <c r="AK50" s="182"/>
      <c r="AL50" s="182"/>
      <c r="AM50" s="182"/>
      <c r="AN50" s="182"/>
      <c r="AO50" s="145"/>
      <c r="AP50" s="97">
        <f ca="1">TblProd[[#This Row],[Platinum]]</f>
        <v>373234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45368.666666666555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1240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2.1999999999999997</v>
      </c>
      <c r="CH50" s="45">
        <f ca="1">MIN(ice_elem_cap,TblMili[[#This Row],[Raw (2)]]*ice_elem_bonus)</f>
        <v>0.1</v>
      </c>
      <c r="CI50" s="266">
        <f t="shared" si="2"/>
        <v>0.83333333333333337</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45368.708333333219</v>
      </c>
      <c r="AG51" s="182"/>
      <c r="AH51" s="182"/>
      <c r="AI51" s="182"/>
      <c r="AJ51" s="182"/>
      <c r="AK51" s="182"/>
      <c r="AL51" s="182"/>
      <c r="AM51" s="182"/>
      <c r="AN51" s="182"/>
      <c r="AO51" s="145"/>
      <c r="AP51" s="97">
        <f ca="1">TblProd[[#This Row],[Platinum]]</f>
        <v>378720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45368.708333333219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1240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2.1999999999999997</v>
      </c>
      <c r="CH51" s="45">
        <f ca="1">MIN(ice_elem_cap,TblMili[[#This Row],[Raw (2)]]*ice_elem_bonus)</f>
        <v>0.1</v>
      </c>
      <c r="CI51" s="266">
        <f t="shared" si="2"/>
        <v>0.83333333333333337</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45368.749999999884</v>
      </c>
      <c r="AG52" s="182"/>
      <c r="AH52" s="182"/>
      <c r="AI52" s="182"/>
      <c r="AJ52" s="182"/>
      <c r="AK52" s="182"/>
      <c r="AL52" s="182"/>
      <c r="AM52" s="182"/>
      <c r="AN52" s="182"/>
      <c r="AO52" s="145"/>
      <c r="AP52" s="97">
        <f ca="1">TblProd[[#This Row],[Platinum]]</f>
        <v>384206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45368.749999999884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1240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2.1999999999999997</v>
      </c>
      <c r="CH52" s="45">
        <f ca="1">MIN(ice_elem_cap,TblMili[[#This Row],[Raw (2)]]*ice_elem_bonus)</f>
        <v>0.1</v>
      </c>
      <c r="CI52" s="266">
        <f t="shared" si="2"/>
        <v>0.83333333333333337</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45368.791666666548</v>
      </c>
      <c r="AG53" s="161"/>
      <c r="AH53" s="182"/>
      <c r="AI53" s="161"/>
      <c r="AJ53" s="182"/>
      <c r="AK53" s="182"/>
      <c r="AL53" s="182"/>
      <c r="AM53" s="182"/>
      <c r="AN53" s="182"/>
      <c r="AO53" s="145"/>
      <c r="AP53" s="97">
        <f ca="1">TblProd[[#This Row],[Platinum]]</f>
        <v>389692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45368.791666666548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1240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2.1999999999999997</v>
      </c>
      <c r="CH53" s="45">
        <f ca="1">MIN(ice_elem_cap,TblMili[[#This Row],[Raw (2)]]*ice_elem_bonus)</f>
        <v>0.1</v>
      </c>
      <c r="CI53" s="266">
        <f t="shared" si="2"/>
        <v>0.83333333333333337</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45368.833333333212</v>
      </c>
      <c r="AG54" s="182"/>
      <c r="AH54" s="182"/>
      <c r="AI54" s="182"/>
      <c r="AJ54" s="182"/>
      <c r="AK54" s="182"/>
      <c r="AL54" s="182"/>
      <c r="AM54" s="182"/>
      <c r="AN54" s="182"/>
      <c r="AO54" s="145"/>
      <c r="AP54" s="97">
        <f ca="1">TblProd[[#This Row],[Platinum]]</f>
        <v>395178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45368.833333333212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1240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2.1999999999999997</v>
      </c>
      <c r="CH54" s="45">
        <f ca="1">MIN(ice_elem_cap,TblMili[[#This Row],[Raw (2)]]*ice_elem_bonus)</f>
        <v>0.1</v>
      </c>
      <c r="CI54" s="266">
        <f t="shared" si="2"/>
        <v>0.83333333333333337</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45368.874999999876</v>
      </c>
      <c r="AG55" s="182"/>
      <c r="AH55" s="182"/>
      <c r="AI55" s="182"/>
      <c r="AJ55" s="182"/>
      <c r="AK55" s="182"/>
      <c r="AL55" s="182"/>
      <c r="AM55" s="182"/>
      <c r="AN55" s="182"/>
      <c r="AO55" s="145"/>
      <c r="AP55" s="97">
        <f ca="1">TblProd[[#This Row],[Platinum]]</f>
        <v>400664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45368.874999999876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1240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2.1999999999999997</v>
      </c>
      <c r="CH55" s="45">
        <f ca="1">MIN(ice_elem_cap,TblMili[[#This Row],[Raw (2)]]*ice_elem_bonus)</f>
        <v>0.1</v>
      </c>
      <c r="CI55" s="266">
        <f t="shared" si="2"/>
        <v>0.83333333333333337</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45368.916666666541</v>
      </c>
      <c r="AG56" s="182"/>
      <c r="AH56" s="182"/>
      <c r="AI56" s="182"/>
      <c r="AJ56" s="182"/>
      <c r="AK56" s="182"/>
      <c r="AL56" s="182"/>
      <c r="AM56" s="182"/>
      <c r="AN56" s="182"/>
      <c r="AO56" s="145"/>
      <c r="AP56" s="97">
        <f ca="1">TblProd[[#This Row],[Platinum]]</f>
        <v>406150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45368.916666666541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1240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2.1999999999999997</v>
      </c>
      <c r="CH56" s="45">
        <f ca="1">MIN(ice_elem_cap,TblMili[[#This Row],[Raw (2)]]*ice_elem_bonus)</f>
        <v>0.1</v>
      </c>
      <c r="CI56" s="266">
        <f t="shared" si="2"/>
        <v>0.83333333333333337</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45368.958333333205</v>
      </c>
      <c r="AG57" s="182"/>
      <c r="AH57" s="182"/>
      <c r="AI57" s="182"/>
      <c r="AJ57" s="182"/>
      <c r="AK57" s="182"/>
      <c r="AL57" s="182"/>
      <c r="AM57" s="182"/>
      <c r="AN57" s="182"/>
      <c r="AO57" s="145"/>
      <c r="AP57" s="97">
        <f ca="1">TblProd[[#This Row],[Platinum]]</f>
        <v>411636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45368.958333333205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1240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2.1999999999999997</v>
      </c>
      <c r="CH57" s="45">
        <f ca="1">MIN(ice_elem_cap,TblMili[[#This Row],[Raw (2)]]*ice_elem_bonus)</f>
        <v>0.1</v>
      </c>
      <c r="CI57" s="266">
        <f t="shared" si="2"/>
        <v>0.83333333333333337</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45368.999999999869</v>
      </c>
      <c r="AG58" s="182"/>
      <c r="AH58" s="182"/>
      <c r="AI58" s="182"/>
      <c r="AJ58" s="182"/>
      <c r="AK58" s="182"/>
      <c r="AL58" s="182"/>
      <c r="AM58" s="182"/>
      <c r="AN58" s="182"/>
      <c r="AO58" s="145"/>
      <c r="AP58" s="97">
        <f ca="1">TblProd[[#This Row],[Platinum]]</f>
        <v>417122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45368.999999999869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1240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2.1999999999999997</v>
      </c>
      <c r="CH58" s="45">
        <f ca="1">MIN(ice_elem_cap,TblMili[[#This Row],[Raw (2)]]*ice_elem_bonus)</f>
        <v>0.1</v>
      </c>
      <c r="CI58" s="266">
        <f t="shared" si="2"/>
        <v>0.83333333333333337</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45369.041666666533</v>
      </c>
      <c r="AG59" s="182"/>
      <c r="AH59" s="182"/>
      <c r="AI59" s="182"/>
      <c r="AJ59" s="182"/>
      <c r="AK59" s="182"/>
      <c r="AL59" s="182"/>
      <c r="AM59" s="182"/>
      <c r="AN59" s="182"/>
      <c r="AO59" s="145"/>
      <c r="AP59" s="97">
        <f ca="1">TblProd[[#This Row],[Platinum]]</f>
        <v>422608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45369.041666666533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1240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2.1999999999999997</v>
      </c>
      <c r="CH59" s="45">
        <f ca="1">MIN(ice_elem_cap,TblMili[[#This Row],[Raw (2)]]*ice_elem_bonus)</f>
        <v>0.1</v>
      </c>
      <c r="CI59" s="266">
        <f t="shared" si="2"/>
        <v>0.83333333333333337</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45369.083333333198</v>
      </c>
      <c r="AG60" s="182"/>
      <c r="AH60" s="182"/>
      <c r="AI60" s="182"/>
      <c r="AJ60" s="182"/>
      <c r="AK60" s="182"/>
      <c r="AL60" s="182"/>
      <c r="AM60" s="182"/>
      <c r="AN60" s="182"/>
      <c r="AO60" s="145"/>
      <c r="AP60" s="97">
        <f ca="1">TblProd[[#This Row],[Platinum]]</f>
        <v>428094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45369.083333333198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1240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2.1999999999999997</v>
      </c>
      <c r="CH60" s="45">
        <f ca="1">MIN(ice_elem_cap,TblMili[[#This Row],[Raw (2)]]*ice_elem_bonus)</f>
        <v>0.1</v>
      </c>
      <c r="CI60" s="266">
        <f t="shared" si="2"/>
        <v>0.83333333333333337</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45369.124999999862</v>
      </c>
      <c r="AG61" s="182"/>
      <c r="AH61" s="182"/>
      <c r="AI61" s="182"/>
      <c r="AJ61" s="182"/>
      <c r="AK61" s="182"/>
      <c r="AL61" s="182"/>
      <c r="AM61" s="182"/>
      <c r="AN61" s="182"/>
      <c r="AO61" s="145"/>
      <c r="AP61" s="97">
        <f ca="1">TblProd[[#This Row],[Platinum]]</f>
        <v>433580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45369.124999999862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1240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2.1999999999999997</v>
      </c>
      <c r="CH61" s="45">
        <f ca="1">MIN(ice_elem_cap,TblMili[[#This Row],[Raw (2)]]*ice_elem_bonus)</f>
        <v>0.1</v>
      </c>
      <c r="CI61" s="266">
        <f t="shared" si="2"/>
        <v>0.83333333333333337</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45369.166666666526</v>
      </c>
      <c r="AG62" s="182"/>
      <c r="AH62" s="182"/>
      <c r="AI62" s="182"/>
      <c r="AJ62" s="182"/>
      <c r="AK62" s="182"/>
      <c r="AL62" s="182"/>
      <c r="AM62" s="182"/>
      <c r="AN62" s="182"/>
      <c r="AO62" s="145"/>
      <c r="AP62" s="97">
        <f ca="1">TblProd[[#This Row],[Platinum]]</f>
        <v>439066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45369.166666666526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1240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2.1999999999999997</v>
      </c>
      <c r="CH62" s="45">
        <f ca="1">MIN(ice_elem_cap,TblMili[[#This Row],[Raw (2)]]*ice_elem_bonus)</f>
        <v>0.1</v>
      </c>
      <c r="CI62" s="266">
        <f t="shared" si="2"/>
        <v>0.83333333333333337</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45369.20833333319</v>
      </c>
      <c r="AG63" s="182"/>
      <c r="AH63" s="182"/>
      <c r="AI63" s="182"/>
      <c r="AJ63" s="182"/>
      <c r="AK63" s="182"/>
      <c r="AL63" s="182"/>
      <c r="AM63" s="182"/>
      <c r="AN63" s="182"/>
      <c r="AO63" s="145"/>
      <c r="AP63" s="97">
        <f ca="1">TblProd[[#This Row],[Platinum]]</f>
        <v>444552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45369.20833333319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1240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2.1999999999999997</v>
      </c>
      <c r="CH63" s="45">
        <f ca="1">MIN(ice_elem_cap,TblMili[[#This Row],[Raw (2)]]*ice_elem_bonus)</f>
        <v>0.1</v>
      </c>
      <c r="CI63" s="266">
        <f t="shared" si="2"/>
        <v>0.83333333333333337</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45369.249999999854</v>
      </c>
      <c r="AG64" s="182"/>
      <c r="AH64" s="161"/>
      <c r="AI64" s="182"/>
      <c r="AJ64" s="161"/>
      <c r="AK64" s="161"/>
      <c r="AL64" s="161"/>
      <c r="AM64" s="161"/>
      <c r="AN64" s="182"/>
      <c r="AO64" s="145"/>
      <c r="AP64" s="97">
        <f ca="1">TblProd[[#This Row],[Platinum]]</f>
        <v>450038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45369.249999999854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1240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2.1999999999999997</v>
      </c>
      <c r="CH64" s="45">
        <f ca="1">MIN(ice_elem_cap,TblMili[[#This Row],[Raw (2)]]*ice_elem_bonus)</f>
        <v>0.1</v>
      </c>
      <c r="CI64" s="266">
        <f t="shared" si="2"/>
        <v>0.83333333333333337</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45369.291666666519</v>
      </c>
      <c r="AG65" s="161"/>
      <c r="AH65" s="182"/>
      <c r="AI65" s="182"/>
      <c r="AJ65" s="182"/>
      <c r="AK65" s="182"/>
      <c r="AL65" s="182"/>
      <c r="AM65" s="182"/>
      <c r="AN65" s="182"/>
      <c r="AO65" s="145"/>
      <c r="AP65" s="97">
        <f ca="1">TblProd[[#This Row],[Platinum]]</f>
        <v>455524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45369.291666666519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1240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2.1999999999999997</v>
      </c>
      <c r="CH65" s="45">
        <f ca="1">MIN(ice_elem_cap,TblMili[[#This Row],[Raw (2)]]*ice_elem_bonus)</f>
        <v>0.1</v>
      </c>
      <c r="CI65" s="266">
        <f t="shared" si="2"/>
        <v>0.83333333333333337</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45369.333333333183</v>
      </c>
      <c r="AG66" s="182"/>
      <c r="AH66" s="182"/>
      <c r="AI66" s="182"/>
      <c r="AJ66" s="182"/>
      <c r="AK66" s="182"/>
      <c r="AL66" s="182"/>
      <c r="AM66" s="182"/>
      <c r="AN66" s="182"/>
      <c r="AO66" s="145"/>
      <c r="AP66" s="97">
        <f ca="1">TblProd[[#This Row],[Platinum]]</f>
        <v>461010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45369.333333333183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1240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2.1999999999999997</v>
      </c>
      <c r="CH66" s="45">
        <f ca="1">MIN(ice_elem_cap,TblMili[[#This Row],[Raw (2)]]*ice_elem_bonus)</f>
        <v>0.1</v>
      </c>
      <c r="CI66" s="266">
        <f t="shared" si="2"/>
        <v>0.83333333333333337</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45369.374999999847</v>
      </c>
      <c r="AG67" s="161"/>
      <c r="AH67" s="161"/>
      <c r="AI67" s="182"/>
      <c r="AJ67" s="182"/>
      <c r="AK67" s="182"/>
      <c r="AL67" s="182"/>
      <c r="AM67" s="182"/>
      <c r="AN67" s="182"/>
      <c r="AO67" s="145"/>
      <c r="AP67" s="97">
        <f ca="1">TblProd[[#This Row],[Platinum]]</f>
        <v>466496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45369.374999999847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1240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2.1999999999999997</v>
      </c>
      <c r="CH67" s="45">
        <f ca="1">MIN(ice_elem_cap,TblMili[[#This Row],[Raw (2)]]*ice_elem_bonus)</f>
        <v>0.1</v>
      </c>
      <c r="CI67" s="266">
        <f t="shared" si="2"/>
        <v>0.83333333333333337</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45369.416666666511</v>
      </c>
      <c r="AG68" s="161"/>
      <c r="AH68" s="161"/>
      <c r="AI68" s="182"/>
      <c r="AJ68" s="182"/>
      <c r="AK68" s="182"/>
      <c r="AL68" s="182"/>
      <c r="AM68" s="182"/>
      <c r="AN68" s="182"/>
      <c r="AO68" s="145"/>
      <c r="AP68" s="97">
        <f ca="1">TblProd[[#This Row],[Platinum]]</f>
        <v>471982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45369.416666666511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1240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0.83333333333333337</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45369.458333333176</v>
      </c>
      <c r="AG69" s="182"/>
      <c r="AH69" s="161"/>
      <c r="AI69" s="182"/>
      <c r="AJ69" s="182"/>
      <c r="AK69" s="182"/>
      <c r="AL69" s="182"/>
      <c r="AM69" s="182"/>
      <c r="AN69" s="182"/>
      <c r="AO69" s="145"/>
      <c r="AP69" s="97">
        <f ca="1">TblProd[[#This Row],[Platinum]]</f>
        <v>477468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45369.458333333176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1240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2.1999999999999997</v>
      </c>
      <c r="CH69" s="45">
        <f ca="1">MIN(ice_elem_cap,TblMili[[#This Row],[Raw (2)]]*ice_elem_bonus)</f>
        <v>0.1</v>
      </c>
      <c r="CI69" s="266">
        <f t="shared" si="3"/>
        <v>0.83333333333333337</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45369.49999999984</v>
      </c>
      <c r="AG70" s="182"/>
      <c r="AH70" s="161"/>
      <c r="AI70" s="182"/>
      <c r="AJ70" s="182"/>
      <c r="AK70" s="182"/>
      <c r="AL70" s="182"/>
      <c r="AM70" s="182"/>
      <c r="AN70" s="182"/>
      <c r="AO70" s="145"/>
      <c r="AP70" s="97">
        <f ca="1">TblProd[[#This Row],[Platinum]]</f>
        <v>482954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45369.49999999984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1240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2.1999999999999997</v>
      </c>
      <c r="CH70" s="45">
        <f ca="1">MIN(ice_elem_cap,TblMili[[#This Row],[Raw (2)]]*ice_elem_bonus)</f>
        <v>0.1</v>
      </c>
      <c r="CI70" s="266">
        <f t="shared" si="3"/>
        <v>0.83333333333333337</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45369.541666666504</v>
      </c>
      <c r="AG71" s="182"/>
      <c r="AH71" s="161"/>
      <c r="AI71" s="182"/>
      <c r="AJ71" s="182"/>
      <c r="AK71" s="182"/>
      <c r="AL71" s="182"/>
      <c r="AM71" s="182"/>
      <c r="AN71" s="182"/>
      <c r="AO71" s="145"/>
      <c r="AP71" s="97">
        <f ca="1">TblProd[[#This Row],[Platinum]]</f>
        <v>488440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45369.541666666504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1240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2.1999999999999997</v>
      </c>
      <c r="CH71" s="45">
        <f ca="1">MIN(ice_elem_cap,TblMili[[#This Row],[Raw (2)]]*ice_elem_bonus)</f>
        <v>0.1</v>
      </c>
      <c r="CI71" s="266">
        <f t="shared" si="3"/>
        <v>0.83333333333333337</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45369.583333333168</v>
      </c>
      <c r="AG72" s="182"/>
      <c r="AH72" s="161"/>
      <c r="AI72" s="182"/>
      <c r="AJ72" s="182"/>
      <c r="AK72" s="182"/>
      <c r="AL72" s="182"/>
      <c r="AM72" s="182"/>
      <c r="AN72" s="182"/>
      <c r="AO72" s="145"/>
      <c r="AP72" s="97">
        <f ca="1">TblProd[[#This Row],[Platinum]]</f>
        <v>493926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45369.583333333168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1240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2.1999999999999997</v>
      </c>
      <c r="CH72" s="45">
        <f ca="1">MIN(ice_elem_cap,TblMili[[#This Row],[Raw (2)]]*ice_elem_bonus)</f>
        <v>0.1</v>
      </c>
      <c r="CI72" s="266">
        <f t="shared" si="3"/>
        <v>0.83333333333333337</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45369.624999999833</v>
      </c>
      <c r="AG73" s="182"/>
      <c r="AH73" s="161"/>
      <c r="AI73" s="182"/>
      <c r="AJ73" s="182"/>
      <c r="AK73" s="182"/>
      <c r="AL73" s="182"/>
      <c r="AM73" s="182"/>
      <c r="AN73" s="182"/>
      <c r="AO73" s="145"/>
      <c r="AP73" s="97">
        <f ca="1">TblProd[[#This Row],[Platinum]]</f>
        <v>499412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45369.624999999833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1240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2.1999999999999997</v>
      </c>
      <c r="CH73" s="45">
        <f ca="1">MIN(ice_elem_cap,TblMili[[#This Row],[Raw (2)]]*ice_elem_bonus)</f>
        <v>0.1</v>
      </c>
      <c r="CI73" s="266">
        <f t="shared" si="3"/>
        <v>0.83333333333333337</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45369.666666666497</v>
      </c>
      <c r="AG74" s="182"/>
      <c r="AH74" s="161"/>
      <c r="AI74" s="182"/>
      <c r="AJ74" s="182"/>
      <c r="AK74" s="182"/>
      <c r="AL74" s="182"/>
      <c r="AM74" s="182"/>
      <c r="AN74" s="182"/>
      <c r="AO74" s="145"/>
      <c r="AP74" s="97">
        <f ca="1">TblProd[[#This Row],[Platinum]]</f>
        <v>504898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45369.666666666497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1240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2.1999999999999997</v>
      </c>
      <c r="CH74" s="45">
        <f ca="1">MIN(ice_elem_cap,TblMili[[#This Row],[Raw (2)]]*ice_elem_bonus)</f>
        <v>0.1</v>
      </c>
      <c r="CI74" s="266">
        <f t="shared" si="3"/>
        <v>0.83333333333333337</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45369.708333333161</v>
      </c>
      <c r="AG75" s="182"/>
      <c r="AH75" s="161"/>
      <c r="AI75" s="182"/>
      <c r="AJ75" s="182"/>
      <c r="AK75" s="182"/>
      <c r="AL75" s="182"/>
      <c r="AM75" s="182"/>
      <c r="AN75" s="182"/>
      <c r="AO75" s="145"/>
      <c r="AP75" s="97">
        <f ca="1">TblProd[[#This Row],[Platinum]]</f>
        <v>510384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45369.708333333161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1240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2.1999999999999997</v>
      </c>
      <c r="CH75" s="45">
        <f ca="1">MIN(ice_elem_cap,TblMili[[#This Row],[Raw (2)]]*ice_elem_bonus)</f>
        <v>0.1</v>
      </c>
      <c r="CI75" s="266">
        <f t="shared" si="3"/>
        <v>0.83333333333333337</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45369.749999999825</v>
      </c>
      <c r="AG76" s="207"/>
      <c r="AH76" s="161"/>
      <c r="AI76" s="182"/>
      <c r="AJ76" s="207"/>
      <c r="AK76" s="207"/>
      <c r="AL76" s="207"/>
      <c r="AM76" s="207"/>
      <c r="AN76" s="207"/>
      <c r="AO76" s="152"/>
      <c r="AP76" s="210">
        <f ca="1">TblProd[[#This Row],[Platinum]]</f>
        <v>515870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45369.749999999825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1240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2.1999999999999997</v>
      </c>
      <c r="CH76" s="211">
        <f ca="1">MIN(ice_elem_cap,TblMili[[#This Row],[Raw (2)]]*ice_elem_bonus)</f>
        <v>0.1</v>
      </c>
      <c r="CI76" s="279">
        <f t="shared" si="3"/>
        <v>0.83333333333333337</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45369.79166666649</v>
      </c>
      <c r="AG77" s="182"/>
      <c r="AH77" s="161"/>
      <c r="AI77" s="182"/>
      <c r="AJ77" s="182"/>
      <c r="AK77" s="182"/>
      <c r="AL77" s="182"/>
      <c r="AM77" s="182"/>
      <c r="AN77" s="182"/>
      <c r="AO77" s="145"/>
      <c r="AP77" s="97">
        <f ca="1">TblProd[[#This Row],[Platinum]]</f>
        <v>521356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45369.79166666649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1240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2.1999999999999997</v>
      </c>
      <c r="CH77" s="45">
        <f ca="1">MIN(ice_elem_cap,TblMili[[#This Row],[Raw (2)]]*ice_elem_bonus)</f>
        <v>0.1</v>
      </c>
      <c r="CI77" s="266">
        <f t="shared" si="3"/>
        <v>0.83333333333333337</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45369.833333333154</v>
      </c>
      <c r="AG78" s="182"/>
      <c r="AH78" s="161"/>
      <c r="AI78" s="182"/>
      <c r="AJ78" s="182"/>
      <c r="AK78" s="182"/>
      <c r="AL78" s="182"/>
      <c r="AM78" s="182"/>
      <c r="AN78" s="182"/>
      <c r="AO78" s="145"/>
      <c r="AP78" s="97">
        <f ca="1">TblProd[[#This Row],[Platinum]]</f>
        <v>526842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45369.833333333154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1240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2.1999999999999997</v>
      </c>
      <c r="CH78" s="45">
        <f ca="1">MIN(ice_elem_cap,TblMili[[#This Row],[Raw (2)]]*ice_elem_bonus)</f>
        <v>0.1</v>
      </c>
      <c r="CI78" s="266">
        <f t="shared" si="3"/>
        <v>0.83333333333333337</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45369.874999999818</v>
      </c>
      <c r="AG79" s="182"/>
      <c r="AH79" s="182"/>
      <c r="AI79" s="182"/>
      <c r="AJ79" s="182"/>
      <c r="AK79" s="182"/>
      <c r="AL79" s="182"/>
      <c r="AM79" s="182"/>
      <c r="AN79" s="182"/>
      <c r="AO79" s="145"/>
      <c r="AP79" s="97">
        <f ca="1">TblProd[[#This Row],[Platinum]]</f>
        <v>532328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45369.874999999818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1240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2.1999999999999997</v>
      </c>
      <c r="CH79" s="45">
        <f ca="1">MIN(ice_elem_cap,TblMili[[#This Row],[Raw (2)]]*ice_elem_bonus)</f>
        <v>0.1</v>
      </c>
      <c r="CI79" s="266">
        <f t="shared" si="3"/>
        <v>0.83333333333333337</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45369.916666666482</v>
      </c>
      <c r="AG80" s="182"/>
      <c r="AH80" s="182"/>
      <c r="AI80" s="182"/>
      <c r="AJ80" s="182"/>
      <c r="AK80" s="182"/>
      <c r="AL80" s="182"/>
      <c r="AM80" s="182"/>
      <c r="AN80" s="182"/>
      <c r="AO80" s="145"/>
      <c r="AP80" s="97">
        <f ca="1">TblProd[[#This Row],[Platinum]]</f>
        <v>537814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45369.916666666482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1240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2.1999999999999997</v>
      </c>
      <c r="CH80" s="45">
        <f ca="1">MIN(ice_elem_cap,TblMili[[#This Row],[Raw (2)]]*ice_elem_bonus)</f>
        <v>0.1</v>
      </c>
      <c r="CI80" s="266">
        <f t="shared" si="3"/>
        <v>0.83333333333333337</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45369.958333333147</v>
      </c>
      <c r="AG81" s="182"/>
      <c r="AH81" s="182"/>
      <c r="AI81" s="182"/>
      <c r="AJ81" s="182"/>
      <c r="AK81" s="182"/>
      <c r="AL81" s="182"/>
      <c r="AM81" s="182"/>
      <c r="AN81" s="182"/>
      <c r="AO81" s="145"/>
      <c r="AP81" s="97">
        <f ca="1">TblProd[[#This Row],[Platinum]]</f>
        <v>543300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45369.958333333147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1240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2.1999999999999997</v>
      </c>
      <c r="CH81" s="45">
        <f ca="1">MIN(ice_elem_cap,TblMili[[#This Row],[Raw (2)]]*ice_elem_bonus)</f>
        <v>0.1</v>
      </c>
      <c r="CI81" s="266">
        <f t="shared" si="3"/>
        <v>0.83333333333333337</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45369.999999999811</v>
      </c>
      <c r="AG82" s="182"/>
      <c r="AH82" s="182"/>
      <c r="AI82" s="182"/>
      <c r="AJ82" s="182"/>
      <c r="AK82" s="182"/>
      <c r="AL82" s="182"/>
      <c r="AM82" s="182"/>
      <c r="AN82" s="182"/>
      <c r="AO82" s="145"/>
      <c r="AP82" s="97">
        <f ca="1">TblProd[[#This Row],[Platinum]]</f>
        <v>548786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45369.999999999811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1240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2.1999999999999997</v>
      </c>
      <c r="CH82" s="45">
        <f ca="1">MIN(ice_elem_cap,TblMili[[#This Row],[Raw (2)]]*ice_elem_bonus)</f>
        <v>0.1</v>
      </c>
      <c r="CI82" s="266">
        <f t="shared" si="3"/>
        <v>0.83333333333333337</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45370.041666666475</v>
      </c>
      <c r="AG83" s="182"/>
      <c r="AH83" s="182"/>
      <c r="AI83" s="182"/>
      <c r="AJ83" s="182"/>
      <c r="AK83" s="182"/>
      <c r="AL83" s="182"/>
      <c r="AM83" s="182"/>
      <c r="AN83" s="182"/>
      <c r="AO83" s="145"/>
      <c r="AP83" s="97">
        <f ca="1">TblProd[[#This Row],[Platinum]]</f>
        <v>554272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45370.041666666475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1240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2.1999999999999997</v>
      </c>
      <c r="CH83" s="45">
        <f ca="1">MIN(ice_elem_cap,TblMili[[#This Row],[Raw (2)]]*ice_elem_bonus)</f>
        <v>0.1</v>
      </c>
      <c r="CI83" s="266">
        <f t="shared" si="3"/>
        <v>0.83333333333333337</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45370.083333333139</v>
      </c>
      <c r="AG84" s="182"/>
      <c r="AH84" s="182"/>
      <c r="AI84" s="182"/>
      <c r="AJ84" s="182"/>
      <c r="AK84" s="182"/>
      <c r="AL84" s="182"/>
      <c r="AM84" s="182"/>
      <c r="AN84" s="182"/>
      <c r="AO84" s="145"/>
      <c r="AP84" s="97">
        <f ca="1">TblProd[[#This Row],[Platinum]]</f>
        <v>559758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45370.083333333139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1240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2.1999999999999997</v>
      </c>
      <c r="CH84" s="45">
        <f ca="1">MIN(ice_elem_cap,TblMili[[#This Row],[Raw (2)]]*ice_elem_bonus)</f>
        <v>0.1</v>
      </c>
      <c r="CI84" s="266">
        <f t="shared" si="3"/>
        <v>0.83333333333333337</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45370.124999999804</v>
      </c>
      <c r="AG85" s="182"/>
      <c r="AH85" s="182"/>
      <c r="AI85" s="182"/>
      <c r="AJ85" s="182"/>
      <c r="AK85" s="182"/>
      <c r="AL85" s="182"/>
      <c r="AM85" s="182"/>
      <c r="AN85" s="182"/>
      <c r="AO85" s="145"/>
      <c r="AP85" s="97">
        <f ca="1">TblProd[[#This Row],[Platinum]]</f>
        <v>565244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45370.124999999804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1240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2.1999999999999997</v>
      </c>
      <c r="CH85" s="45">
        <f ca="1">MIN(ice_elem_cap,TblMili[[#This Row],[Raw (2)]]*ice_elem_bonus)</f>
        <v>0.1</v>
      </c>
      <c r="CI85" s="266">
        <f t="shared" si="3"/>
        <v>0.83333333333333337</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45370.166666666468</v>
      </c>
      <c r="AG86" s="182"/>
      <c r="AH86" s="182"/>
      <c r="AI86" s="182"/>
      <c r="AJ86" s="182"/>
      <c r="AK86" s="182"/>
      <c r="AL86" s="182"/>
      <c r="AM86" s="182"/>
      <c r="AN86" s="182"/>
      <c r="AO86" s="145"/>
      <c r="AP86" s="97">
        <f ca="1">TblProd[[#This Row],[Platinum]]</f>
        <v>570730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45370.166666666468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1240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2.1999999999999997</v>
      </c>
      <c r="CH86" s="45">
        <f ca="1">MIN(ice_elem_cap,TblMili[[#This Row],[Raw (2)]]*ice_elem_bonus)</f>
        <v>0.1</v>
      </c>
      <c r="CI86" s="266">
        <f t="shared" si="3"/>
        <v>0.83333333333333337</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45370.208333333132</v>
      </c>
      <c r="AG87" s="182"/>
      <c r="AH87" s="182"/>
      <c r="AI87" s="182"/>
      <c r="AJ87" s="182"/>
      <c r="AK87" s="182"/>
      <c r="AL87" s="182"/>
      <c r="AM87" s="182"/>
      <c r="AN87" s="182"/>
      <c r="AO87" s="145"/>
      <c r="AP87" s="97">
        <f ca="1">TblProd[[#This Row],[Platinum]]</f>
        <v>576216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45370.208333333132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1240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2.1999999999999997</v>
      </c>
      <c r="CH87" s="45">
        <f ca="1">MIN(ice_elem_cap,TblMili[[#This Row],[Raw (2)]]*ice_elem_bonus)</f>
        <v>0.1</v>
      </c>
      <c r="CI87" s="266">
        <f t="shared" si="3"/>
        <v>0.83333333333333337</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45370.249999999796</v>
      </c>
      <c r="AG88" s="182"/>
      <c r="AH88" s="182"/>
      <c r="AI88" s="182"/>
      <c r="AJ88" s="182"/>
      <c r="AK88" s="182"/>
      <c r="AL88" s="182"/>
      <c r="AM88" s="182"/>
      <c r="AN88" s="182"/>
      <c r="AO88" s="145"/>
      <c r="AP88" s="97">
        <f ca="1">TblProd[[#This Row],[Platinum]]</f>
        <v>581702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45370.249999999796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1240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2.1999999999999997</v>
      </c>
      <c r="CH88" s="45">
        <f ca="1">MIN(ice_elem_cap,TblMili[[#This Row],[Raw (2)]]*ice_elem_bonus)</f>
        <v>0.1</v>
      </c>
      <c r="CI88" s="266">
        <f t="shared" si="3"/>
        <v>0.83333333333333337</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45370.291666666461</v>
      </c>
      <c r="AG89" s="182"/>
      <c r="AH89" s="182"/>
      <c r="AI89" s="182"/>
      <c r="AJ89" s="182"/>
      <c r="AK89" s="182"/>
      <c r="AL89" s="182"/>
      <c r="AM89" s="182"/>
      <c r="AN89" s="182"/>
      <c r="AO89" s="145"/>
      <c r="AP89" s="97">
        <f ca="1">TblProd[[#This Row],[Platinum]]</f>
        <v>587188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45370.291666666461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1240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2.1999999999999997</v>
      </c>
      <c r="CH89" s="45">
        <f ca="1">MIN(ice_elem_cap,TblMili[[#This Row],[Raw (2)]]*ice_elem_bonus)</f>
        <v>0.1</v>
      </c>
      <c r="CI89" s="266">
        <f t="shared" si="3"/>
        <v>0.83333333333333337</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45370.333333333125</v>
      </c>
      <c r="AG90" s="182"/>
      <c r="AH90" s="182"/>
      <c r="AI90" s="182"/>
      <c r="AJ90" s="182"/>
      <c r="AK90" s="182"/>
      <c r="AL90" s="182"/>
      <c r="AM90" s="182"/>
      <c r="AN90" s="182"/>
      <c r="AO90" s="145"/>
      <c r="AP90" s="97">
        <f ca="1">TblProd[[#This Row],[Platinum]]</f>
        <v>592674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45370.333333333125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1240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2.1999999999999997</v>
      </c>
      <c r="CH90" s="45">
        <f ca="1">MIN(ice_elem_cap,TblMili[[#This Row],[Raw (2)]]*ice_elem_bonus)</f>
        <v>0.1</v>
      </c>
      <c r="CI90" s="266">
        <f t="shared" si="3"/>
        <v>0.83333333333333337</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45370.374999999789</v>
      </c>
      <c r="AG91" s="182"/>
      <c r="AH91" s="182"/>
      <c r="AI91" s="182"/>
      <c r="AJ91" s="182"/>
      <c r="AK91" s="182"/>
      <c r="AL91" s="182"/>
      <c r="AM91" s="182"/>
      <c r="AN91" s="182"/>
      <c r="AO91" s="145"/>
      <c r="AP91" s="97">
        <f ca="1">TblProd[[#This Row],[Platinum]]</f>
        <v>598160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45370.374999999789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1240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2.1999999999999997</v>
      </c>
      <c r="CH91" s="45">
        <f ca="1">MIN(ice_elem_cap,TblMili[[#This Row],[Raw (2)]]*ice_elem_bonus)</f>
        <v>0.1</v>
      </c>
      <c r="CI91" s="266">
        <f t="shared" si="3"/>
        <v>0.83333333333333337</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45370.416666666453</v>
      </c>
      <c r="AG92" s="182"/>
      <c r="AH92" s="182"/>
      <c r="AI92" s="182"/>
      <c r="AJ92" s="182"/>
      <c r="AK92" s="182"/>
      <c r="AL92" s="182"/>
      <c r="AM92" s="182"/>
      <c r="AN92" s="182"/>
      <c r="AO92" s="145"/>
      <c r="AP92" s="97">
        <f ca="1">TblProd[[#This Row],[Platinum]]</f>
        <v>603646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45370.416666666453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1240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2.1999999999999997</v>
      </c>
      <c r="CH92" s="45">
        <f ca="1">MIN(ice_elem_cap,TblMili[[#This Row],[Raw (2)]]*ice_elem_bonus)</f>
        <v>0.1</v>
      </c>
      <c r="CI92" s="266">
        <f t="shared" si="3"/>
        <v>0.83333333333333337</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45370.458333333117</v>
      </c>
      <c r="AG93" s="182"/>
      <c r="AH93" s="182"/>
      <c r="AI93" s="182"/>
      <c r="AJ93" s="182"/>
      <c r="AK93" s="182"/>
      <c r="AL93" s="182"/>
      <c r="AM93" s="182"/>
      <c r="AN93" s="182"/>
      <c r="AO93" s="145"/>
      <c r="AP93" s="97">
        <f ca="1">TblProd[[#This Row],[Platinum]]</f>
        <v>609132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45370.458333333117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1240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2.1999999999999997</v>
      </c>
      <c r="CH93" s="45">
        <f ca="1">MIN(ice_elem_cap,TblMili[[#This Row],[Raw (2)]]*ice_elem_bonus)</f>
        <v>0.1</v>
      </c>
      <c r="CI93" s="266">
        <f t="shared" si="3"/>
        <v>0.83333333333333337</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45370.499999999782</v>
      </c>
      <c r="AG94" s="182"/>
      <c r="AH94" s="182"/>
      <c r="AI94" s="182"/>
      <c r="AJ94" s="182"/>
      <c r="AK94" s="182"/>
      <c r="AL94" s="182"/>
      <c r="AM94" s="182"/>
      <c r="AN94" s="182"/>
      <c r="AO94" s="145"/>
      <c r="AP94" s="97">
        <f ca="1">TblProd[[#This Row],[Platinum]]</f>
        <v>614618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45370.499999999782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1240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2.1999999999999997</v>
      </c>
      <c r="CH94" s="45">
        <f ca="1">MIN(ice_elem_cap,TblMili[[#This Row],[Raw (2)]]*ice_elem_bonus)</f>
        <v>0.1</v>
      </c>
      <c r="CI94" s="266">
        <f t="shared" si="3"/>
        <v>0.83333333333333337</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45370.541666666446</v>
      </c>
      <c r="AG95" s="182"/>
      <c r="AH95" s="182"/>
      <c r="AI95" s="182"/>
      <c r="AJ95" s="182"/>
      <c r="AK95" s="182"/>
      <c r="AL95" s="182"/>
      <c r="AM95" s="182"/>
      <c r="AN95" s="182"/>
      <c r="AO95" s="145"/>
      <c r="AP95" s="97">
        <f ca="1">TblProd[[#This Row],[Platinum]]</f>
        <v>620104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45370.541666666446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1240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2.1999999999999997</v>
      </c>
      <c r="CH95" s="45">
        <f ca="1">MIN(ice_elem_cap,TblMili[[#This Row],[Raw (2)]]*ice_elem_bonus)</f>
        <v>0.1</v>
      </c>
      <c r="CI95" s="266">
        <f t="shared" si="3"/>
        <v>0.83333333333333337</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45370.58333333311</v>
      </c>
      <c r="AG96" s="182"/>
      <c r="AH96" s="182"/>
      <c r="AI96" s="182"/>
      <c r="AJ96" s="182"/>
      <c r="AK96" s="182"/>
      <c r="AL96" s="182"/>
      <c r="AM96" s="182"/>
      <c r="AN96" s="182"/>
      <c r="AO96" s="145"/>
      <c r="AP96" s="97">
        <f ca="1">TblProd[[#This Row],[Platinum]]</f>
        <v>625590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45370.58333333311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1240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2.1999999999999997</v>
      </c>
      <c r="CH96" s="45">
        <f ca="1">MIN(ice_elem_cap,TblMili[[#This Row],[Raw (2)]]*ice_elem_bonus)</f>
        <v>0.1</v>
      </c>
      <c r="CI96" s="266">
        <f t="shared" si="3"/>
        <v>0.83333333333333337</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45370.624999999774</v>
      </c>
      <c r="AG97" s="182"/>
      <c r="AH97" s="182"/>
      <c r="AI97" s="182"/>
      <c r="AJ97" s="182"/>
      <c r="AK97" s="182"/>
      <c r="AL97" s="182"/>
      <c r="AM97" s="182"/>
      <c r="AN97" s="182"/>
      <c r="AO97" s="145"/>
      <c r="AP97" s="97">
        <f ca="1">TblProd[[#This Row],[Platinum]]</f>
        <v>631076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45370.624999999774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1240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2.1999999999999997</v>
      </c>
      <c r="CH97" s="45">
        <f ca="1">MIN(ice_elem_cap,TblMili[[#This Row],[Raw (2)]]*ice_elem_bonus)</f>
        <v>0.1</v>
      </c>
      <c r="CI97" s="266">
        <f t="shared" si="3"/>
        <v>0.83333333333333337</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45370.666666666439</v>
      </c>
      <c r="AG98" s="182"/>
      <c r="AH98" s="182"/>
      <c r="AI98" s="182"/>
      <c r="AJ98" s="182"/>
      <c r="AK98" s="182"/>
      <c r="AL98" s="182"/>
      <c r="AM98" s="182"/>
      <c r="AN98" s="182"/>
      <c r="AO98" s="145"/>
      <c r="AP98" s="97">
        <f ca="1">TblProd[[#This Row],[Platinum]]</f>
        <v>636562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45370.666666666439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1240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2.1999999999999997</v>
      </c>
      <c r="CH98" s="45">
        <f ca="1">MIN(ice_elem_cap,TblMili[[#This Row],[Raw (2)]]*ice_elem_bonus)</f>
        <v>0.1</v>
      </c>
      <c r="CI98" s="266">
        <f t="shared" si="3"/>
        <v>0.83333333333333337</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45370.708333333103</v>
      </c>
      <c r="AG99" s="182"/>
      <c r="AH99" s="182"/>
      <c r="AI99" s="182"/>
      <c r="AJ99" s="182"/>
      <c r="AK99" s="182"/>
      <c r="AL99" s="182"/>
      <c r="AM99" s="182"/>
      <c r="AN99" s="182"/>
      <c r="AO99" s="145"/>
      <c r="AP99" s="97">
        <f ca="1">TblProd[[#This Row],[Platinum]]</f>
        <v>642048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45370.708333333103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1240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2.1999999999999997</v>
      </c>
      <c r="CH99" s="45">
        <f ca="1">MIN(ice_elem_cap,TblMili[[#This Row],[Raw (2)]]*ice_elem_bonus)</f>
        <v>0.1</v>
      </c>
      <c r="CI99" s="266">
        <f t="shared" si="3"/>
        <v>0.83333333333333337</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45370.749999999767</v>
      </c>
      <c r="AG100" s="182"/>
      <c r="AH100" s="182"/>
      <c r="AI100" s="182"/>
      <c r="AJ100" s="182"/>
      <c r="AK100" s="182"/>
      <c r="AL100" s="182"/>
      <c r="AM100" s="182"/>
      <c r="AN100" s="182"/>
      <c r="AO100" s="145"/>
      <c r="AP100" s="97">
        <f ca="1">TblProd[[#This Row],[Platinum]]</f>
        <v>647534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45370.749999999767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1240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0.83333333333333337</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45370.791666666431</v>
      </c>
      <c r="AG101" s="182"/>
      <c r="AH101" s="182"/>
      <c r="AI101" s="182"/>
      <c r="AJ101" s="182"/>
      <c r="AK101" s="182"/>
      <c r="AL101" s="182"/>
      <c r="AM101" s="182"/>
      <c r="AN101" s="182"/>
      <c r="AO101" s="145"/>
      <c r="AP101" s="97">
        <f ca="1">TblProd[[#This Row],[Platinum]]</f>
        <v>653020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45370.791666666431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1240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0.83333333333333337</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45370.833333333096</v>
      </c>
      <c r="AG102" s="182"/>
      <c r="AH102" s="182"/>
      <c r="AI102" s="182"/>
      <c r="AJ102" s="182"/>
      <c r="AK102" s="182"/>
      <c r="AL102" s="182"/>
      <c r="AM102" s="182"/>
      <c r="AN102" s="182"/>
      <c r="AO102" s="145"/>
      <c r="AP102" s="97">
        <f ca="1">TblProd[[#This Row],[Platinum]]</f>
        <v>658506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45370.833333333096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1240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0.83333333333333337</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45370.87499999976</v>
      </c>
      <c r="AG103" s="182"/>
      <c r="AH103" s="182"/>
      <c r="AI103" s="182"/>
      <c r="AJ103" s="182"/>
      <c r="AK103" s="182"/>
      <c r="AL103" s="182"/>
      <c r="AM103" s="182"/>
      <c r="AN103" s="182"/>
      <c r="AO103" s="145"/>
      <c r="AP103" s="97">
        <f ca="1">TblProd[[#This Row],[Platinum]]</f>
        <v>663992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45370.87499999976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1240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0.83333333333333337</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45370.916666666424</v>
      </c>
      <c r="AG104" s="182"/>
      <c r="AH104" s="182"/>
      <c r="AI104" s="182"/>
      <c r="AJ104" s="182"/>
      <c r="AK104" s="182"/>
      <c r="AL104" s="182"/>
      <c r="AM104" s="182"/>
      <c r="AN104" s="182"/>
      <c r="AO104" s="145"/>
      <c r="AP104" s="97">
        <f ca="1">TblProd[[#This Row],[Platinum]]</f>
        <v>669478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45370.916666666424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1240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0.83333333333333337</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45370.958333333088</v>
      </c>
      <c r="AG105" s="182"/>
      <c r="AH105" s="182"/>
      <c r="AI105" s="182"/>
      <c r="AJ105" s="182"/>
      <c r="AK105" s="182"/>
      <c r="AL105" s="182"/>
      <c r="AM105" s="182"/>
      <c r="AN105" s="182"/>
      <c r="AO105" s="145"/>
      <c r="AP105" s="97">
        <f ca="1">TblProd[[#This Row],[Platinum]]</f>
        <v>674964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45370.958333333088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1240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0.83333333333333337</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45370.999999999753</v>
      </c>
      <c r="AG106" s="182"/>
      <c r="AH106" s="182"/>
      <c r="AI106" s="182"/>
      <c r="AJ106" s="182"/>
      <c r="AK106" s="182"/>
      <c r="AL106" s="182"/>
      <c r="AM106" s="182"/>
      <c r="AN106" s="182"/>
      <c r="AO106" s="145"/>
      <c r="AP106" s="97">
        <f ca="1">TblProd[[#This Row],[Platinum]]</f>
        <v>680450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45370.999999999753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1240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0.83333333333333337</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45371.041666666417</v>
      </c>
      <c r="AG107" s="182"/>
      <c r="AH107" s="182"/>
      <c r="AI107" s="182"/>
      <c r="AJ107" s="182"/>
      <c r="AK107" s="182"/>
      <c r="AL107" s="182"/>
      <c r="AM107" s="182"/>
      <c r="AN107" s="182"/>
      <c r="AO107" s="145"/>
      <c r="AP107" s="97">
        <f ca="1">TblProd[[#This Row],[Platinum]]</f>
        <v>685936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45371.041666666417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1240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0.83333333333333337</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45371.083333333081</v>
      </c>
      <c r="AG108" s="182"/>
      <c r="AH108" s="182"/>
      <c r="AI108" s="182"/>
      <c r="AJ108" s="182"/>
      <c r="AK108" s="182"/>
      <c r="AL108" s="182"/>
      <c r="AM108" s="182"/>
      <c r="AN108" s="182"/>
      <c r="AO108" s="145"/>
      <c r="AP108" s="97">
        <f ca="1">TblProd[[#This Row],[Platinum]]</f>
        <v>691422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45371.083333333081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1240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0.83333333333333337</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45371.124999999745</v>
      </c>
      <c r="AG109" s="182"/>
      <c r="AH109" s="182"/>
      <c r="AI109" s="182"/>
      <c r="AJ109" s="182"/>
      <c r="AK109" s="182"/>
      <c r="AL109" s="182"/>
      <c r="AM109" s="182"/>
      <c r="AN109" s="182"/>
      <c r="AO109" s="145"/>
      <c r="AP109" s="97">
        <f ca="1">TblProd[[#This Row],[Platinum]]</f>
        <v>696908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45371.124999999745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1240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0.83333333333333337</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45371.16666666641</v>
      </c>
      <c r="AG110" s="182"/>
      <c r="AH110" s="182"/>
      <c r="AI110" s="182"/>
      <c r="AJ110" s="182"/>
      <c r="AK110" s="182"/>
      <c r="AL110" s="182"/>
      <c r="AM110" s="182"/>
      <c r="AN110" s="182"/>
      <c r="AO110" s="145"/>
      <c r="AP110" s="97">
        <f ca="1">TblProd[[#This Row],[Platinum]]</f>
        <v>702394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45371.16666666641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1240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0.83333333333333337</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45371.208333333074</v>
      </c>
      <c r="AG111" s="182"/>
      <c r="AH111" s="182"/>
      <c r="AI111" s="182"/>
      <c r="AJ111" s="182"/>
      <c r="AK111" s="182"/>
      <c r="AL111" s="182"/>
      <c r="AM111" s="182"/>
      <c r="AN111" s="182"/>
      <c r="AO111" s="145"/>
      <c r="AP111" s="97">
        <f ca="1">TblProd[[#This Row],[Platinum]]</f>
        <v>707880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45371.208333333074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1240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0.83333333333333337</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45371.249999999738</v>
      </c>
      <c r="AG112" s="182"/>
      <c r="AH112" s="182"/>
      <c r="AI112" s="182"/>
      <c r="AJ112" s="182"/>
      <c r="AK112" s="182"/>
      <c r="AL112" s="182"/>
      <c r="AM112" s="182"/>
      <c r="AN112" s="182"/>
      <c r="AO112" s="145"/>
      <c r="AP112" s="97">
        <f ca="1">TblProd[[#This Row],[Platinum]]</f>
        <v>713366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45371.249999999738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1240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0.83333333333333337</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45371.291666666402</v>
      </c>
      <c r="AG113" s="182"/>
      <c r="AH113" s="182"/>
      <c r="AI113" s="182"/>
      <c r="AJ113" s="182"/>
      <c r="AK113" s="182"/>
      <c r="AL113" s="182"/>
      <c r="AM113" s="182"/>
      <c r="AN113" s="182"/>
      <c r="AO113" s="145"/>
      <c r="AP113" s="97">
        <f ca="1">TblProd[[#This Row],[Platinum]]</f>
        <v>718852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45371.291666666402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1240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0.83333333333333337</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45371.333333333067</v>
      </c>
      <c r="AG114" s="182"/>
      <c r="AH114" s="182"/>
      <c r="AI114" s="182"/>
      <c r="AJ114" s="182"/>
      <c r="AK114" s="182"/>
      <c r="AL114" s="182"/>
      <c r="AM114" s="182"/>
      <c r="AN114" s="182"/>
      <c r="AO114" s="145"/>
      <c r="AP114" s="97">
        <f ca="1">TblProd[[#This Row],[Platinum]]</f>
        <v>724338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45371.333333333067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1240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0.83333333333333337</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45371.374999999731</v>
      </c>
      <c r="AG115" s="182"/>
      <c r="AH115" s="182"/>
      <c r="AI115" s="182"/>
      <c r="AJ115" s="182"/>
      <c r="AK115" s="182"/>
      <c r="AL115" s="182"/>
      <c r="AM115" s="182"/>
      <c r="AN115" s="182"/>
      <c r="AO115" s="145"/>
      <c r="AP115" s="97">
        <f ca="1">TblProd[[#This Row],[Platinum]]</f>
        <v>729824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45371.374999999731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1240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0.83333333333333337</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45371.416666666395</v>
      </c>
      <c r="AG116" s="182"/>
      <c r="AH116" s="182"/>
      <c r="AI116" s="182"/>
      <c r="AJ116" s="182"/>
      <c r="AK116" s="182"/>
      <c r="AL116" s="182"/>
      <c r="AM116" s="182"/>
      <c r="AN116" s="182"/>
      <c r="AO116" s="145"/>
      <c r="AP116" s="97">
        <f ca="1">TblProd[[#This Row],[Platinum]]</f>
        <v>735310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45371.416666666395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1240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0.83333333333333337</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45371.458333333059</v>
      </c>
      <c r="AG117" s="182"/>
      <c r="AH117" s="182"/>
      <c r="AI117" s="182"/>
      <c r="AJ117" s="182"/>
      <c r="AK117" s="182"/>
      <c r="AL117" s="182"/>
      <c r="AM117" s="182"/>
      <c r="AN117" s="182"/>
      <c r="AO117" s="145"/>
      <c r="AP117" s="97">
        <f ca="1">TblProd[[#This Row],[Platinum]]</f>
        <v>740796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45371.458333333059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1240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0.83333333333333337</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45371.499999999724</v>
      </c>
      <c r="AG118" s="182"/>
      <c r="AH118" s="182"/>
      <c r="AI118" s="182"/>
      <c r="AJ118" s="182"/>
      <c r="AK118" s="182"/>
      <c r="AL118" s="182"/>
      <c r="AM118" s="182"/>
      <c r="AN118" s="182"/>
      <c r="AO118" s="145"/>
      <c r="AP118" s="97">
        <f ca="1">TblProd[[#This Row],[Platinum]]</f>
        <v>746282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45371.499999999724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1240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0.83333333333333337</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45371.541666666388</v>
      </c>
      <c r="AG119" s="182"/>
      <c r="AH119" s="182"/>
      <c r="AI119" s="182"/>
      <c r="AJ119" s="182"/>
      <c r="AK119" s="182"/>
      <c r="AL119" s="182"/>
      <c r="AM119" s="182"/>
      <c r="AN119" s="182"/>
      <c r="AO119" s="145"/>
      <c r="AP119" s="97">
        <f ca="1">TblProd[[#This Row],[Platinum]]</f>
        <v>751768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45371.541666666388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1240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0.83333333333333337</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45371.583333333052</v>
      </c>
      <c r="AG120" s="182"/>
      <c r="AH120" s="182"/>
      <c r="AI120" s="182"/>
      <c r="AJ120" s="182"/>
      <c r="AK120" s="182"/>
      <c r="AL120" s="182"/>
      <c r="AM120" s="182"/>
      <c r="AN120" s="182"/>
      <c r="AO120" s="145"/>
      <c r="AP120" s="97">
        <f ca="1">TblProd[[#This Row],[Platinum]]</f>
        <v>757254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45371.583333333052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1240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0.83333333333333337</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45371.624999999716</v>
      </c>
      <c r="AG121" s="182"/>
      <c r="AH121" s="182"/>
      <c r="AI121" s="182"/>
      <c r="AJ121" s="182"/>
      <c r="AK121" s="182"/>
      <c r="AL121" s="182"/>
      <c r="AM121" s="182"/>
      <c r="AN121" s="182"/>
      <c r="AO121" s="145"/>
      <c r="AP121" s="97">
        <f ca="1">TblProd[[#This Row],[Platinum]]</f>
        <v>762740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45371.624999999716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1240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0.83333333333333337</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45371.66666666638</v>
      </c>
      <c r="AG122" s="182"/>
      <c r="AH122" s="182"/>
      <c r="AI122" s="182"/>
      <c r="AJ122" s="182"/>
      <c r="AK122" s="182"/>
      <c r="AL122" s="182"/>
      <c r="AM122" s="182"/>
      <c r="AN122" s="182"/>
      <c r="AO122" s="145"/>
      <c r="AP122" s="97">
        <f ca="1">TblProd[[#This Row],[Platinum]]</f>
        <v>768226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45371.66666666638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1240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0.83333333333333337</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45371.708333333045</v>
      </c>
      <c r="AG123" s="182"/>
      <c r="AH123" s="182"/>
      <c r="AI123" s="182"/>
      <c r="AJ123" s="182"/>
      <c r="AK123" s="182"/>
      <c r="AL123" s="182"/>
      <c r="AM123" s="182"/>
      <c r="AN123" s="182"/>
      <c r="AO123" s="145"/>
      <c r="AP123" s="97">
        <f ca="1">TblProd[[#This Row],[Platinum]]</f>
        <v>773712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45371.708333333045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1240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0.83333333333333337</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45371.749999999709</v>
      </c>
      <c r="AG124" s="182"/>
      <c r="AH124" s="182"/>
      <c r="AI124" s="182"/>
      <c r="AJ124" s="182"/>
      <c r="AK124" s="182"/>
      <c r="AL124" s="182"/>
      <c r="AM124" s="182"/>
      <c r="AN124" s="182"/>
      <c r="AO124" s="145"/>
      <c r="AP124" s="97">
        <f ca="1">TblProd[[#This Row],[Platinum]]</f>
        <v>779198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45371.749999999709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1240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0.83333333333333337</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45371.791666666373</v>
      </c>
      <c r="AG125" s="161"/>
      <c r="AH125" s="182"/>
      <c r="AI125" s="161"/>
      <c r="AJ125" s="182"/>
      <c r="AK125" s="182"/>
      <c r="AL125" s="182"/>
      <c r="AM125" s="182"/>
      <c r="AN125" s="182"/>
      <c r="AO125" s="145"/>
      <c r="AP125" s="97">
        <f ca="1">TblProd[[#This Row],[Platinum]]</f>
        <v>784684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45371.791666666373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1240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0.83333333333333337</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45371.833333333037</v>
      </c>
      <c r="AG126" s="182"/>
      <c r="AH126" s="182"/>
      <c r="AI126" s="182"/>
      <c r="AJ126" s="182"/>
      <c r="AK126" s="182"/>
      <c r="AL126" s="182"/>
      <c r="AM126" s="182"/>
      <c r="AN126" s="182"/>
      <c r="AO126" s="145"/>
      <c r="AP126" s="97">
        <f ca="1">TblProd[[#This Row],[Platinum]]</f>
        <v>790170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45371.833333333037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1240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0.83333333333333337</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45371.874999999702</v>
      </c>
      <c r="AG127" s="182"/>
      <c r="AH127" s="182"/>
      <c r="AI127" s="182"/>
      <c r="AJ127" s="182"/>
      <c r="AK127" s="182"/>
      <c r="AL127" s="182"/>
      <c r="AM127" s="182"/>
      <c r="AN127" s="182"/>
      <c r="AO127" s="145"/>
      <c r="AP127" s="97">
        <f ca="1">TblProd[[#This Row],[Platinum]]</f>
        <v>795656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45371.874999999702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1240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0.83333333333333337</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45371.916666666366</v>
      </c>
      <c r="AG128" s="182"/>
      <c r="AH128" s="182"/>
      <c r="AI128" s="182"/>
      <c r="AJ128" s="182"/>
      <c r="AK128" s="182"/>
      <c r="AL128" s="182"/>
      <c r="AM128" s="182"/>
      <c r="AN128" s="182"/>
      <c r="AO128" s="145"/>
      <c r="AP128" s="97">
        <f ca="1">TblProd[[#This Row],[Platinum]]</f>
        <v>801142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45371.916666666366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1240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0.83333333333333337</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45371.95833333303</v>
      </c>
      <c r="AG129" s="182"/>
      <c r="AH129" s="182"/>
      <c r="AI129" s="182"/>
      <c r="AJ129" s="182"/>
      <c r="AK129" s="182"/>
      <c r="AL129" s="182"/>
      <c r="AM129" s="182"/>
      <c r="AN129" s="182"/>
      <c r="AO129" s="145"/>
      <c r="AP129" s="97">
        <f ca="1">TblProd[[#This Row],[Platinum]]</f>
        <v>806628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45371.95833333303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1240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0.83333333333333337</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45371.999999999694</v>
      </c>
      <c r="AG130" s="182"/>
      <c r="AH130" s="182"/>
      <c r="AI130" s="182"/>
      <c r="AJ130" s="182"/>
      <c r="AK130" s="182"/>
      <c r="AL130" s="182"/>
      <c r="AM130" s="182"/>
      <c r="AN130" s="182"/>
      <c r="AO130" s="145"/>
      <c r="AP130" s="97">
        <f ca="1">TblProd[[#This Row],[Platinum]]</f>
        <v>812114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45371.999999999694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1240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0.83333333333333337</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45372.041666666359</v>
      </c>
      <c r="AG131" s="182"/>
      <c r="AH131" s="182"/>
      <c r="AI131" s="182"/>
      <c r="AJ131" s="182"/>
      <c r="AK131" s="182"/>
      <c r="AL131" s="182"/>
      <c r="AM131" s="182"/>
      <c r="AN131" s="182"/>
      <c r="AO131" s="145"/>
      <c r="AP131" s="97">
        <f ca="1">TblProd[[#This Row],[Platinum]]</f>
        <v>817600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45372.041666666359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1240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0.83333333333333337</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45372.083333333023</v>
      </c>
      <c r="AG132" s="182"/>
      <c r="AH132" s="182"/>
      <c r="AI132" s="182"/>
      <c r="AJ132" s="182"/>
      <c r="AK132" s="182"/>
      <c r="AL132" s="182"/>
      <c r="AM132" s="182"/>
      <c r="AN132" s="182"/>
      <c r="AO132" s="145"/>
      <c r="AP132" s="97">
        <f ca="1">TblProd[[#This Row],[Platinum]]</f>
        <v>823086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45372.083333333023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1240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0.83333333333333337</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45372.124999999687</v>
      </c>
      <c r="AG133" s="182"/>
      <c r="AH133" s="182"/>
      <c r="AI133" s="182"/>
      <c r="AJ133" s="182"/>
      <c r="AK133" s="182"/>
      <c r="AL133" s="182"/>
      <c r="AM133" s="182"/>
      <c r="AN133" s="182"/>
      <c r="AO133" s="145"/>
      <c r="AP133" s="97">
        <f ca="1">TblProd[[#This Row],[Platinum]]</f>
        <v>828572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45372.124999999687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1240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0.83333333333333337</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45372.166666666351</v>
      </c>
      <c r="AG134" s="182"/>
      <c r="AH134" s="182"/>
      <c r="AI134" s="182"/>
      <c r="AJ134" s="182"/>
      <c r="AK134" s="182"/>
      <c r="AL134" s="182"/>
      <c r="AM134" s="182"/>
      <c r="AN134" s="182"/>
      <c r="AO134" s="145"/>
      <c r="AP134" s="97">
        <f ca="1">TblProd[[#This Row],[Platinum]]</f>
        <v>834058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45372.166666666351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1240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0.83333333333333337</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45372.208333333016</v>
      </c>
      <c r="AG135" s="182"/>
      <c r="AH135" s="182"/>
      <c r="AI135" s="182"/>
      <c r="AJ135" s="182"/>
      <c r="AK135" s="182"/>
      <c r="AL135" s="182"/>
      <c r="AM135" s="182"/>
      <c r="AN135" s="182"/>
      <c r="AO135" s="145"/>
      <c r="AP135" s="97">
        <f ca="1">TblProd[[#This Row],[Platinum]]</f>
        <v>839544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45372.208333333016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1240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0.83333333333333337</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45372.24999999968</v>
      </c>
      <c r="AG136" s="182"/>
      <c r="AH136" s="161"/>
      <c r="AI136" s="182"/>
      <c r="AJ136" s="161"/>
      <c r="AK136" s="161"/>
      <c r="AL136" s="161"/>
      <c r="AM136" s="161"/>
      <c r="AN136" s="182"/>
      <c r="AO136" s="145"/>
      <c r="AP136" s="97">
        <f ca="1">TblProd[[#This Row],[Platinum]]</f>
        <v>845030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45372.24999999968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1240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0.83333333333333337</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200</v>
      </c>
    </row>
    <row r="1269" spans="2:3" x14ac:dyDescent="0.2">
      <c r="B1269" s="496" t="s">
        <v>317</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8" priority="37" stopIfTrue="1">
      <formula>ROW()-2=#REF!</formula>
    </cfRule>
  </conditionalFormatting>
  <conditionalFormatting sqref="A1269:DF1270">
    <cfRule type="expression" dxfId="387" priority="38" stopIfTrue="1">
      <formula>$B$1270&gt;144</formula>
    </cfRule>
  </conditionalFormatting>
  <conditionalFormatting sqref="A4:DF136">
    <cfRule type="expression" dxfId="386" priority="1" stopIfTrue="1">
      <formula>ROW()-3=$B$1270</formula>
    </cfRule>
    <cfRule type="expression" dxfId="385" priority="2" stopIfTrue="1">
      <formula>OR(ROW()-3=$B$1270,A4&lt;0)</formula>
    </cfRule>
    <cfRule type="expression" dxfId="384" priority="35">
      <formula>$A4=73</formula>
    </cfRule>
  </conditionalFormatting>
  <conditionalFormatting sqref="A3:DF136">
    <cfRule type="expression" dxfId="383" priority="39">
      <formula>ROUND(($A3-1)/12,0)=INT($A3-1)/12</formula>
    </cfRule>
  </conditionalFormatting>
  <conditionalFormatting sqref="A1:XFD3">
    <cfRule type="expression" dxfId="38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1090</v>
      </c>
      <c r="U1" s="257"/>
      <c r="X1" s="28" t="s">
        <v>33</v>
      </c>
      <c r="AA1" s="28" t="s">
        <v>207</v>
      </c>
      <c r="AF1" s="28" t="s">
        <v>91</v>
      </c>
      <c r="AG1" s="28" t="s">
        <v>94</v>
      </c>
      <c r="AH1" s="28" t="s">
        <v>93</v>
      </c>
      <c r="AI1" s="28" t="s">
        <v>363</v>
      </c>
      <c r="AJ1" s="28" t="s">
        <v>92</v>
      </c>
      <c r="AK1" s="28" t="s">
        <v>103</v>
      </c>
      <c r="AL1" s="28" t="s">
        <v>331</v>
      </c>
      <c r="AM1" s="28" t="s">
        <v>345</v>
      </c>
      <c r="AN1" s="28" t="s">
        <v>501</v>
      </c>
    </row>
    <row r="2" spans="1:41" s="28" customFormat="1" x14ac:dyDescent="0.2">
      <c r="G2" s="28" t="s">
        <v>197</v>
      </c>
      <c r="L2" s="257" t="s">
        <v>538</v>
      </c>
      <c r="M2" s="284" t="s">
        <v>94</v>
      </c>
      <c r="N2" s="284" t="s">
        <v>93</v>
      </c>
      <c r="O2" s="503"/>
      <c r="P2" s="257" t="s">
        <v>92</v>
      </c>
      <c r="Q2" s="257" t="s">
        <v>103</v>
      </c>
      <c r="R2" s="257" t="s">
        <v>331</v>
      </c>
      <c r="S2" s="257" t="s">
        <v>345</v>
      </c>
      <c r="T2" s="257" t="s">
        <v>501</v>
      </c>
      <c r="U2" s="257" t="s">
        <v>90</v>
      </c>
      <c r="V2" s="257" t="s">
        <v>503</v>
      </c>
    </row>
    <row r="3" spans="1:41" s="286" customFormat="1" ht="29.25" customHeight="1" thickBot="1" x14ac:dyDescent="0.25">
      <c r="A3" s="138" t="s">
        <v>0</v>
      </c>
      <c r="B3" s="138" t="s">
        <v>1</v>
      </c>
      <c r="C3" s="138" t="s">
        <v>12</v>
      </c>
      <c r="D3" s="138" t="s">
        <v>196</v>
      </c>
      <c r="E3" s="138" t="s">
        <v>312</v>
      </c>
      <c r="F3" s="138" t="s">
        <v>326</v>
      </c>
      <c r="G3" s="138" t="s">
        <v>198</v>
      </c>
      <c r="H3" s="138" t="s">
        <v>199</v>
      </c>
      <c r="I3" s="138" t="s">
        <v>200</v>
      </c>
      <c r="J3" s="138" t="s">
        <v>201</v>
      </c>
      <c r="K3" s="431" t="s">
        <v>202</v>
      </c>
      <c r="L3" s="138" t="s">
        <v>265</v>
      </c>
      <c r="M3" s="285" t="s">
        <v>530</v>
      </c>
      <c r="N3" s="285" t="s">
        <v>264</v>
      </c>
      <c r="O3" s="138" t="s">
        <v>1091</v>
      </c>
      <c r="P3" s="138" t="s">
        <v>300</v>
      </c>
      <c r="Q3" s="138" t="s">
        <v>337</v>
      </c>
      <c r="R3" s="138" t="s">
        <v>1092</v>
      </c>
      <c r="S3" s="138" t="s">
        <v>343</v>
      </c>
      <c r="T3" s="138" t="s">
        <v>427</v>
      </c>
      <c r="U3" s="138" t="s">
        <v>1085</v>
      </c>
      <c r="V3" s="138" t="s">
        <v>504</v>
      </c>
      <c r="W3" s="138" t="s">
        <v>775</v>
      </c>
      <c r="X3" s="138" t="s">
        <v>923</v>
      </c>
      <c r="Y3" s="138" t="s">
        <v>924</v>
      </c>
      <c r="Z3" s="138" t="s">
        <v>776</v>
      </c>
      <c r="AA3" s="138" t="s">
        <v>925</v>
      </c>
      <c r="AB3" s="138" t="s">
        <v>926</v>
      </c>
      <c r="AC3" s="138" t="s">
        <v>927</v>
      </c>
      <c r="AD3" s="138" t="s">
        <v>928</v>
      </c>
      <c r="AE3" s="138" t="s">
        <v>929</v>
      </c>
      <c r="AF3" s="138" t="s">
        <v>932</v>
      </c>
      <c r="AG3" s="138" t="s">
        <v>933</v>
      </c>
      <c r="AH3" s="138" t="s">
        <v>934</v>
      </c>
      <c r="AI3" s="138" t="s">
        <v>930</v>
      </c>
      <c r="AJ3" s="138" t="s">
        <v>935</v>
      </c>
      <c r="AK3" s="138" t="s">
        <v>936</v>
      </c>
      <c r="AL3" s="138" t="s">
        <v>1101</v>
      </c>
      <c r="AM3" s="138" t="s">
        <v>937</v>
      </c>
      <c r="AN3" s="138" t="s">
        <v>931</v>
      </c>
      <c r="AO3" s="439" t="s">
        <v>1086</v>
      </c>
    </row>
    <row r="4" spans="1:41" x14ac:dyDescent="0.2">
      <c r="A4" s="140">
        <f>TblRezone[[#This Row],[Hour]]</f>
        <v>1</v>
      </c>
      <c r="B4" s="157">
        <f ca="1">TblConstr[[#This Row],[Land]]</f>
        <v>250</v>
      </c>
      <c r="C4" s="97">
        <f ca="1">TblProd[[#This Row],[Mana]]</f>
        <v>0</v>
      </c>
      <c r="D4" s="424">
        <f>1-TblMagic[[#This Row],[Wiz str cost]]</f>
        <v>1</v>
      </c>
      <c r="E4" s="162">
        <f>Imps!L4</f>
        <v>45366.75</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45366.791666666664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45366.833333333328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45366.874999999993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45366.916666666657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45366.958333333321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45366.999999999985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45367.04166666665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45367.083333333314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45367.124999999978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45367.166666666642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45367.208333333307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45367.249999999971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45367.291666666635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45367.333333333299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45367.374999999964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45367.416666666628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45367.458333333292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45367.499999999956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45367.541666666621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45367.583333333285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45367.624999999949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45367.666666666613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45367.708333333278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45367.749999999942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45367.791666666606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45367.83333333327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45367.874999999935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45367.916666666599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45367.958333333263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45367.999999999927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45368.041666666591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45368.083333333256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45368.12499999992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45368.166666666584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45368.208333333248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45368.249999999913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45368.291666666577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45368.333333333241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45368.374999999905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45368.41666666657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45368.458333333234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45368.499999999898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45368.541666666562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45368.583333333227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45368.624999999891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45368.666666666555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45368.708333333219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45368.749999999884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45368.791666666548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45368.833333333212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45368.874999999876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45368.916666666541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45368.958333333205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45368.999999999869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45369.041666666533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45369.083333333198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45369.124999999862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45369.166666666526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45369.20833333319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45369.249999999854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45369.291666666519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45369.333333333183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45369.374999999847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45369.416666666511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45369.458333333176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45369.49999999984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45369.541666666504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45369.583333333168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45369.624999999833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45369.666666666497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45369.708333333161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45369.749999999825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45369.79166666649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45369.833333333154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45369.874999999818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45369.916666666482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45369.958333333147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45369.999999999811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45370.041666666475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45370.083333333139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45370.124999999804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45370.166666666468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45370.208333333132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45370.249999999796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45370.291666666461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45370.333333333125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45370.374999999789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45370.416666666453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45370.458333333117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45370.499999999782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45370.541666666446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45370.58333333311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45370.624999999774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45370.666666666439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45370.708333333103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45370.749999999767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45370.791666666431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45370.833333333096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45370.87499999976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45370.916666666424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45370.958333333088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45370.999999999753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45371.041666666417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45371.083333333081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45371.124999999745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45371.16666666641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45371.208333333074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45371.249999999738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45371.291666666402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45371.333333333067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45371.374999999731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45371.416666666395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45371.458333333059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45371.499999999724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45371.541666666388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45371.583333333052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45371.624999999716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45371.66666666638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45371.708333333045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45371.749999999709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45371.791666666373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45371.833333333037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45371.874999999702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45371.916666666366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45371.95833333303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45371.999999999694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45372.041666666359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45372.083333333023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45372.124999999687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45372.166666666351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45372.208333333016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45372.24999999968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317</v>
      </c>
      <c r="D1269" s="449"/>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31"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1010</v>
      </c>
      <c r="F2" s="304">
        <f>IFERROR(SMALL(TblTech[Activate @ hour],1),0)</f>
        <v>0</v>
      </c>
      <c r="G2" s="45" t="s">
        <v>1073</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373</v>
      </c>
      <c r="D3" s="290" t="s">
        <v>33</v>
      </c>
      <c r="E3" s="290" t="s">
        <v>775</v>
      </c>
      <c r="F3" s="290" t="s">
        <v>1011</v>
      </c>
      <c r="G3" s="290" t="s">
        <v>938</v>
      </c>
      <c r="H3" s="290" t="s">
        <v>982</v>
      </c>
      <c r="I3" s="290" t="s">
        <v>983</v>
      </c>
      <c r="J3" s="290" t="s">
        <v>776</v>
      </c>
      <c r="K3" s="258" t="s">
        <v>777</v>
      </c>
      <c r="L3" s="290" t="s">
        <v>939</v>
      </c>
      <c r="M3" s="224" t="s">
        <v>539</v>
      </c>
      <c r="N3" s="224" t="s">
        <v>541</v>
      </c>
      <c r="O3" s="224" t="s">
        <v>542</v>
      </c>
      <c r="P3" s="224" t="s">
        <v>544</v>
      </c>
      <c r="Q3" s="224" t="s">
        <v>546</v>
      </c>
      <c r="R3" s="224" t="s">
        <v>547</v>
      </c>
      <c r="S3" s="224" t="s">
        <v>548</v>
      </c>
      <c r="T3" s="224" t="s">
        <v>549</v>
      </c>
      <c r="U3" s="224" t="s">
        <v>550</v>
      </c>
      <c r="V3" s="224" t="s">
        <v>552</v>
      </c>
      <c r="W3" s="224" t="s">
        <v>554</v>
      </c>
      <c r="X3" s="224" t="s">
        <v>555</v>
      </c>
      <c r="Y3" s="224" t="s">
        <v>556</v>
      </c>
      <c r="Z3" s="224" t="s">
        <v>557</v>
      </c>
      <c r="AA3" s="224" t="s">
        <v>559</v>
      </c>
      <c r="AB3" s="224" t="s">
        <v>560</v>
      </c>
      <c r="AC3" s="224" t="s">
        <v>561</v>
      </c>
      <c r="AD3" s="224" t="s">
        <v>563</v>
      </c>
      <c r="AE3" s="224" t="s">
        <v>565</v>
      </c>
      <c r="AF3" s="224" t="s">
        <v>566</v>
      </c>
      <c r="AG3" s="224" t="s">
        <v>567</v>
      </c>
      <c r="AH3" s="224" t="s">
        <v>569</v>
      </c>
      <c r="AI3" s="224" t="s">
        <v>571</v>
      </c>
      <c r="AJ3" s="224" t="s">
        <v>573</v>
      </c>
      <c r="AK3" s="224" t="s">
        <v>574</v>
      </c>
      <c r="AL3" s="224" t="s">
        <v>575</v>
      </c>
      <c r="AM3" s="224" t="s">
        <v>576</v>
      </c>
      <c r="AN3" s="224" t="s">
        <v>577</v>
      </c>
      <c r="AO3" s="224" t="s">
        <v>578</v>
      </c>
      <c r="AP3" s="224" t="s">
        <v>580</v>
      </c>
      <c r="AQ3" s="224" t="s">
        <v>582</v>
      </c>
      <c r="AR3" s="224" t="s">
        <v>583</v>
      </c>
      <c r="AS3" s="224" t="s">
        <v>584</v>
      </c>
      <c r="AT3" s="224" t="s">
        <v>585</v>
      </c>
      <c r="AU3" s="224" t="s">
        <v>586</v>
      </c>
      <c r="AV3" s="224" t="s">
        <v>587</v>
      </c>
      <c r="AW3" s="224" t="s">
        <v>589</v>
      </c>
      <c r="AX3" s="224" t="s">
        <v>590</v>
      </c>
      <c r="AY3" s="224" t="s">
        <v>591</v>
      </c>
      <c r="AZ3" s="224" t="s">
        <v>592</v>
      </c>
      <c r="BA3" s="224" t="s">
        <v>593</v>
      </c>
      <c r="BB3" s="224" t="s">
        <v>594</v>
      </c>
      <c r="BC3" s="224" t="s">
        <v>595</v>
      </c>
      <c r="BD3" s="224" t="s">
        <v>596</v>
      </c>
      <c r="BE3" s="224" t="s">
        <v>597</v>
      </c>
      <c r="BF3" s="224" t="s">
        <v>598</v>
      </c>
      <c r="BG3" s="224" t="s">
        <v>599</v>
      </c>
      <c r="BH3" s="224" t="s">
        <v>601</v>
      </c>
      <c r="BI3" s="224" t="s">
        <v>602</v>
      </c>
      <c r="BJ3" s="224" t="s">
        <v>604</v>
      </c>
      <c r="BK3" s="224" t="s">
        <v>605</v>
      </c>
      <c r="BL3" s="224" t="s">
        <v>606</v>
      </c>
      <c r="BM3" s="224" t="s">
        <v>608</v>
      </c>
      <c r="BN3" s="224" t="s">
        <v>610</v>
      </c>
      <c r="BO3" s="224" t="s">
        <v>611</v>
      </c>
      <c r="BP3" s="224" t="s">
        <v>612</v>
      </c>
      <c r="BQ3" s="224" t="s">
        <v>614</v>
      </c>
      <c r="BR3" s="224" t="s">
        <v>615</v>
      </c>
      <c r="BS3" s="224" t="s">
        <v>617</v>
      </c>
      <c r="BT3" s="224" t="s">
        <v>619</v>
      </c>
      <c r="BU3" s="224" t="s">
        <v>620</v>
      </c>
      <c r="BV3" s="224" t="s">
        <v>622</v>
      </c>
      <c r="BW3" s="224" t="s">
        <v>623</v>
      </c>
      <c r="BX3" s="224" t="s">
        <v>624</v>
      </c>
      <c r="BY3" s="224" t="s">
        <v>626</v>
      </c>
      <c r="BZ3" s="224" t="s">
        <v>627</v>
      </c>
      <c r="CA3" s="224" t="s">
        <v>682</v>
      </c>
    </row>
    <row r="4" spans="1:79" x14ac:dyDescent="0.2">
      <c r="A4" s="291">
        <f>TblRezone[[#This Row],[Hour]]</f>
        <v>1</v>
      </c>
      <c r="B4" s="292">
        <f ca="1">TblExplore[[#This Row],[Land-DB]]</f>
        <v>250</v>
      </c>
      <c r="C4" s="293">
        <f ca="1">TblProd[[#This Row],[Techpoints]]</f>
        <v>0</v>
      </c>
      <c r="D4" s="293">
        <f ca="1">TblProd[[#This Row],[Required]]</f>
        <v>3750</v>
      </c>
      <c r="E4" s="294"/>
      <c r="F4" s="295"/>
      <c r="G4" s="296" t="s">
        <v>539</v>
      </c>
      <c r="H4" s="297" t="s">
        <v>683</v>
      </c>
      <c r="I4" s="296" t="s">
        <v>540</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541</v>
      </c>
      <c r="H5" s="297" t="s">
        <v>684</v>
      </c>
      <c r="I5" s="296" t="s">
        <v>1111</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542</v>
      </c>
      <c r="H6" s="297" t="s">
        <v>685</v>
      </c>
      <c r="I6" s="296" t="s">
        <v>543</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544</v>
      </c>
      <c r="H7" s="297" t="s">
        <v>686</v>
      </c>
      <c r="I7" s="296" t="s">
        <v>545</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546</v>
      </c>
      <c r="H8" s="297" t="s">
        <v>687</v>
      </c>
      <c r="I8" s="296" t="s">
        <v>1108</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547</v>
      </c>
      <c r="H9" s="297" t="s">
        <v>698</v>
      </c>
      <c r="I9" s="296" t="s">
        <v>562</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548</v>
      </c>
      <c r="H10" s="297" t="s">
        <v>727</v>
      </c>
      <c r="I10" s="296" t="s">
        <v>742</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549</v>
      </c>
      <c r="H11" s="297" t="s">
        <v>690</v>
      </c>
      <c r="I11" s="296" t="s">
        <v>1057</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550</v>
      </c>
      <c r="H12" s="297" t="s">
        <v>709</v>
      </c>
      <c r="I12" s="296" t="s">
        <v>581</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552</v>
      </c>
      <c r="H13" s="297" t="s">
        <v>691</v>
      </c>
      <c r="I13" s="296" t="s">
        <v>551</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554</v>
      </c>
      <c r="H14" s="297" t="s">
        <v>1067</v>
      </c>
      <c r="I14" s="296" t="s">
        <v>743</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555</v>
      </c>
      <c r="H16" s="297" t="s">
        <v>693</v>
      </c>
      <c r="I16" s="296" t="s">
        <v>751</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556</v>
      </c>
      <c r="H17" s="297" t="s">
        <v>694</v>
      </c>
      <c r="I17" s="296" t="s">
        <v>752</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557</v>
      </c>
      <c r="H18" s="297" t="s">
        <v>695</v>
      </c>
      <c r="I18" s="296" t="s">
        <v>1104</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559</v>
      </c>
      <c r="H19" s="297" t="s">
        <v>696</v>
      </c>
      <c r="I19" s="296" t="s">
        <v>1110</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560</v>
      </c>
      <c r="H20" s="297" t="s">
        <v>697</v>
      </c>
      <c r="I20" s="296" t="s">
        <v>1058</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561</v>
      </c>
      <c r="H21" s="297" t="s">
        <v>689</v>
      </c>
      <c r="I21" s="296" t="s">
        <v>1106</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563</v>
      </c>
      <c r="H22" s="297" t="s">
        <v>716</v>
      </c>
      <c r="I22" s="296" t="s">
        <v>1059</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565</v>
      </c>
      <c r="H23" s="297" t="s">
        <v>700</v>
      </c>
      <c r="I23" s="296" t="s">
        <v>744</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566</v>
      </c>
      <c r="H24" s="297" t="s">
        <v>701</v>
      </c>
      <c r="I24" s="296" t="s">
        <v>745</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567</v>
      </c>
      <c r="H25" s="297" t="s">
        <v>702</v>
      </c>
      <c r="I25" s="296" t="s">
        <v>568</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569</v>
      </c>
      <c r="H27" s="297" t="s">
        <v>703</v>
      </c>
      <c r="I27" s="296" t="s">
        <v>570</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571</v>
      </c>
      <c r="H28" s="297" t="s">
        <v>704</v>
      </c>
      <c r="I28" s="296" t="s">
        <v>572</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573</v>
      </c>
      <c r="H29" s="297" t="s">
        <v>705</v>
      </c>
      <c r="I29" s="296" t="s">
        <v>1112</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574</v>
      </c>
      <c r="H30" s="297" t="s">
        <v>706</v>
      </c>
      <c r="I30" s="296" t="s">
        <v>1105</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575</v>
      </c>
      <c r="H31" s="297" t="s">
        <v>688</v>
      </c>
      <c r="I31" s="296" t="s">
        <v>1060</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576</v>
      </c>
      <c r="H32" s="297" t="s">
        <v>699</v>
      </c>
      <c r="I32" s="296" t="s">
        <v>564</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577</v>
      </c>
      <c r="H33" s="297" t="s">
        <v>707</v>
      </c>
      <c r="I33" s="296" t="s">
        <v>746</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578</v>
      </c>
      <c r="H34" s="297" t="s">
        <v>708</v>
      </c>
      <c r="I34" s="296" t="s">
        <v>579</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580</v>
      </c>
      <c r="H35" s="297" t="s">
        <v>692</v>
      </c>
      <c r="I35" s="296" t="s">
        <v>553</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582</v>
      </c>
      <c r="H37" s="297" t="s">
        <v>710</v>
      </c>
      <c r="I37" s="296" t="s">
        <v>760</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583</v>
      </c>
      <c r="H38" s="297" t="s">
        <v>711</v>
      </c>
      <c r="I38" s="296" t="s">
        <v>630</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584</v>
      </c>
      <c r="H39" s="297" t="s">
        <v>712</v>
      </c>
      <c r="I39" s="296" t="s">
        <v>1061</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585</v>
      </c>
      <c r="H40" s="297" t="s">
        <v>713</v>
      </c>
      <c r="I40" s="296" t="s">
        <v>1109</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586</v>
      </c>
      <c r="H41" s="297" t="s">
        <v>1066</v>
      </c>
      <c r="I41" s="296" t="s">
        <v>1062</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587</v>
      </c>
      <c r="H42" s="297" t="s">
        <v>715</v>
      </c>
      <c r="I42" s="296" t="s">
        <v>1104</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589</v>
      </c>
      <c r="H43" s="297" t="s">
        <v>1068</v>
      </c>
      <c r="I43" s="296" t="s">
        <v>747</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590</v>
      </c>
      <c r="H44" s="297" t="s">
        <v>714</v>
      </c>
      <c r="I44" s="296" t="s">
        <v>588</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591</v>
      </c>
      <c r="H46" s="297" t="s">
        <v>718</v>
      </c>
      <c r="I46" s="296" t="s">
        <v>1063</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592</v>
      </c>
      <c r="H47" s="297" t="s">
        <v>717</v>
      </c>
      <c r="I47" s="296" t="s">
        <v>1107</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593</v>
      </c>
      <c r="H48" s="297" t="s">
        <v>719</v>
      </c>
      <c r="I48" s="296" t="s">
        <v>1060</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594</v>
      </c>
      <c r="H49" s="297" t="s">
        <v>720</v>
      </c>
      <c r="I49" s="296" t="s">
        <v>631</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595</v>
      </c>
      <c r="H50" s="297" t="s">
        <v>721</v>
      </c>
      <c r="I50" s="296" t="s">
        <v>1060</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596</v>
      </c>
      <c r="H51" s="297" t="s">
        <v>395</v>
      </c>
      <c r="I51" s="296" t="s">
        <v>1064</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597</v>
      </c>
      <c r="H52" s="297" t="s">
        <v>723</v>
      </c>
      <c r="I52" s="296" t="s">
        <v>632</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598</v>
      </c>
      <c r="H54" s="297" t="s">
        <v>724</v>
      </c>
      <c r="I54" s="296" t="s">
        <v>564</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599</v>
      </c>
      <c r="H55" s="297" t="s">
        <v>725</v>
      </c>
      <c r="I55" s="296" t="s">
        <v>600</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601</v>
      </c>
      <c r="H56" s="297" t="s">
        <v>1069</v>
      </c>
      <c r="I56" s="296" t="s">
        <v>1113</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602</v>
      </c>
      <c r="H57" s="297" t="s">
        <v>726</v>
      </c>
      <c r="I57" s="296" t="s">
        <v>603</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604</v>
      </c>
      <c r="H58" s="297" t="s">
        <v>722</v>
      </c>
      <c r="I58" s="296" t="s">
        <v>1125</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605</v>
      </c>
      <c r="H59" s="297" t="s">
        <v>728</v>
      </c>
      <c r="I59" s="296" t="s">
        <v>748</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606</v>
      </c>
      <c r="H61" s="297" t="s">
        <v>729</v>
      </c>
      <c r="I61" s="296" t="s">
        <v>607</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608</v>
      </c>
      <c r="H62" s="297" t="s">
        <v>733</v>
      </c>
      <c r="I62" s="296" t="s">
        <v>1065</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610</v>
      </c>
      <c r="H63" s="297" t="s">
        <v>1070</v>
      </c>
      <c r="I63" s="296" t="s">
        <v>749</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611</v>
      </c>
      <c r="H64" s="297" t="s">
        <v>731</v>
      </c>
      <c r="I64" s="296" t="s">
        <v>633</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612</v>
      </c>
      <c r="H65" s="297" t="s">
        <v>732</v>
      </c>
      <c r="I65" s="296" t="s">
        <v>613</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614</v>
      </c>
      <c r="H67" s="297" t="s">
        <v>1071</v>
      </c>
      <c r="I67" s="296" t="s">
        <v>750</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615</v>
      </c>
      <c r="H68" s="297" t="s">
        <v>734</v>
      </c>
      <c r="I68" s="296" t="s">
        <v>616</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617</v>
      </c>
      <c r="H69" s="297" t="s">
        <v>735</v>
      </c>
      <c r="I69" s="296" t="s">
        <v>618</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619</v>
      </c>
      <c r="H70" s="297" t="s">
        <v>736</v>
      </c>
      <c r="I70" s="296" t="s">
        <v>761</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620</v>
      </c>
      <c r="H72" s="297" t="s">
        <v>737</v>
      </c>
      <c r="I72" s="296" t="s">
        <v>621</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622</v>
      </c>
      <c r="H73" s="297" t="s">
        <v>738</v>
      </c>
      <c r="I73" s="296" t="s">
        <v>558</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623</v>
      </c>
      <c r="H74" s="297" t="s">
        <v>739</v>
      </c>
      <c r="I74" s="296" t="s">
        <v>762</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624</v>
      </c>
      <c r="H76" s="297" t="s">
        <v>730</v>
      </c>
      <c r="I76" s="296" t="s">
        <v>609</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626</v>
      </c>
      <c r="H77" s="297" t="s">
        <v>740</v>
      </c>
      <c r="I77" s="296" t="s">
        <v>625</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627</v>
      </c>
      <c r="H79" s="297" t="s">
        <v>741</v>
      </c>
      <c r="I79" s="296" t="s">
        <v>628</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984</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283</v>
      </c>
      <c r="K1" s="28"/>
      <c r="O1" s="5" t="s">
        <v>217</v>
      </c>
      <c r="W1" s="5" t="s">
        <v>1012</v>
      </c>
      <c r="Y1" s="28" t="s">
        <v>37</v>
      </c>
      <c r="Z1" s="28"/>
      <c r="AA1" s="28"/>
      <c r="AB1" s="28"/>
      <c r="AC1" s="28"/>
      <c r="AD1" s="28"/>
      <c r="AF1" s="497" t="s">
        <v>211</v>
      </c>
      <c r="AG1" s="497"/>
      <c r="AH1" s="28"/>
      <c r="AI1" s="28"/>
      <c r="AJ1" s="28"/>
      <c r="AK1" s="28"/>
      <c r="AM1" s="497" t="s">
        <v>219</v>
      </c>
      <c r="AN1" s="497"/>
      <c r="AO1" s="28"/>
      <c r="AP1" s="28"/>
      <c r="AR1" s="497" t="s">
        <v>220</v>
      </c>
      <c r="AS1" s="497"/>
      <c r="AT1" s="498"/>
      <c r="AU1" s="28"/>
      <c r="AW1" s="497" t="s">
        <v>221</v>
      </c>
      <c r="AX1" s="497"/>
      <c r="AY1" s="497"/>
      <c r="AZ1" s="28"/>
      <c r="BB1" s="497" t="s">
        <v>222</v>
      </c>
      <c r="BC1" s="497"/>
      <c r="BD1" s="497"/>
      <c r="BE1" s="497"/>
      <c r="BG1" s="497" t="s">
        <v>223</v>
      </c>
      <c r="BH1" s="497"/>
      <c r="BI1" s="497"/>
      <c r="BJ1" s="28"/>
      <c r="BL1" s="497" t="s">
        <v>224</v>
      </c>
      <c r="BM1" s="498"/>
      <c r="BN1" s="498"/>
      <c r="BO1" s="28"/>
      <c r="BQ1" s="497" t="s">
        <v>225</v>
      </c>
      <c r="BR1" s="497"/>
      <c r="BS1" s="497"/>
      <c r="BT1" s="28"/>
      <c r="BV1" s="5" t="s">
        <v>309</v>
      </c>
    </row>
    <row r="2" spans="1:84" s="5" customFormat="1" x14ac:dyDescent="0.2">
      <c r="C2" s="28"/>
      <c r="D2" s="28"/>
      <c r="E2" s="28"/>
      <c r="F2" s="28"/>
      <c r="K2" s="28"/>
      <c r="Y2" s="289" t="s">
        <v>210</v>
      </c>
      <c r="Z2" s="289" t="s">
        <v>212</v>
      </c>
      <c r="AA2" s="289" t="s">
        <v>213</v>
      </c>
      <c r="AB2" s="289" t="s">
        <v>214</v>
      </c>
      <c r="AC2" s="289" t="s">
        <v>215</v>
      </c>
      <c r="AD2" s="289" t="s">
        <v>216</v>
      </c>
      <c r="AF2" s="289" t="s">
        <v>210</v>
      </c>
      <c r="AG2" s="289" t="s">
        <v>212</v>
      </c>
      <c r="AH2" s="289" t="s">
        <v>213</v>
      </c>
      <c r="AI2" s="289" t="s">
        <v>214</v>
      </c>
      <c r="AJ2" s="289" t="s">
        <v>215</v>
      </c>
      <c r="AK2" s="289" t="s">
        <v>216</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775</v>
      </c>
      <c r="C3" s="138" t="s">
        <v>2</v>
      </c>
      <c r="D3" s="138" t="s">
        <v>7</v>
      </c>
      <c r="E3" s="138" t="s">
        <v>3</v>
      </c>
      <c r="F3" s="138" t="s">
        <v>4</v>
      </c>
      <c r="G3" s="138" t="s">
        <v>776</v>
      </c>
      <c r="H3" s="138" t="s">
        <v>275</v>
      </c>
      <c r="I3" s="138" t="s">
        <v>226</v>
      </c>
      <c r="J3" s="138" t="s">
        <v>23</v>
      </c>
      <c r="K3" s="138" t="s">
        <v>0</v>
      </c>
      <c r="L3" s="138" t="s">
        <v>312</v>
      </c>
      <c r="M3" s="138" t="s">
        <v>308</v>
      </c>
      <c r="N3" s="138" t="s">
        <v>973</v>
      </c>
      <c r="O3" s="138" t="s">
        <v>315</v>
      </c>
      <c r="P3" s="138" t="s">
        <v>218</v>
      </c>
      <c r="Q3" s="138" t="s">
        <v>316</v>
      </c>
      <c r="R3" s="138" t="s">
        <v>974</v>
      </c>
      <c r="S3" s="138" t="s">
        <v>975</v>
      </c>
      <c r="T3" s="138" t="s">
        <v>976</v>
      </c>
      <c r="U3" s="138" t="s">
        <v>977</v>
      </c>
      <c r="V3" s="138" t="s">
        <v>978</v>
      </c>
      <c r="W3" s="138" t="s">
        <v>979</v>
      </c>
      <c r="X3" s="138" t="s">
        <v>777</v>
      </c>
      <c r="Y3" s="138" t="s">
        <v>210</v>
      </c>
      <c r="Z3" s="138" t="s">
        <v>212</v>
      </c>
      <c r="AA3" s="138" t="s">
        <v>213</v>
      </c>
      <c r="AB3" s="138" t="s">
        <v>214</v>
      </c>
      <c r="AC3" s="138" t="s">
        <v>215</v>
      </c>
      <c r="AD3" s="138" t="s">
        <v>216</v>
      </c>
      <c r="AE3" s="138" t="s">
        <v>792</v>
      </c>
      <c r="AF3" s="138" t="s">
        <v>1042</v>
      </c>
      <c r="AG3" s="138" t="s">
        <v>940</v>
      </c>
      <c r="AH3" s="138" t="s">
        <v>941</v>
      </c>
      <c r="AI3" s="138" t="s">
        <v>942</v>
      </c>
      <c r="AJ3" s="138" t="s">
        <v>943</v>
      </c>
      <c r="AK3" s="138" t="s">
        <v>944</v>
      </c>
      <c r="AL3" s="138" t="s">
        <v>793</v>
      </c>
      <c r="AM3" s="258" t="s">
        <v>945</v>
      </c>
      <c r="AN3" s="258" t="s">
        <v>946</v>
      </c>
      <c r="AO3" s="258" t="s">
        <v>947</v>
      </c>
      <c r="AP3" s="258" t="s">
        <v>948</v>
      </c>
      <c r="AQ3" s="258" t="s">
        <v>794</v>
      </c>
      <c r="AR3" s="258" t="s">
        <v>949</v>
      </c>
      <c r="AS3" s="258" t="s">
        <v>950</v>
      </c>
      <c r="AT3" s="258" t="s">
        <v>951</v>
      </c>
      <c r="AU3" s="258" t="s">
        <v>952</v>
      </c>
      <c r="AV3" s="258" t="s">
        <v>868</v>
      </c>
      <c r="AW3" s="258" t="s">
        <v>953</v>
      </c>
      <c r="AX3" s="258" t="s">
        <v>954</v>
      </c>
      <c r="AY3" s="258" t="s">
        <v>955</v>
      </c>
      <c r="AZ3" s="258" t="s">
        <v>956</v>
      </c>
      <c r="BA3" s="258" t="s">
        <v>869</v>
      </c>
      <c r="BB3" s="258" t="s">
        <v>957</v>
      </c>
      <c r="BC3" s="258" t="s">
        <v>958</v>
      </c>
      <c r="BD3" s="258" t="s">
        <v>959</v>
      </c>
      <c r="BE3" s="258" t="s">
        <v>960</v>
      </c>
      <c r="BF3" s="258" t="s">
        <v>1043</v>
      </c>
      <c r="BG3" s="258" t="s">
        <v>961</v>
      </c>
      <c r="BH3" s="258" t="s">
        <v>962</v>
      </c>
      <c r="BI3" s="258" t="s">
        <v>963</v>
      </c>
      <c r="BJ3" s="258" t="s">
        <v>964</v>
      </c>
      <c r="BK3" s="258" t="s">
        <v>1044</v>
      </c>
      <c r="BL3" s="258" t="s">
        <v>965</v>
      </c>
      <c r="BM3" s="258" t="s">
        <v>966</v>
      </c>
      <c r="BN3" s="258" t="s">
        <v>967</v>
      </c>
      <c r="BO3" s="258" t="s">
        <v>968</v>
      </c>
      <c r="BP3" s="258" t="s">
        <v>1045</v>
      </c>
      <c r="BQ3" s="258" t="s">
        <v>969</v>
      </c>
      <c r="BR3" s="258" t="s">
        <v>970</v>
      </c>
      <c r="BS3" s="258" t="s">
        <v>971</v>
      </c>
      <c r="BT3" s="258" t="s">
        <v>972</v>
      </c>
      <c r="BU3" s="138" t="s">
        <v>1046</v>
      </c>
      <c r="BV3" s="305" t="s">
        <v>310</v>
      </c>
      <c r="BW3" s="138" t="s">
        <v>980</v>
      </c>
      <c r="BX3" s="138" t="s">
        <v>1047</v>
      </c>
      <c r="BY3" s="138" t="s">
        <v>981</v>
      </c>
      <c r="BZ3" s="138" t="s">
        <v>311</v>
      </c>
    </row>
    <row r="4" spans="1:84" x14ac:dyDescent="0.2">
      <c r="A4" s="225">
        <f ca="1">TblConstr[[#This Row],[Land]]</f>
        <v>250</v>
      </c>
      <c r="B4" s="145"/>
      <c r="C4" s="97">
        <f ca="1">TblProd[[#This Row],[Platinum]]</f>
        <v>120000</v>
      </c>
      <c r="D4" s="97">
        <f ca="1">TblProd[[#This Row],[Lumber]]</f>
        <v>15000</v>
      </c>
      <c r="E4" s="97">
        <f ca="1">TblProd[[#This Row],[Ore]]</f>
        <v>0</v>
      </c>
      <c r="F4" s="97">
        <f>TblProd[[#This Row],[Gems]]</f>
        <v>0</v>
      </c>
      <c r="G4" s="157"/>
      <c r="H4" s="97">
        <f ca="1">TblMili[[#This Row],[Draftees]]</f>
        <v>100</v>
      </c>
      <c r="I4" s="183">
        <f ca="1">TblPop[[#This Row],[Employment]]</f>
        <v>1</v>
      </c>
      <c r="J4" s="183">
        <f ca="1">TblPop[[#This Row],[Total]]/TblPop[[#This Row],[Net max]]</f>
        <v>0.67854113655640369</v>
      </c>
      <c r="K4" s="306">
        <f>TblRezone[[#This Row],[Hour]]</f>
        <v>1</v>
      </c>
      <c r="L4" s="307">
        <f>TblImps[[#This Row],[Real time]]</f>
        <v>45366.75</v>
      </c>
      <c r="M4" s="62">
        <f>IF(ISERROR(TblImps[[#This Row],[algorithm]]),0,TblImps[[#This Row],[algorithm]]*1)</f>
        <v>0</v>
      </c>
      <c r="N4" s="97">
        <f ca="1">TblImps[[#This Row],[Land]]</f>
        <v>250</v>
      </c>
      <c r="O4" s="308" t="s">
        <v>4</v>
      </c>
      <c r="P4" s="309"/>
      <c r="Q4" s="308" t="s">
        <v>210</v>
      </c>
      <c r="R4" s="308" t="s">
        <v>7</v>
      </c>
      <c r="S4" s="309"/>
      <c r="T4" s="308" t="s">
        <v>210</v>
      </c>
      <c r="U4" s="308" t="s">
        <v>3</v>
      </c>
      <c r="V4" s="309"/>
      <c r="W4" s="308" t="s">
        <v>210</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45366.75</v>
      </c>
      <c r="BZ4" s="313">
        <f>Overview!B15</f>
        <v>45367</v>
      </c>
      <c r="CA4" s="57"/>
      <c r="CB4" s="314"/>
      <c r="CC4" s="315"/>
    </row>
    <row r="5" spans="1:84" x14ac:dyDescent="0.2">
      <c r="A5" s="225">
        <f ca="1">TblConstr[[#This Row],[Land]]</f>
        <v>250</v>
      </c>
      <c r="B5" s="145"/>
      <c r="C5" s="97">
        <f ca="1">TblProd[[#This Row],[Platinum]]</f>
        <v>124860</v>
      </c>
      <c r="D5" s="97">
        <f ca="1">TblProd[[#This Row],[Lumber]]</f>
        <v>15850</v>
      </c>
      <c r="E5" s="97">
        <f ca="1">TblProd[[#This Row],[Ore]]</f>
        <v>0</v>
      </c>
      <c r="F5" s="97">
        <f ca="1">TblProd[[#This Row],[Gems]]</f>
        <v>0</v>
      </c>
      <c r="G5" s="157"/>
      <c r="H5" s="97">
        <f ca="1">TblMili[[#This Row],[Draftees]]</f>
        <v>113</v>
      </c>
      <c r="I5" s="183">
        <f ca="1">TblPop[[#This Row],[Employment]]</f>
        <v>1</v>
      </c>
      <c r="J5" s="183">
        <f ca="1">TblPop[[#This Row],[Total]]/TblPop[[#This Row],[Net max]]</f>
        <v>0.69508057675996604</v>
      </c>
      <c r="K5" s="306">
        <f>TblRezone[[#This Row],[Hour]]</f>
        <v>2</v>
      </c>
      <c r="L5" s="307">
        <f ca="1">TblImps[[#This Row],[Real time]]</f>
        <v>45366.791666666664</v>
      </c>
      <c r="M5" s="62">
        <f>IF(ISERROR(TblImps[[#This Row],[algorithm]]),0,TblImps[[#This Row],[algorithm]]*1)</f>
        <v>0</v>
      </c>
      <c r="N5" s="97">
        <f ca="1">TblImps[[#This Row],[Land]]</f>
        <v>250</v>
      </c>
      <c r="O5" s="308" t="s">
        <v>4</v>
      </c>
      <c r="P5" s="309"/>
      <c r="Q5" s="308" t="s">
        <v>212</v>
      </c>
      <c r="R5" s="308" t="s">
        <v>7</v>
      </c>
      <c r="S5" s="309"/>
      <c r="T5" s="308" t="s">
        <v>212</v>
      </c>
      <c r="U5" s="308" t="s">
        <v>3</v>
      </c>
      <c r="V5" s="309"/>
      <c r="W5" s="308" t="s">
        <v>212</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45366.791666666664</v>
      </c>
      <c r="BZ5" s="317">
        <f ca="1">OFFSET(TblImps[[#This Row],[Servertime]],-1,0)+1/24</f>
        <v>45367.041666666664</v>
      </c>
      <c r="CA5" s="57"/>
      <c r="CB5" s="315"/>
      <c r="CC5" s="315"/>
    </row>
    <row r="6" spans="1:84" x14ac:dyDescent="0.2">
      <c r="A6" s="225">
        <f ca="1">TblConstr[[#This Row],[Land]]</f>
        <v>250</v>
      </c>
      <c r="B6" s="145"/>
      <c r="C6" s="97">
        <f ca="1">TblProd[[#This Row],[Platinum]]</f>
        <v>129790</v>
      </c>
      <c r="D6" s="97">
        <f ca="1">TblProd[[#This Row],[Lumber]]</f>
        <v>16692</v>
      </c>
      <c r="E6" s="97">
        <f ca="1">TblProd[[#This Row],[Ore]]</f>
        <v>0</v>
      </c>
      <c r="F6" s="97">
        <f ca="1">TblProd[[#This Row],[Gems]]</f>
        <v>0</v>
      </c>
      <c r="G6" s="157"/>
      <c r="H6" s="97">
        <f ca="1">TblMili[[#This Row],[Draftees]]</f>
        <v>126</v>
      </c>
      <c r="I6" s="183">
        <f ca="1">TblPop[[#This Row],[Employment]]</f>
        <v>1</v>
      </c>
      <c r="J6" s="183">
        <f ca="1">TblPop[[#This Row],[Total]]/TblPop[[#This Row],[Net max]]</f>
        <v>0.71162001696352839</v>
      </c>
      <c r="K6" s="306">
        <f>TblRezone[[#This Row],[Hour]]</f>
        <v>3</v>
      </c>
      <c r="L6" s="307">
        <f ca="1">TblImps[[#This Row],[Real time]]</f>
        <v>45366.833333333328</v>
      </c>
      <c r="M6" s="62">
        <f>IF(ISERROR(TblImps[[#This Row],[algorithm]]),0,TblImps[[#This Row],[algorithm]]*1)</f>
        <v>0</v>
      </c>
      <c r="N6" s="97">
        <f ca="1">TblImps[[#This Row],[Land]]</f>
        <v>250</v>
      </c>
      <c r="O6" s="308" t="s">
        <v>4</v>
      </c>
      <c r="P6" s="309"/>
      <c r="Q6" s="308" t="s">
        <v>212</v>
      </c>
      <c r="R6" s="308" t="s">
        <v>7</v>
      </c>
      <c r="S6" s="309"/>
      <c r="T6" s="308" t="s">
        <v>212</v>
      </c>
      <c r="U6" s="308" t="s">
        <v>3</v>
      </c>
      <c r="V6" s="309"/>
      <c r="W6" s="308" t="s">
        <v>212</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45366.833333333328</v>
      </c>
      <c r="BZ6" s="317">
        <f ca="1">OFFSET(TblImps[[#This Row],[Servertime]],-1,0)+1/24</f>
        <v>45367.083333333328</v>
      </c>
      <c r="CA6" s="57"/>
      <c r="CB6" s="315"/>
      <c r="CC6" s="315"/>
      <c r="CF6" s="318"/>
    </row>
    <row r="7" spans="1:84" x14ac:dyDescent="0.2">
      <c r="A7" s="225">
        <f ca="1">TblConstr[[#This Row],[Land]]</f>
        <v>250</v>
      </c>
      <c r="B7" s="145"/>
      <c r="C7" s="97">
        <f ca="1">TblProd[[#This Row],[Platinum]]</f>
        <v>134790</v>
      </c>
      <c r="D7" s="97">
        <f ca="1">TblProd[[#This Row],[Lumber]]</f>
        <v>17525</v>
      </c>
      <c r="E7" s="97">
        <f ca="1">TblProd[[#This Row],[Ore]]</f>
        <v>0</v>
      </c>
      <c r="F7" s="97">
        <f ca="1">TblProd[[#This Row],[Gems]]</f>
        <v>0</v>
      </c>
      <c r="G7" s="157"/>
      <c r="H7" s="97">
        <f ca="1">TblMili[[#This Row],[Draftees]]</f>
        <v>140</v>
      </c>
      <c r="I7" s="183">
        <f ca="1">TblPop[[#This Row],[Employment]]</f>
        <v>1</v>
      </c>
      <c r="J7" s="183">
        <f ca="1">TblPop[[#This Row],[Total]]/TblPop[[#This Row],[Net max]]</f>
        <v>0.72858354537743852</v>
      </c>
      <c r="K7" s="306">
        <f>TblRezone[[#This Row],[Hour]]</f>
        <v>4</v>
      </c>
      <c r="L7" s="307">
        <f ca="1">TblImps[[#This Row],[Real time]]</f>
        <v>45366.874999999993</v>
      </c>
      <c r="M7" s="62">
        <f>IF(ISERROR(TblImps[[#This Row],[algorithm]]),0,TblImps[[#This Row],[algorithm]]*1)</f>
        <v>0</v>
      </c>
      <c r="N7" s="97">
        <f ca="1">TblImps[[#This Row],[Land]]</f>
        <v>250</v>
      </c>
      <c r="O7" s="308" t="s">
        <v>4</v>
      </c>
      <c r="P7" s="309"/>
      <c r="Q7" s="308" t="s">
        <v>212</v>
      </c>
      <c r="R7" s="308" t="s">
        <v>7</v>
      </c>
      <c r="S7" s="309"/>
      <c r="T7" s="308" t="s">
        <v>212</v>
      </c>
      <c r="U7" s="308" t="s">
        <v>3</v>
      </c>
      <c r="V7" s="309"/>
      <c r="W7" s="308" t="s">
        <v>212</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45366.874999999993</v>
      </c>
      <c r="BZ7" s="317">
        <f ca="1">OFFSET(TblImps[[#This Row],[Servertime]],-1,0)+1/24</f>
        <v>45367.124999999993</v>
      </c>
      <c r="CA7" s="57"/>
      <c r="CB7" s="315"/>
      <c r="CC7" s="315"/>
      <c r="CF7" s="319"/>
    </row>
    <row r="8" spans="1:84" x14ac:dyDescent="0.2">
      <c r="A8" s="225">
        <f ca="1">TblConstr[[#This Row],[Land]]</f>
        <v>250</v>
      </c>
      <c r="B8" s="145"/>
      <c r="C8" s="97">
        <f ca="1">TblProd[[#This Row],[Platinum]]</f>
        <v>139860</v>
      </c>
      <c r="D8" s="97">
        <f ca="1">TblProd[[#This Row],[Lumber]]</f>
        <v>18350</v>
      </c>
      <c r="E8" s="97">
        <f ca="1">TblProd[[#This Row],[Ore]]</f>
        <v>0</v>
      </c>
      <c r="F8" s="97">
        <f ca="1">TblProd[[#This Row],[Gems]]</f>
        <v>0</v>
      </c>
      <c r="G8" s="157"/>
      <c r="H8" s="97">
        <f ca="1">TblMili[[#This Row],[Draftees]]</f>
        <v>154</v>
      </c>
      <c r="I8" s="183">
        <f ca="1">TblPop[[#This Row],[Employment]]</f>
        <v>1</v>
      </c>
      <c r="J8" s="183">
        <f ca="1">TblPop[[#This Row],[Total]]/TblPop[[#This Row],[Net max]]</f>
        <v>0.74597116200169633</v>
      </c>
      <c r="K8" s="306">
        <f>TblRezone[[#This Row],[Hour]]</f>
        <v>5</v>
      </c>
      <c r="L8" s="307">
        <f ca="1">TblImps[[#This Row],[Real time]]</f>
        <v>45366.916666666657</v>
      </c>
      <c r="M8" s="62">
        <f>IF(ISERROR(TblImps[[#This Row],[algorithm]]),0,TblImps[[#This Row],[algorithm]]*1)</f>
        <v>0</v>
      </c>
      <c r="N8" s="97">
        <f ca="1">TblImps[[#This Row],[Land]]</f>
        <v>250</v>
      </c>
      <c r="O8" s="308" t="s">
        <v>4</v>
      </c>
      <c r="P8" s="309"/>
      <c r="Q8" s="308" t="s">
        <v>212</v>
      </c>
      <c r="R8" s="308" t="s">
        <v>7</v>
      </c>
      <c r="S8" s="309"/>
      <c r="T8" s="308" t="s">
        <v>212</v>
      </c>
      <c r="U8" s="308" t="s">
        <v>3</v>
      </c>
      <c r="V8" s="309"/>
      <c r="W8" s="308" t="s">
        <v>212</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45366.916666666657</v>
      </c>
      <c r="BZ8" s="317">
        <f ca="1">OFFSET(TblImps[[#This Row],[Servertime]],-1,0)+1/24</f>
        <v>45367.166666666657</v>
      </c>
      <c r="CA8" s="57"/>
      <c r="CB8" s="315"/>
      <c r="CC8" s="315"/>
      <c r="CF8" s="318"/>
    </row>
    <row r="9" spans="1:84" x14ac:dyDescent="0.2">
      <c r="A9" s="225">
        <f ca="1">TblConstr[[#This Row],[Land]]</f>
        <v>250</v>
      </c>
      <c r="B9" s="145"/>
      <c r="C9" s="97">
        <f ca="1">TblProd[[#This Row],[Platinum]]</f>
        <v>145003</v>
      </c>
      <c r="D9" s="97">
        <f ca="1">TblProd[[#This Row],[Lumber]]</f>
        <v>19167</v>
      </c>
      <c r="E9" s="97">
        <f ca="1">TblProd[[#This Row],[Ore]]</f>
        <v>0</v>
      </c>
      <c r="F9" s="97">
        <f ca="1">TblProd[[#This Row],[Gems]]</f>
        <v>0</v>
      </c>
      <c r="G9" s="157"/>
      <c r="H9" s="97">
        <f ca="1">TblMili[[#This Row],[Draftees]]</f>
        <v>168</v>
      </c>
      <c r="I9" s="183">
        <f ca="1">TblPop[[#This Row],[Employment]]</f>
        <v>1</v>
      </c>
      <c r="J9" s="183">
        <f ca="1">TblPop[[#This Row],[Total]]/TblPop[[#This Row],[Net max]]</f>
        <v>0.76378286683630192</v>
      </c>
      <c r="K9" s="306">
        <f>TblRezone[[#This Row],[Hour]]</f>
        <v>6</v>
      </c>
      <c r="L9" s="307">
        <f ca="1">TblImps[[#This Row],[Real time]]</f>
        <v>45366.958333333321</v>
      </c>
      <c r="M9" s="62">
        <f>IF(ISERROR(TblImps[[#This Row],[algorithm]]),0,TblImps[[#This Row],[algorithm]]*1)</f>
        <v>0</v>
      </c>
      <c r="N9" s="97">
        <f ca="1">TblImps[[#This Row],[Land]]</f>
        <v>250</v>
      </c>
      <c r="O9" s="308" t="s">
        <v>4</v>
      </c>
      <c r="P9" s="309"/>
      <c r="Q9" s="308" t="s">
        <v>212</v>
      </c>
      <c r="R9" s="308" t="s">
        <v>7</v>
      </c>
      <c r="S9" s="309"/>
      <c r="T9" s="308" t="s">
        <v>212</v>
      </c>
      <c r="U9" s="308" t="s">
        <v>3</v>
      </c>
      <c r="V9" s="309"/>
      <c r="W9" s="308" t="s">
        <v>212</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45366.958333333321</v>
      </c>
      <c r="BZ9" s="317">
        <f ca="1">OFFSET(TblImps[[#This Row],[Servertime]],-1,0)+1/24</f>
        <v>45367.208333333321</v>
      </c>
      <c r="CA9" s="57"/>
      <c r="CB9" s="315"/>
      <c r="CC9" s="315"/>
      <c r="CF9" s="318"/>
    </row>
    <row r="10" spans="1:84" x14ac:dyDescent="0.2">
      <c r="A10" s="225">
        <f ca="1">TblConstr[[#This Row],[Land]]</f>
        <v>250</v>
      </c>
      <c r="B10" s="145"/>
      <c r="C10" s="97">
        <f ca="1">TblProd[[#This Row],[Platinum]]</f>
        <v>150222</v>
      </c>
      <c r="D10" s="97">
        <f ca="1">TblProd[[#This Row],[Lumber]]</f>
        <v>19975</v>
      </c>
      <c r="E10" s="97">
        <f ca="1">TblProd[[#This Row],[Ore]]</f>
        <v>0</v>
      </c>
      <c r="F10" s="97">
        <f ca="1">TblProd[[#This Row],[Gems]]</f>
        <v>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45366.999999999985</v>
      </c>
      <c r="M10" s="62">
        <f>IF(ISERROR(TblImps[[#This Row],[algorithm]]),0,TblImps[[#This Row],[algorithm]]*1)</f>
        <v>0</v>
      </c>
      <c r="N10" s="97">
        <f ca="1">TblImps[[#This Row],[Land]]</f>
        <v>250</v>
      </c>
      <c r="O10" s="308" t="s">
        <v>4</v>
      </c>
      <c r="P10" s="309"/>
      <c r="Q10" s="308" t="s">
        <v>212</v>
      </c>
      <c r="R10" s="308" t="s">
        <v>7</v>
      </c>
      <c r="S10" s="309"/>
      <c r="T10" s="308" t="s">
        <v>212</v>
      </c>
      <c r="U10" s="308" t="s">
        <v>3</v>
      </c>
      <c r="V10" s="309"/>
      <c r="W10" s="308" t="s">
        <v>212</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45366.999999999985</v>
      </c>
      <c r="BZ10" s="317">
        <f ca="1">OFFSET(TblImps[[#This Row],[Servertime]],-1,0)+1/24</f>
        <v>45367.249999999985</v>
      </c>
      <c r="CA10" s="57"/>
      <c r="CB10" s="315"/>
      <c r="CC10" s="315"/>
    </row>
    <row r="11" spans="1:84" x14ac:dyDescent="0.2">
      <c r="A11" s="225">
        <f ca="1">TblConstr[[#This Row],[Land]]</f>
        <v>250</v>
      </c>
      <c r="B11" s="145"/>
      <c r="C11" s="97">
        <f ca="1">TblProd[[#This Row],[Platinum]]</f>
        <v>155519</v>
      </c>
      <c r="D11" s="97">
        <f ca="1">TblProd[[#This Row],[Lumber]]</f>
        <v>20775</v>
      </c>
      <c r="E11" s="97">
        <f ca="1">TblProd[[#This Row],[Ore]]</f>
        <v>0</v>
      </c>
      <c r="F11" s="97">
        <f ca="1">TblProd[[#This Row],[Gems]]</f>
        <v>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45367.04166666665</v>
      </c>
      <c r="M11" s="62">
        <f>IF(ISERROR(TblImps[[#This Row],[algorithm]]),0,TblImps[[#This Row],[algorithm]]*1)</f>
        <v>0</v>
      </c>
      <c r="N11" s="97">
        <f ca="1">TblImps[[#This Row],[Land]]</f>
        <v>250</v>
      </c>
      <c r="O11" s="308" t="s">
        <v>4</v>
      </c>
      <c r="P11" s="309"/>
      <c r="Q11" s="308" t="s">
        <v>212</v>
      </c>
      <c r="R11" s="308" t="s">
        <v>7</v>
      </c>
      <c r="S11" s="309"/>
      <c r="T11" s="308" t="s">
        <v>212</v>
      </c>
      <c r="U11" s="308" t="s">
        <v>3</v>
      </c>
      <c r="V11" s="309"/>
      <c r="W11" s="308" t="s">
        <v>212</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45367.04166666665</v>
      </c>
      <c r="BZ11" s="317">
        <f ca="1">OFFSET(TblImps[[#This Row],[Servertime]],-1,0)+1/24</f>
        <v>45367.29166666665</v>
      </c>
      <c r="CA11" s="57"/>
      <c r="CB11" s="315"/>
      <c r="CC11" s="315"/>
    </row>
    <row r="12" spans="1:84" x14ac:dyDescent="0.2">
      <c r="A12" s="225">
        <f ca="1">TblConstr[[#This Row],[Land]]</f>
        <v>250</v>
      </c>
      <c r="B12" s="145"/>
      <c r="C12" s="97">
        <f ca="1">TblProd[[#This Row],[Platinum]]</f>
        <v>160892</v>
      </c>
      <c r="D12" s="97">
        <f ca="1">TblProd[[#This Row],[Lumber]]</f>
        <v>21567</v>
      </c>
      <c r="E12" s="97">
        <f ca="1">TblProd[[#This Row],[Ore]]</f>
        <v>0</v>
      </c>
      <c r="F12" s="97">
        <f ca="1">TblProd[[#This Row],[Gems]]</f>
        <v>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45367.083333333314</v>
      </c>
      <c r="M12" s="62">
        <f>IF(ISERROR(TblImps[[#This Row],[algorithm]]),0,TblImps[[#This Row],[algorithm]]*1)</f>
        <v>0</v>
      </c>
      <c r="N12" s="97">
        <f ca="1">TblImps[[#This Row],[Land]]</f>
        <v>250</v>
      </c>
      <c r="O12" s="308" t="s">
        <v>4</v>
      </c>
      <c r="P12" s="309"/>
      <c r="Q12" s="308" t="s">
        <v>212</v>
      </c>
      <c r="R12" s="308" t="s">
        <v>7</v>
      </c>
      <c r="S12" s="309"/>
      <c r="T12" s="308" t="s">
        <v>212</v>
      </c>
      <c r="U12" s="308" t="s">
        <v>3</v>
      </c>
      <c r="V12" s="309"/>
      <c r="W12" s="308" t="s">
        <v>212</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45367.083333333314</v>
      </c>
      <c r="BZ12" s="317">
        <f ca="1">OFFSET(TblImps[[#This Row],[Servertime]],-1,0)+1/24</f>
        <v>45367.333333333314</v>
      </c>
      <c r="CA12" s="57"/>
      <c r="CB12" s="315"/>
      <c r="CC12" s="315"/>
    </row>
    <row r="13" spans="1:84" x14ac:dyDescent="0.2">
      <c r="A13" s="225">
        <f ca="1">TblConstr[[#This Row],[Land]]</f>
        <v>250</v>
      </c>
      <c r="B13" s="145"/>
      <c r="C13" s="97">
        <f ca="1">TblProd[[#This Row],[Platinum]]</f>
        <v>166343</v>
      </c>
      <c r="D13" s="97">
        <f ca="1">TblProd[[#This Row],[Lumber]]</f>
        <v>22351</v>
      </c>
      <c r="E13" s="97">
        <f ca="1">TblProd[[#This Row],[Ore]]</f>
        <v>0</v>
      </c>
      <c r="F13" s="97">
        <f ca="1">TblProd[[#This Row],[Gems]]</f>
        <v>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45367.124999999978</v>
      </c>
      <c r="M13" s="62">
        <f>IF(ISERROR(TblImps[[#This Row],[algorithm]]),0,TblImps[[#This Row],[algorithm]]*1)</f>
        <v>0</v>
      </c>
      <c r="N13" s="97">
        <f ca="1">TblImps[[#This Row],[Land]]</f>
        <v>250</v>
      </c>
      <c r="O13" s="308" t="s">
        <v>4</v>
      </c>
      <c r="P13" s="309"/>
      <c r="Q13" s="308" t="s">
        <v>212</v>
      </c>
      <c r="R13" s="308" t="s">
        <v>7</v>
      </c>
      <c r="S13" s="309"/>
      <c r="T13" s="308" t="s">
        <v>212</v>
      </c>
      <c r="U13" s="308" t="s">
        <v>3</v>
      </c>
      <c r="V13" s="309"/>
      <c r="W13" s="308" t="s">
        <v>212</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45367.124999999978</v>
      </c>
      <c r="BZ13" s="317">
        <f ca="1">OFFSET(TblImps[[#This Row],[Servertime]],-1,0)+1/24</f>
        <v>45367.374999999978</v>
      </c>
      <c r="CA13" s="57"/>
      <c r="CB13" s="315"/>
      <c r="CC13" s="315"/>
    </row>
    <row r="14" spans="1:84" x14ac:dyDescent="0.2">
      <c r="A14" s="225">
        <f ca="1">TblConstr[[#This Row],[Land]]</f>
        <v>250</v>
      </c>
      <c r="B14" s="145"/>
      <c r="C14" s="97">
        <f ca="1">TblProd[[#This Row],[Platinum]]</f>
        <v>171875</v>
      </c>
      <c r="D14" s="97">
        <f ca="1">TblProd[[#This Row],[Lumber]]</f>
        <v>23127</v>
      </c>
      <c r="E14" s="97">
        <f ca="1">TblProd[[#This Row],[Ore]]</f>
        <v>0</v>
      </c>
      <c r="F14" s="97">
        <f ca="1">TblProd[[#This Row],[Gems]]</f>
        <v>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45367.166666666642</v>
      </c>
      <c r="M14" s="62">
        <f>IF(ISERROR(TblImps[[#This Row],[algorithm]]),0,TblImps[[#This Row],[algorithm]]*1)</f>
        <v>0</v>
      </c>
      <c r="N14" s="97">
        <f ca="1">TblImps[[#This Row],[Land]]</f>
        <v>250</v>
      </c>
      <c r="O14" s="308" t="s">
        <v>4</v>
      </c>
      <c r="P14" s="309"/>
      <c r="Q14" s="308" t="s">
        <v>212</v>
      </c>
      <c r="R14" s="308" t="s">
        <v>7</v>
      </c>
      <c r="S14" s="309"/>
      <c r="T14" s="308" t="s">
        <v>212</v>
      </c>
      <c r="U14" s="308" t="s">
        <v>3</v>
      </c>
      <c r="V14" s="309"/>
      <c r="W14" s="308" t="s">
        <v>212</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45367.166666666642</v>
      </c>
      <c r="BZ14" s="317">
        <f ca="1">OFFSET(TblImps[[#This Row],[Servertime]],-1,0)+1/24</f>
        <v>45367.416666666642</v>
      </c>
      <c r="CA14" s="57"/>
      <c r="CB14" s="315"/>
      <c r="CC14" s="315"/>
    </row>
    <row r="15" spans="1:84" x14ac:dyDescent="0.2">
      <c r="A15" s="225">
        <f ca="1">TblConstr[[#This Row],[Land]]</f>
        <v>250</v>
      </c>
      <c r="B15" s="145"/>
      <c r="C15" s="97">
        <f ca="1">TblProd[[#This Row],[Platinum]]</f>
        <v>177491</v>
      </c>
      <c r="D15" s="97">
        <f ca="1">TblProd[[#This Row],[Lumber]]</f>
        <v>23896</v>
      </c>
      <c r="E15" s="97">
        <f ca="1">TblProd[[#This Row],[Ore]]</f>
        <v>0</v>
      </c>
      <c r="F15" s="97">
        <f ca="1">TblProd[[#This Row],[Gems]]</f>
        <v>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45367.208333333307</v>
      </c>
      <c r="M15" s="62">
        <f>IF(ISERROR(TblImps[[#This Row],[algorithm]]),0,TblImps[[#This Row],[algorithm]]*1)</f>
        <v>0</v>
      </c>
      <c r="N15" s="97">
        <f ca="1">TblImps[[#This Row],[Land]]</f>
        <v>250</v>
      </c>
      <c r="O15" s="308" t="s">
        <v>4</v>
      </c>
      <c r="P15" s="309"/>
      <c r="Q15" s="308" t="s">
        <v>212</v>
      </c>
      <c r="R15" s="308" t="s">
        <v>7</v>
      </c>
      <c r="S15" s="309"/>
      <c r="T15" s="308" t="s">
        <v>212</v>
      </c>
      <c r="U15" s="308" t="s">
        <v>3</v>
      </c>
      <c r="V15" s="309"/>
      <c r="W15" s="308" t="s">
        <v>212</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45367.208333333307</v>
      </c>
      <c r="BZ15" s="317">
        <f ca="1">OFFSET(TblImps[[#This Row],[Servertime]],-1,0)+1/24</f>
        <v>45367.458333333307</v>
      </c>
      <c r="CA15" s="57"/>
      <c r="CB15" s="315"/>
      <c r="CC15" s="315"/>
    </row>
    <row r="16" spans="1:84" x14ac:dyDescent="0.2">
      <c r="A16" s="225">
        <f ca="1">TblConstr[[#This Row],[Land]]</f>
        <v>250</v>
      </c>
      <c r="B16" s="145"/>
      <c r="C16" s="97">
        <f ca="1">TblProd[[#This Row],[Platinum]]</f>
        <v>183161</v>
      </c>
      <c r="D16" s="97">
        <f ca="1">TblProd[[#This Row],[Lumber]]</f>
        <v>24657</v>
      </c>
      <c r="E16" s="97">
        <f ca="1">TblProd[[#This Row],[Ore]]</f>
        <v>0</v>
      </c>
      <c r="F16" s="97">
        <f ca="1">TblProd[[#This Row],[Gems]]</f>
        <v>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45367.249999999971</v>
      </c>
      <c r="M16" s="62">
        <f>IF(ISERROR(TblImps[[#This Row],[algorithm]]),0,TblImps[[#This Row],[algorithm]]*1)</f>
        <v>0</v>
      </c>
      <c r="N16" s="97">
        <f ca="1">TblImps[[#This Row],[Land]]</f>
        <v>250</v>
      </c>
      <c r="O16" s="308" t="s">
        <v>4</v>
      </c>
      <c r="P16" s="309"/>
      <c r="Q16" s="308" t="s">
        <v>212</v>
      </c>
      <c r="R16" s="308" t="s">
        <v>7</v>
      </c>
      <c r="S16" s="309"/>
      <c r="T16" s="308" t="s">
        <v>212</v>
      </c>
      <c r="U16" s="308" t="s">
        <v>3</v>
      </c>
      <c r="V16" s="309"/>
      <c r="W16" s="308" t="s">
        <v>212</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45367.249999999971</v>
      </c>
      <c r="BZ16" s="317">
        <f ca="1">OFFSET(TblImps[[#This Row],[Servertime]],-1,0)+1/24</f>
        <v>45367.499999999971</v>
      </c>
      <c r="CA16" s="57"/>
      <c r="CB16" s="315"/>
      <c r="CC16" s="315"/>
    </row>
    <row r="17" spans="1:84" x14ac:dyDescent="0.2">
      <c r="A17" s="225">
        <f ca="1">TblConstr[[#This Row],[Land]]</f>
        <v>250</v>
      </c>
      <c r="B17" s="145"/>
      <c r="C17" s="97">
        <f ca="1">TblProd[[#This Row],[Platinum]]</f>
        <v>188831</v>
      </c>
      <c r="D17" s="97">
        <f ca="1">TblProd[[#This Row],[Lumber]]</f>
        <v>25410</v>
      </c>
      <c r="E17" s="97">
        <f ca="1">TblProd[[#This Row],[Ore]]</f>
        <v>0</v>
      </c>
      <c r="F17" s="97">
        <f ca="1">TblProd[[#This Row],[Gems]]</f>
        <v>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45367.291666666635</v>
      </c>
      <c r="M17" s="62">
        <f>IF(ISERROR(TblImps[[#This Row],[algorithm]]),0,TblImps[[#This Row],[algorithm]]*1)</f>
        <v>0</v>
      </c>
      <c r="N17" s="97">
        <f ca="1">TblImps[[#This Row],[Land]]</f>
        <v>250</v>
      </c>
      <c r="O17" s="308" t="s">
        <v>4</v>
      </c>
      <c r="P17" s="309"/>
      <c r="Q17" s="308" t="s">
        <v>212</v>
      </c>
      <c r="R17" s="308" t="s">
        <v>7</v>
      </c>
      <c r="S17" s="309"/>
      <c r="T17" s="308" t="s">
        <v>212</v>
      </c>
      <c r="U17" s="308" t="s">
        <v>3</v>
      </c>
      <c r="V17" s="309"/>
      <c r="W17" s="308" t="s">
        <v>212</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45367.291666666635</v>
      </c>
      <c r="BZ17" s="317">
        <f ca="1">OFFSET(TblImps[[#This Row],[Servertime]],-1,0)+1/24</f>
        <v>45367.541666666635</v>
      </c>
      <c r="CA17" s="57"/>
      <c r="CB17" s="315"/>
      <c r="CC17" s="315"/>
      <c r="CD17" s="162"/>
    </row>
    <row r="18" spans="1:84" x14ac:dyDescent="0.2">
      <c r="A18" s="225">
        <f ca="1">TblConstr[[#This Row],[Land]]</f>
        <v>250</v>
      </c>
      <c r="B18" s="145"/>
      <c r="C18" s="97">
        <f ca="1">TblProd[[#This Row],[Platinum]]</f>
        <v>194501</v>
      </c>
      <c r="D18" s="97">
        <f ca="1">TblProd[[#This Row],[Lumber]]</f>
        <v>26156</v>
      </c>
      <c r="E18" s="97">
        <f ca="1">TblProd[[#This Row],[Ore]]</f>
        <v>0</v>
      </c>
      <c r="F18" s="97">
        <f ca="1">TblProd[[#This Row],[Gems]]</f>
        <v>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45367.333333333299</v>
      </c>
      <c r="M18" s="62">
        <f>IF(ISERROR(TblImps[[#This Row],[algorithm]]),0,TblImps[[#This Row],[algorithm]]*1)</f>
        <v>0</v>
      </c>
      <c r="N18" s="97">
        <f ca="1">TblImps[[#This Row],[Land]]</f>
        <v>250</v>
      </c>
      <c r="O18" s="308" t="s">
        <v>4</v>
      </c>
      <c r="P18" s="309"/>
      <c r="Q18" s="308" t="s">
        <v>212</v>
      </c>
      <c r="R18" s="308" t="s">
        <v>7</v>
      </c>
      <c r="S18" s="309"/>
      <c r="T18" s="308" t="s">
        <v>212</v>
      </c>
      <c r="U18" s="308" t="s">
        <v>3</v>
      </c>
      <c r="V18" s="309"/>
      <c r="W18" s="308" t="s">
        <v>212</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45367.333333333299</v>
      </c>
      <c r="BZ18" s="317">
        <f ca="1">OFFSET(TblImps[[#This Row],[Servertime]],-1,0)+1/24</f>
        <v>45367.583333333299</v>
      </c>
      <c r="CA18" s="320"/>
      <c r="CB18" s="315"/>
      <c r="CC18" s="315"/>
      <c r="CF18" s="318"/>
    </row>
    <row r="19" spans="1:84" x14ac:dyDescent="0.2">
      <c r="A19" s="225">
        <f ca="1">TblConstr[[#This Row],[Land]]</f>
        <v>250</v>
      </c>
      <c r="B19" s="145"/>
      <c r="C19" s="97">
        <f ca="1">TblProd[[#This Row],[Platinum]]</f>
        <v>200171</v>
      </c>
      <c r="D19" s="97">
        <f ca="1">TblProd[[#This Row],[Lumber]]</f>
        <v>26894</v>
      </c>
      <c r="E19" s="97">
        <f ca="1">TblProd[[#This Row],[Ore]]</f>
        <v>0</v>
      </c>
      <c r="F19" s="97">
        <f ca="1">TblProd[[#This Row],[Gems]]</f>
        <v>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45367.374999999964</v>
      </c>
      <c r="M19" s="62">
        <f>IF(ISERROR(TblImps[[#This Row],[algorithm]]),0,TblImps[[#This Row],[algorithm]]*1)</f>
        <v>0</v>
      </c>
      <c r="N19" s="97">
        <f ca="1">TblImps[[#This Row],[Land]]</f>
        <v>250</v>
      </c>
      <c r="O19" s="308" t="s">
        <v>4</v>
      </c>
      <c r="P19" s="309"/>
      <c r="Q19" s="308" t="s">
        <v>212</v>
      </c>
      <c r="R19" s="308" t="s">
        <v>7</v>
      </c>
      <c r="S19" s="309"/>
      <c r="T19" s="308" t="s">
        <v>212</v>
      </c>
      <c r="U19" s="308" t="s">
        <v>3</v>
      </c>
      <c r="V19" s="309"/>
      <c r="W19" s="308" t="s">
        <v>212</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45367.374999999964</v>
      </c>
      <c r="BZ19" s="317">
        <f ca="1">OFFSET(TblImps[[#This Row],[Servertime]],-1,0)+1/24</f>
        <v>45367.624999999964</v>
      </c>
      <c r="CA19" s="57"/>
      <c r="CB19" s="315"/>
      <c r="CC19" s="315"/>
      <c r="CF19" s="319"/>
    </row>
    <row r="20" spans="1:84" x14ac:dyDescent="0.2">
      <c r="A20" s="225">
        <f ca="1">TblConstr[[#This Row],[Land]]</f>
        <v>250</v>
      </c>
      <c r="B20" s="145"/>
      <c r="C20" s="97">
        <f ca="1">TblProd[[#This Row],[Platinum]]</f>
        <v>205841</v>
      </c>
      <c r="D20" s="97">
        <f ca="1">TblProd[[#This Row],[Lumber]]</f>
        <v>27625</v>
      </c>
      <c r="E20" s="97">
        <f ca="1">TblProd[[#This Row],[Ore]]</f>
        <v>0</v>
      </c>
      <c r="F20" s="97">
        <f ca="1">TblProd[[#This Row],[Gems]]</f>
        <v>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45367.416666666628</v>
      </c>
      <c r="M20" s="62">
        <f>IF(ISERROR(TblImps[[#This Row],[algorithm]]),0,TblImps[[#This Row],[algorithm]]*1)</f>
        <v>0</v>
      </c>
      <c r="N20" s="97">
        <f ca="1">TblImps[[#This Row],[Land]]</f>
        <v>250</v>
      </c>
      <c r="O20" s="308" t="s">
        <v>4</v>
      </c>
      <c r="P20" s="309"/>
      <c r="Q20" s="308" t="s">
        <v>212</v>
      </c>
      <c r="R20" s="308" t="s">
        <v>7</v>
      </c>
      <c r="S20" s="309"/>
      <c r="T20" s="308" t="s">
        <v>212</v>
      </c>
      <c r="U20" s="308" t="s">
        <v>3</v>
      </c>
      <c r="V20" s="309"/>
      <c r="W20" s="308" t="s">
        <v>212</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45367.416666666628</v>
      </c>
      <c r="BZ20" s="317">
        <f ca="1">OFFSET(TblImps[[#This Row],[Servertime]],-1,0)+1/24</f>
        <v>45367.666666666628</v>
      </c>
      <c r="CA20" s="57"/>
      <c r="CB20" s="315"/>
      <c r="CC20" s="315"/>
      <c r="CF20" s="318"/>
    </row>
    <row r="21" spans="1:84" x14ac:dyDescent="0.2">
      <c r="A21" s="225">
        <f ca="1">TblConstr[[#This Row],[Land]]</f>
        <v>250</v>
      </c>
      <c r="B21" s="145"/>
      <c r="C21" s="97">
        <f ca="1">TblProd[[#This Row],[Platinum]]</f>
        <v>211511</v>
      </c>
      <c r="D21" s="97">
        <f ca="1">TblProd[[#This Row],[Lumber]]</f>
        <v>28349</v>
      </c>
      <c r="E21" s="97">
        <f ca="1">TblProd[[#This Row],[Ore]]</f>
        <v>0</v>
      </c>
      <c r="F21" s="97">
        <f ca="1">TblProd[[#This Row],[Gems]]</f>
        <v>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45367.458333333292</v>
      </c>
      <c r="M21" s="62">
        <f>IF(ISERROR(TblImps[[#This Row],[algorithm]]),0,TblImps[[#This Row],[algorithm]]*1)</f>
        <v>0</v>
      </c>
      <c r="N21" s="97">
        <f ca="1">TblImps[[#This Row],[Land]]</f>
        <v>250</v>
      </c>
      <c r="O21" s="308" t="s">
        <v>4</v>
      </c>
      <c r="P21" s="309"/>
      <c r="Q21" s="308" t="s">
        <v>212</v>
      </c>
      <c r="R21" s="308" t="s">
        <v>7</v>
      </c>
      <c r="S21" s="309"/>
      <c r="T21" s="308" t="s">
        <v>212</v>
      </c>
      <c r="U21" s="308" t="s">
        <v>3</v>
      </c>
      <c r="V21" s="309"/>
      <c r="W21" s="308" t="s">
        <v>212</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45367.458333333292</v>
      </c>
      <c r="BZ21" s="317">
        <f ca="1">OFFSET(TblImps[[#This Row],[Servertime]],-1,0)+1/24</f>
        <v>45367.708333333292</v>
      </c>
      <c r="CA21" s="57"/>
      <c r="CB21" s="315"/>
      <c r="CC21" s="315"/>
      <c r="CF21" s="318"/>
    </row>
    <row r="22" spans="1:84" x14ac:dyDescent="0.2">
      <c r="A22" s="225">
        <f ca="1">TblConstr[[#This Row],[Land]]</f>
        <v>250</v>
      </c>
      <c r="B22" s="145"/>
      <c r="C22" s="97">
        <f ca="1">TblProd[[#This Row],[Platinum]]</f>
        <v>217181</v>
      </c>
      <c r="D22" s="97">
        <f ca="1">TblProd[[#This Row],[Lumber]]</f>
        <v>29066</v>
      </c>
      <c r="E22" s="97">
        <f ca="1">TblProd[[#This Row],[Ore]]</f>
        <v>0</v>
      </c>
      <c r="F22" s="97">
        <f ca="1">TblProd[[#This Row],[Gems]]</f>
        <v>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45367.499999999956</v>
      </c>
      <c r="M22" s="62">
        <f>IF(ISERROR(TblImps[[#This Row],[algorithm]]),0,TblImps[[#This Row],[algorithm]]*1)</f>
        <v>0</v>
      </c>
      <c r="N22" s="97">
        <f ca="1">TblImps[[#This Row],[Land]]</f>
        <v>250</v>
      </c>
      <c r="O22" s="308" t="s">
        <v>4</v>
      </c>
      <c r="P22" s="309"/>
      <c r="Q22" s="308" t="s">
        <v>212</v>
      </c>
      <c r="R22" s="308" t="s">
        <v>7</v>
      </c>
      <c r="S22" s="309"/>
      <c r="T22" s="308" t="s">
        <v>212</v>
      </c>
      <c r="U22" s="308" t="s">
        <v>3</v>
      </c>
      <c r="V22" s="309"/>
      <c r="W22" s="308" t="s">
        <v>212</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45367.499999999956</v>
      </c>
      <c r="BZ22" s="317">
        <f ca="1">OFFSET(TblImps[[#This Row],[Servertime]],-1,0)+1/24</f>
        <v>45367.749999999956</v>
      </c>
      <c r="CA22" s="57"/>
      <c r="CB22" s="315"/>
      <c r="CC22" s="315"/>
    </row>
    <row r="23" spans="1:84" x14ac:dyDescent="0.2">
      <c r="A23" s="225">
        <f ca="1">TblConstr[[#This Row],[Land]]</f>
        <v>250</v>
      </c>
      <c r="B23" s="145"/>
      <c r="C23" s="97">
        <f ca="1">TblProd[[#This Row],[Platinum]]</f>
        <v>222851</v>
      </c>
      <c r="D23" s="97">
        <f ca="1">TblProd[[#This Row],[Lumber]]</f>
        <v>29775</v>
      </c>
      <c r="E23" s="97">
        <f ca="1">TblProd[[#This Row],[Ore]]</f>
        <v>0</v>
      </c>
      <c r="F23" s="97">
        <f ca="1">TblProd[[#This Row],[Gems]]</f>
        <v>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45367.541666666621</v>
      </c>
      <c r="M23" s="62">
        <f>IF(ISERROR(TblImps[[#This Row],[algorithm]]),0,TblImps[[#This Row],[algorithm]]*1)</f>
        <v>0</v>
      </c>
      <c r="N23" s="97">
        <f ca="1">TblImps[[#This Row],[Land]]</f>
        <v>250</v>
      </c>
      <c r="O23" s="308" t="s">
        <v>4</v>
      </c>
      <c r="P23" s="309"/>
      <c r="Q23" s="308" t="s">
        <v>212</v>
      </c>
      <c r="R23" s="308" t="s">
        <v>7</v>
      </c>
      <c r="S23" s="309"/>
      <c r="T23" s="308" t="s">
        <v>212</v>
      </c>
      <c r="U23" s="308" t="s">
        <v>3</v>
      </c>
      <c r="V23" s="309"/>
      <c r="W23" s="308" t="s">
        <v>212</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45367.541666666621</v>
      </c>
      <c r="BZ23" s="317">
        <f ca="1">OFFSET(TblImps[[#This Row],[Servertime]],-1,0)+1/24</f>
        <v>45367.791666666621</v>
      </c>
      <c r="CA23" s="57"/>
      <c r="CB23" s="315"/>
      <c r="CC23" s="315"/>
    </row>
    <row r="24" spans="1:84" x14ac:dyDescent="0.2">
      <c r="A24" s="225">
        <f ca="1">TblConstr[[#This Row],[Land]]</f>
        <v>250</v>
      </c>
      <c r="B24" s="145"/>
      <c r="C24" s="97">
        <f ca="1">TblProd[[#This Row],[Platinum]]</f>
        <v>228521</v>
      </c>
      <c r="D24" s="97">
        <f ca="1">TblProd[[#This Row],[Lumber]]</f>
        <v>30477</v>
      </c>
      <c r="E24" s="97">
        <f ca="1">TblProd[[#This Row],[Ore]]</f>
        <v>0</v>
      </c>
      <c r="F24" s="97">
        <f ca="1">TblProd[[#This Row],[Gems]]</f>
        <v>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45367.583333333285</v>
      </c>
      <c r="M24" s="62">
        <f>IF(ISERROR(TblImps[[#This Row],[algorithm]]),0,TblImps[[#This Row],[algorithm]]*1)</f>
        <v>0</v>
      </c>
      <c r="N24" s="97">
        <f ca="1">TblImps[[#This Row],[Land]]</f>
        <v>250</v>
      </c>
      <c r="O24" s="308" t="s">
        <v>4</v>
      </c>
      <c r="P24" s="309"/>
      <c r="Q24" s="308" t="s">
        <v>212</v>
      </c>
      <c r="R24" s="308" t="s">
        <v>7</v>
      </c>
      <c r="S24" s="309"/>
      <c r="T24" s="308" t="s">
        <v>212</v>
      </c>
      <c r="U24" s="308" t="s">
        <v>3</v>
      </c>
      <c r="V24" s="309"/>
      <c r="W24" s="308" t="s">
        <v>212</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45367.583333333285</v>
      </c>
      <c r="BZ24" s="317">
        <f ca="1">OFFSET(TblImps[[#This Row],[Servertime]],-1,0)+1/24</f>
        <v>45367.833333333285</v>
      </c>
      <c r="CA24" s="57"/>
      <c r="CB24" s="315"/>
      <c r="CC24" s="315"/>
    </row>
    <row r="25" spans="1:84" x14ac:dyDescent="0.2">
      <c r="A25" s="225">
        <f ca="1">TblConstr[[#This Row],[Land]]</f>
        <v>250</v>
      </c>
      <c r="B25" s="145"/>
      <c r="C25" s="97">
        <f ca="1">TblProd[[#This Row],[Platinum]]</f>
        <v>234191</v>
      </c>
      <c r="D25" s="97">
        <f ca="1">TblProd[[#This Row],[Lumber]]</f>
        <v>31172</v>
      </c>
      <c r="E25" s="97">
        <f ca="1">TblProd[[#This Row],[Ore]]</f>
        <v>0</v>
      </c>
      <c r="F25" s="97">
        <f ca="1">TblProd[[#This Row],[Gems]]</f>
        <v>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45367.624999999949</v>
      </c>
      <c r="M25" s="62">
        <f>IF(ISERROR(TblImps[[#This Row],[algorithm]]),0,TblImps[[#This Row],[algorithm]]*1)</f>
        <v>0</v>
      </c>
      <c r="N25" s="97">
        <f ca="1">TblImps[[#This Row],[Land]]</f>
        <v>250</v>
      </c>
      <c r="O25" s="308" t="s">
        <v>4</v>
      </c>
      <c r="P25" s="309"/>
      <c r="Q25" s="308" t="s">
        <v>212</v>
      </c>
      <c r="R25" s="308" t="s">
        <v>7</v>
      </c>
      <c r="S25" s="309"/>
      <c r="T25" s="308" t="s">
        <v>212</v>
      </c>
      <c r="U25" s="308" t="s">
        <v>3</v>
      </c>
      <c r="V25" s="309"/>
      <c r="W25" s="308" t="s">
        <v>212</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45367.624999999949</v>
      </c>
      <c r="BZ25" s="317">
        <f ca="1">OFFSET(TblImps[[#This Row],[Servertime]],-1,0)+1/24</f>
        <v>45367.874999999949</v>
      </c>
      <c r="CA25" s="57"/>
      <c r="CB25" s="315"/>
      <c r="CC25" s="315"/>
    </row>
    <row r="26" spans="1:84" x14ac:dyDescent="0.2">
      <c r="A26" s="225">
        <f ca="1">TblConstr[[#This Row],[Land]]</f>
        <v>250</v>
      </c>
      <c r="B26" s="145"/>
      <c r="C26" s="97">
        <f ca="1">TblProd[[#This Row],[Platinum]]</f>
        <v>239861</v>
      </c>
      <c r="D26" s="97">
        <f ca="1">TblProd[[#This Row],[Lumber]]</f>
        <v>31860</v>
      </c>
      <c r="E26" s="97">
        <f ca="1">TblProd[[#This Row],[Ore]]</f>
        <v>0</v>
      </c>
      <c r="F26" s="97">
        <f ca="1">TblProd[[#This Row],[Gems]]</f>
        <v>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45367.666666666613</v>
      </c>
      <c r="M26" s="62">
        <f>IF(ISERROR(TblImps[[#This Row],[algorithm]]),0,TblImps[[#This Row],[algorithm]]*1)</f>
        <v>0</v>
      </c>
      <c r="N26" s="97">
        <f ca="1">TblImps[[#This Row],[Land]]</f>
        <v>250</v>
      </c>
      <c r="O26" s="308" t="s">
        <v>4</v>
      </c>
      <c r="P26" s="309"/>
      <c r="Q26" s="308" t="s">
        <v>212</v>
      </c>
      <c r="R26" s="308" t="s">
        <v>7</v>
      </c>
      <c r="S26" s="309"/>
      <c r="T26" s="308" t="s">
        <v>212</v>
      </c>
      <c r="U26" s="308" t="s">
        <v>3</v>
      </c>
      <c r="V26" s="309"/>
      <c r="W26" s="308" t="s">
        <v>212</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45367.666666666613</v>
      </c>
      <c r="BZ26" s="317">
        <f ca="1">OFFSET(TblImps[[#This Row],[Servertime]],-1,0)+1/24</f>
        <v>45367.916666666613</v>
      </c>
      <c r="CA26" s="57"/>
      <c r="CB26" s="315"/>
      <c r="CC26" s="315"/>
    </row>
    <row r="27" spans="1:84" x14ac:dyDescent="0.2">
      <c r="A27" s="225">
        <f ca="1">TblConstr[[#This Row],[Land]]</f>
        <v>250</v>
      </c>
      <c r="B27" s="145"/>
      <c r="C27" s="97">
        <f ca="1">TblProd[[#This Row],[Platinum]]</f>
        <v>245531</v>
      </c>
      <c r="D27" s="97">
        <f ca="1">TblProd[[#This Row],[Lumber]]</f>
        <v>32541</v>
      </c>
      <c r="E27" s="97">
        <f ca="1">TblProd[[#This Row],[Ore]]</f>
        <v>0</v>
      </c>
      <c r="F27" s="97">
        <f ca="1">TblProd[[#This Row],[Gems]]</f>
        <v>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45367.708333333278</v>
      </c>
      <c r="M27" s="62">
        <f>IF(ISERROR(TblImps[[#This Row],[algorithm]]),0,TblImps[[#This Row],[algorithm]]*1)</f>
        <v>0</v>
      </c>
      <c r="N27" s="97">
        <f ca="1">TblImps[[#This Row],[Land]]</f>
        <v>250</v>
      </c>
      <c r="O27" s="308" t="s">
        <v>4</v>
      </c>
      <c r="P27" s="309"/>
      <c r="Q27" s="308" t="s">
        <v>212</v>
      </c>
      <c r="R27" s="308" t="s">
        <v>7</v>
      </c>
      <c r="S27" s="309"/>
      <c r="T27" s="308" t="s">
        <v>212</v>
      </c>
      <c r="U27" s="308" t="s">
        <v>3</v>
      </c>
      <c r="V27" s="309"/>
      <c r="W27" s="308" t="s">
        <v>212</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45367.708333333278</v>
      </c>
      <c r="BZ27" s="317">
        <f ca="1">OFFSET(TblImps[[#This Row],[Servertime]],-1,0)+1/24</f>
        <v>45367.958333333278</v>
      </c>
      <c r="CA27" s="57"/>
      <c r="CB27" s="315"/>
      <c r="CC27" s="315"/>
    </row>
    <row r="28" spans="1:84" x14ac:dyDescent="0.2">
      <c r="A28" s="225">
        <f ca="1">TblConstr[[#This Row],[Land]]</f>
        <v>250</v>
      </c>
      <c r="B28" s="145"/>
      <c r="C28" s="97">
        <f ca="1">TblProd[[#This Row],[Platinum]]</f>
        <v>251201</v>
      </c>
      <c r="D28" s="97">
        <f ca="1">TblProd[[#This Row],[Lumber]]</f>
        <v>33216</v>
      </c>
      <c r="E28" s="97">
        <f ca="1">TblProd[[#This Row],[Ore]]</f>
        <v>0</v>
      </c>
      <c r="F28" s="97">
        <f ca="1">TblProd[[#This Row],[Gems]]</f>
        <v>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45367.749999999942</v>
      </c>
      <c r="M28" s="62">
        <f>IF(ISERROR(TblImps[[#This Row],[algorithm]]),0,TblImps[[#This Row],[algorithm]]*1)</f>
        <v>0</v>
      </c>
      <c r="N28" s="97">
        <f ca="1">TblImps[[#This Row],[Land]]</f>
        <v>250</v>
      </c>
      <c r="O28" s="308" t="s">
        <v>4</v>
      </c>
      <c r="P28" s="309"/>
      <c r="Q28" s="308" t="s">
        <v>212</v>
      </c>
      <c r="R28" s="308" t="s">
        <v>7</v>
      </c>
      <c r="S28" s="309"/>
      <c r="T28" s="308" t="s">
        <v>212</v>
      </c>
      <c r="U28" s="308" t="s">
        <v>3</v>
      </c>
      <c r="V28" s="309"/>
      <c r="W28" s="308" t="s">
        <v>212</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45367.749999999942</v>
      </c>
      <c r="BZ28" s="317">
        <f ca="1">OFFSET(TblImps[[#This Row],[Servertime]],-1,0)+1/24</f>
        <v>45367.999999999942</v>
      </c>
      <c r="CA28" s="57"/>
      <c r="CB28" s="315"/>
      <c r="CC28" s="315"/>
    </row>
    <row r="29" spans="1:84" x14ac:dyDescent="0.2">
      <c r="A29" s="225">
        <f ca="1">TblConstr[[#This Row],[Land]]</f>
        <v>250</v>
      </c>
      <c r="B29" s="145"/>
      <c r="C29" s="97">
        <f ca="1">TblProd[[#This Row],[Platinum]]</f>
        <v>256871</v>
      </c>
      <c r="D29" s="97">
        <f ca="1">TblProd[[#This Row],[Lumber]]</f>
        <v>33884</v>
      </c>
      <c r="E29" s="97">
        <f ca="1">TblProd[[#This Row],[Ore]]</f>
        <v>0</v>
      </c>
      <c r="F29" s="97">
        <f ca="1">TblProd[[#This Row],[Gems]]</f>
        <v>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45367.791666666606</v>
      </c>
      <c r="M29" s="62">
        <f>IF(ISERROR(TblImps[[#This Row],[algorithm]]),0,TblImps[[#This Row],[algorithm]]*1)</f>
        <v>0</v>
      </c>
      <c r="N29" s="97">
        <f ca="1">TblImps[[#This Row],[Land]]</f>
        <v>250</v>
      </c>
      <c r="O29" s="308" t="s">
        <v>4</v>
      </c>
      <c r="P29" s="309"/>
      <c r="Q29" s="308" t="s">
        <v>212</v>
      </c>
      <c r="R29" s="308" t="s">
        <v>7</v>
      </c>
      <c r="S29" s="309"/>
      <c r="T29" s="308" t="s">
        <v>212</v>
      </c>
      <c r="U29" s="308" t="s">
        <v>3</v>
      </c>
      <c r="V29" s="309"/>
      <c r="W29" s="308" t="s">
        <v>212</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45367.791666666606</v>
      </c>
      <c r="BZ29" s="317">
        <f ca="1">OFFSET(TblImps[[#This Row],[Servertime]],-1,0)+1/24</f>
        <v>45368.041666666606</v>
      </c>
      <c r="CA29" s="57"/>
      <c r="CB29" s="315"/>
      <c r="CC29" s="315"/>
    </row>
    <row r="30" spans="1:84" x14ac:dyDescent="0.2">
      <c r="A30" s="225">
        <f ca="1">TblConstr[[#This Row],[Land]]</f>
        <v>250</v>
      </c>
      <c r="B30" s="145"/>
      <c r="C30" s="97">
        <f ca="1">TblProd[[#This Row],[Platinum]]</f>
        <v>262541</v>
      </c>
      <c r="D30" s="97">
        <f ca="1">TblProd[[#This Row],[Lumber]]</f>
        <v>34545</v>
      </c>
      <c r="E30" s="97">
        <f ca="1">TblProd[[#This Row],[Ore]]</f>
        <v>0</v>
      </c>
      <c r="F30" s="97">
        <f ca="1">TblProd[[#This Row],[Gems]]</f>
        <v>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45367.83333333327</v>
      </c>
      <c r="M30" s="62">
        <f>IF(ISERROR(TblImps[[#This Row],[algorithm]]),0,TblImps[[#This Row],[algorithm]]*1)</f>
        <v>0</v>
      </c>
      <c r="N30" s="97">
        <f ca="1">TblImps[[#This Row],[Land]]</f>
        <v>250</v>
      </c>
      <c r="O30" s="308" t="s">
        <v>4</v>
      </c>
      <c r="P30" s="309"/>
      <c r="Q30" s="308" t="s">
        <v>212</v>
      </c>
      <c r="R30" s="308" t="s">
        <v>7</v>
      </c>
      <c r="S30" s="309"/>
      <c r="T30" s="308" t="s">
        <v>212</v>
      </c>
      <c r="U30" s="308" t="s">
        <v>3</v>
      </c>
      <c r="V30" s="309"/>
      <c r="W30" s="308" t="s">
        <v>212</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45367.83333333327</v>
      </c>
      <c r="BZ30" s="317">
        <f ca="1">OFFSET(TblImps[[#This Row],[Servertime]],-1,0)+1/24</f>
        <v>45368.08333333327</v>
      </c>
      <c r="CA30" s="57"/>
      <c r="CB30" s="315"/>
      <c r="CC30" s="315"/>
      <c r="CD30" s="45" t="s">
        <v>4</v>
      </c>
    </row>
    <row r="31" spans="1:84" x14ac:dyDescent="0.2">
      <c r="A31" s="225">
        <f ca="1">TblConstr[[#This Row],[Land]]</f>
        <v>250</v>
      </c>
      <c r="B31" s="145"/>
      <c r="C31" s="97">
        <f ca="1">TblProd[[#This Row],[Platinum]]</f>
        <v>268211</v>
      </c>
      <c r="D31" s="97">
        <f ca="1">TblProd[[#This Row],[Lumber]]</f>
        <v>35200</v>
      </c>
      <c r="E31" s="97">
        <f ca="1">TblProd[[#This Row],[Ore]]</f>
        <v>0</v>
      </c>
      <c r="F31" s="97">
        <f ca="1">TblProd[[#This Row],[Gems]]</f>
        <v>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45367.874999999935</v>
      </c>
      <c r="M31" s="62">
        <f>IF(ISERROR(TblImps[[#This Row],[algorithm]]),0,TblImps[[#This Row],[algorithm]]*1)</f>
        <v>0</v>
      </c>
      <c r="N31" s="97">
        <f ca="1">TblImps[[#This Row],[Land]]</f>
        <v>250</v>
      </c>
      <c r="O31" s="308" t="s">
        <v>4</v>
      </c>
      <c r="P31" s="309"/>
      <c r="Q31" s="308" t="s">
        <v>212</v>
      </c>
      <c r="R31" s="308" t="s">
        <v>7</v>
      </c>
      <c r="S31" s="309"/>
      <c r="T31" s="308" t="s">
        <v>212</v>
      </c>
      <c r="U31" s="308" t="s">
        <v>3</v>
      </c>
      <c r="V31" s="309"/>
      <c r="W31" s="308" t="s">
        <v>212</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45367.874999999935</v>
      </c>
      <c r="BZ31" s="317">
        <f ca="1">OFFSET(TblImps[[#This Row],[Servertime]],-1,0)+1/24</f>
        <v>45368.124999999935</v>
      </c>
      <c r="CA31" s="57"/>
      <c r="CB31" s="315"/>
      <c r="CC31" s="315"/>
      <c r="CD31" s="45" t="s">
        <v>7</v>
      </c>
    </row>
    <row r="32" spans="1:84" x14ac:dyDescent="0.2">
      <c r="A32" s="225">
        <f ca="1">TblConstr[[#This Row],[Land]]</f>
        <v>250</v>
      </c>
      <c r="B32" s="145"/>
      <c r="C32" s="97">
        <f ca="1">TblProd[[#This Row],[Platinum]]</f>
        <v>273881</v>
      </c>
      <c r="D32" s="97">
        <f ca="1">TblProd[[#This Row],[Lumber]]</f>
        <v>35848</v>
      </c>
      <c r="E32" s="97">
        <f ca="1">TblProd[[#This Row],[Ore]]</f>
        <v>0</v>
      </c>
      <c r="F32" s="97">
        <f ca="1">TblProd[[#This Row],[Gems]]</f>
        <v>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45367.916666666599</v>
      </c>
      <c r="M32" s="62">
        <f>IF(ISERROR(TblImps[[#This Row],[algorithm]]),0,TblImps[[#This Row],[algorithm]]*1)</f>
        <v>0</v>
      </c>
      <c r="N32" s="97">
        <f ca="1">TblImps[[#This Row],[Land]]</f>
        <v>250</v>
      </c>
      <c r="O32" s="308" t="s">
        <v>4</v>
      </c>
      <c r="P32" s="309"/>
      <c r="Q32" s="308" t="s">
        <v>212</v>
      </c>
      <c r="R32" s="308" t="s">
        <v>7</v>
      </c>
      <c r="S32" s="309"/>
      <c r="T32" s="308" t="s">
        <v>212</v>
      </c>
      <c r="U32" s="308" t="s">
        <v>3</v>
      </c>
      <c r="V32" s="309"/>
      <c r="W32" s="308" t="s">
        <v>212</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45367.916666666599</v>
      </c>
      <c r="BZ32" s="317">
        <f ca="1">OFFSET(TblImps[[#This Row],[Servertime]],-1,0)+1/24</f>
        <v>45368.166666666599</v>
      </c>
      <c r="CA32" s="57"/>
      <c r="CB32" s="315"/>
      <c r="CC32" s="315"/>
      <c r="CD32" s="45" t="s">
        <v>3</v>
      </c>
    </row>
    <row r="33" spans="1:82" x14ac:dyDescent="0.2">
      <c r="A33" s="225">
        <f ca="1">TblConstr[[#This Row],[Land]]</f>
        <v>250</v>
      </c>
      <c r="B33" s="145"/>
      <c r="C33" s="97">
        <f ca="1">TblProd[[#This Row],[Platinum]]</f>
        <v>279551</v>
      </c>
      <c r="D33" s="97">
        <f ca="1">TblProd[[#This Row],[Lumber]]</f>
        <v>36490</v>
      </c>
      <c r="E33" s="97">
        <f ca="1">TblProd[[#This Row],[Ore]]</f>
        <v>0</v>
      </c>
      <c r="F33" s="97">
        <f ca="1">TblProd[[#This Row],[Gems]]</f>
        <v>0</v>
      </c>
      <c r="G33" s="157"/>
      <c r="H33" s="97">
        <f ca="1">TblMili[[#This Row],[Draftees]]</f>
        <v>563</v>
      </c>
      <c r="I33" s="183">
        <f ca="1">TblPop[[#This Row],[Employment]]</f>
        <v>1</v>
      </c>
      <c r="J33" s="183">
        <f ca="1">TblPop[[#This Row],[Total]]/TblPop[[#This Row],[Net max]]</f>
        <v>1</v>
      </c>
      <c r="K33" s="306">
        <f>TblRezone[[#This Row],[Hour]]</f>
        <v>30</v>
      </c>
      <c r="L33" s="307">
        <f ca="1">TblImps[[#This Row],[Real time]]</f>
        <v>45367.958333333263</v>
      </c>
      <c r="M33" s="62">
        <f>IF(ISERROR(TblImps[[#This Row],[algorithm]]),0,TblImps[[#This Row],[algorithm]]*1)</f>
        <v>0</v>
      </c>
      <c r="N33" s="97">
        <f ca="1">TblImps[[#This Row],[Land]]</f>
        <v>250</v>
      </c>
      <c r="O33" s="308" t="s">
        <v>4</v>
      </c>
      <c r="P33" s="309"/>
      <c r="Q33" s="308" t="s">
        <v>212</v>
      </c>
      <c r="R33" s="308" t="s">
        <v>7</v>
      </c>
      <c r="S33" s="309"/>
      <c r="T33" s="308" t="s">
        <v>212</v>
      </c>
      <c r="U33" s="308" t="s">
        <v>3</v>
      </c>
      <c r="V33" s="309"/>
      <c r="W33" s="308" t="s">
        <v>212</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45367.958333333263</v>
      </c>
      <c r="BZ33" s="317">
        <f ca="1">OFFSET(TblImps[[#This Row],[Servertime]],-1,0)+1/24</f>
        <v>45368.208333333263</v>
      </c>
      <c r="CA33" s="57"/>
      <c r="CB33" s="315"/>
      <c r="CC33" s="315"/>
      <c r="CD33" s="45" t="s">
        <v>2</v>
      </c>
    </row>
    <row r="34" spans="1:82" x14ac:dyDescent="0.2">
      <c r="A34" s="225">
        <f ca="1">TblConstr[[#This Row],[Land]]</f>
        <v>250</v>
      </c>
      <c r="B34" s="145"/>
      <c r="C34" s="97">
        <f ca="1">TblProd[[#This Row],[Platinum]]</f>
        <v>285207</v>
      </c>
      <c r="D34" s="97">
        <f ca="1">TblProd[[#This Row],[Lumber]]</f>
        <v>37125</v>
      </c>
      <c r="E34" s="97">
        <f ca="1">TblProd[[#This Row],[Ore]]</f>
        <v>0</v>
      </c>
      <c r="F34" s="97">
        <f ca="1">TblProd[[#This Row],[Gems]]</f>
        <v>0</v>
      </c>
      <c r="G34" s="157"/>
      <c r="H34" s="97">
        <f ca="1">TblMili[[#This Row],[Draftees]]</f>
        <v>579</v>
      </c>
      <c r="I34" s="183">
        <f ca="1">TblPop[[#This Row],[Employment]]</f>
        <v>1</v>
      </c>
      <c r="J34" s="183">
        <f ca="1">TblPop[[#This Row],[Total]]/TblPop[[#This Row],[Net max]]</f>
        <v>1</v>
      </c>
      <c r="K34" s="306">
        <f>TblRezone[[#This Row],[Hour]]</f>
        <v>31</v>
      </c>
      <c r="L34" s="307">
        <f ca="1">TblImps[[#This Row],[Real time]]</f>
        <v>45367.999999999927</v>
      </c>
      <c r="M34" s="62">
        <f>IF(ISERROR(TblImps[[#This Row],[algorithm]]),0,TblImps[[#This Row],[algorithm]]*1)</f>
        <v>0</v>
      </c>
      <c r="N34" s="97">
        <f ca="1">TblImps[[#This Row],[Land]]</f>
        <v>250</v>
      </c>
      <c r="O34" s="308" t="s">
        <v>4</v>
      </c>
      <c r="P34" s="309"/>
      <c r="Q34" s="308" t="s">
        <v>212</v>
      </c>
      <c r="R34" s="308" t="s">
        <v>7</v>
      </c>
      <c r="S34" s="309"/>
      <c r="T34" s="308" t="s">
        <v>212</v>
      </c>
      <c r="U34" s="308" t="s">
        <v>3</v>
      </c>
      <c r="V34" s="309"/>
      <c r="W34" s="308" t="s">
        <v>212</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45367.999999999927</v>
      </c>
      <c r="BZ34" s="317">
        <f ca="1">OFFSET(TblImps[[#This Row],[Servertime]],-1,0)+1/24</f>
        <v>45368.249999999927</v>
      </c>
      <c r="CA34" s="57"/>
      <c r="CB34" s="315"/>
      <c r="CC34" s="315"/>
    </row>
    <row r="35" spans="1:82" x14ac:dyDescent="0.2">
      <c r="A35" s="225">
        <f ca="1">TblConstr[[#This Row],[Land]]</f>
        <v>250</v>
      </c>
      <c r="B35" s="145"/>
      <c r="C35" s="97">
        <f ca="1">TblProd[[#This Row],[Platinum]]</f>
        <v>290820</v>
      </c>
      <c r="D35" s="97">
        <f ca="1">TblProd[[#This Row],[Lumber]]</f>
        <v>37754</v>
      </c>
      <c r="E35" s="97">
        <f ca="1">TblProd[[#This Row],[Ore]]</f>
        <v>0</v>
      </c>
      <c r="F35" s="97">
        <f ca="1">TblProd[[#This Row],[Gems]]</f>
        <v>0</v>
      </c>
      <c r="G35" s="157"/>
      <c r="H35" s="97">
        <f ca="1">TblMili[[#This Row],[Draftees]]</f>
        <v>595</v>
      </c>
      <c r="I35" s="183">
        <f ca="1">TblPop[[#This Row],[Employment]]</f>
        <v>1</v>
      </c>
      <c r="J35" s="183">
        <f ca="1">TblPop[[#This Row],[Total]]/TblPop[[#This Row],[Net max]]</f>
        <v>1</v>
      </c>
      <c r="K35" s="306">
        <f>TblRezone[[#This Row],[Hour]]</f>
        <v>32</v>
      </c>
      <c r="L35" s="307">
        <f ca="1">TblImps[[#This Row],[Real time]]</f>
        <v>45368.041666666591</v>
      </c>
      <c r="M35" s="62">
        <f>IF(ISERROR(TblImps[[#This Row],[algorithm]]),0,TblImps[[#This Row],[algorithm]]*1)</f>
        <v>0</v>
      </c>
      <c r="N35" s="97">
        <f ca="1">TblImps[[#This Row],[Land]]</f>
        <v>250</v>
      </c>
      <c r="O35" s="308" t="s">
        <v>4</v>
      </c>
      <c r="P35" s="309"/>
      <c r="Q35" s="308" t="s">
        <v>212</v>
      </c>
      <c r="R35" s="308" t="s">
        <v>7</v>
      </c>
      <c r="S35" s="309"/>
      <c r="T35" s="308" t="s">
        <v>212</v>
      </c>
      <c r="U35" s="308" t="s">
        <v>3</v>
      </c>
      <c r="V35" s="309"/>
      <c r="W35" s="308" t="s">
        <v>212</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45368.041666666591</v>
      </c>
      <c r="BZ35" s="317">
        <f ca="1">OFFSET(TblImps[[#This Row],[Servertime]],-1,0)+1/24</f>
        <v>45368.291666666591</v>
      </c>
      <c r="CA35" s="57"/>
      <c r="CB35" s="315"/>
      <c r="CC35" s="315"/>
      <c r="CD35" s="45" t="s">
        <v>210</v>
      </c>
    </row>
    <row r="36" spans="1:82" x14ac:dyDescent="0.2">
      <c r="A36" s="225">
        <f ca="1">TblConstr[[#This Row],[Land]]</f>
        <v>250</v>
      </c>
      <c r="B36" s="145"/>
      <c r="C36" s="97">
        <f ca="1">TblProd[[#This Row],[Platinum]]</f>
        <v>296390</v>
      </c>
      <c r="D36" s="97">
        <f ca="1">TblProd[[#This Row],[Lumber]]</f>
        <v>38376</v>
      </c>
      <c r="E36" s="97">
        <f ca="1">TblProd[[#This Row],[Ore]]</f>
        <v>0</v>
      </c>
      <c r="F36" s="97">
        <f ca="1">TblProd[[#This Row],[Gems]]</f>
        <v>0</v>
      </c>
      <c r="G36" s="157"/>
      <c r="H36" s="97">
        <f ca="1">TblMili[[#This Row],[Draftees]]</f>
        <v>611</v>
      </c>
      <c r="I36" s="183">
        <f ca="1">TblPop[[#This Row],[Employment]]</f>
        <v>1</v>
      </c>
      <c r="J36" s="183">
        <f ca="1">TblPop[[#This Row],[Total]]/TblPop[[#This Row],[Net max]]</f>
        <v>1</v>
      </c>
      <c r="K36" s="306">
        <f>TblRezone[[#This Row],[Hour]]</f>
        <v>33</v>
      </c>
      <c r="L36" s="307">
        <f ca="1">TblImps[[#This Row],[Real time]]</f>
        <v>45368.083333333256</v>
      </c>
      <c r="M36" s="62">
        <f>IF(ISERROR(TblImps[[#This Row],[algorithm]]),0,TblImps[[#This Row],[algorithm]]*1)</f>
        <v>0</v>
      </c>
      <c r="N36" s="97">
        <f ca="1">TblImps[[#This Row],[Land]]</f>
        <v>250</v>
      </c>
      <c r="O36" s="308" t="s">
        <v>4</v>
      </c>
      <c r="P36" s="309"/>
      <c r="Q36" s="308" t="s">
        <v>212</v>
      </c>
      <c r="R36" s="308" t="s">
        <v>7</v>
      </c>
      <c r="S36" s="309"/>
      <c r="T36" s="308" t="s">
        <v>212</v>
      </c>
      <c r="U36" s="308" t="s">
        <v>3</v>
      </c>
      <c r="V36" s="309"/>
      <c r="W36" s="308" t="s">
        <v>212</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45368.083333333256</v>
      </c>
      <c r="BZ36" s="317">
        <f ca="1">OFFSET(TblImps[[#This Row],[Servertime]],-1,0)+1/24</f>
        <v>45368.333333333256</v>
      </c>
      <c r="CA36" s="57"/>
      <c r="CB36" s="315"/>
      <c r="CC36" s="315"/>
      <c r="CD36" s="45" t="s">
        <v>212</v>
      </c>
    </row>
    <row r="37" spans="1:82" x14ac:dyDescent="0.2">
      <c r="A37" s="225">
        <f ca="1">TblConstr[[#This Row],[Land]]</f>
        <v>250</v>
      </c>
      <c r="B37" s="145"/>
      <c r="C37" s="97">
        <f ca="1">TblProd[[#This Row],[Platinum]]</f>
        <v>301916</v>
      </c>
      <c r="D37" s="97">
        <f ca="1">TblProd[[#This Row],[Lumber]]</f>
        <v>38992</v>
      </c>
      <c r="E37" s="97">
        <f ca="1">TblProd[[#This Row],[Ore]]</f>
        <v>0</v>
      </c>
      <c r="F37" s="97">
        <f ca="1">TblProd[[#This Row],[Gems]]</f>
        <v>0</v>
      </c>
      <c r="G37" s="157"/>
      <c r="H37" s="97">
        <f ca="1">TblMili[[#This Row],[Draftees]]</f>
        <v>626</v>
      </c>
      <c r="I37" s="183">
        <f ca="1">TblPop[[#This Row],[Employment]]</f>
        <v>1</v>
      </c>
      <c r="J37" s="183">
        <f ca="1">TblPop[[#This Row],[Total]]/TblPop[[#This Row],[Net max]]</f>
        <v>1</v>
      </c>
      <c r="K37" s="306">
        <f>TblRezone[[#This Row],[Hour]]</f>
        <v>34</v>
      </c>
      <c r="L37" s="307">
        <f ca="1">TblImps[[#This Row],[Real time]]</f>
        <v>45368.12499999992</v>
      </c>
      <c r="M37" s="62">
        <f>IF(ISERROR(TblImps[[#This Row],[algorithm]]),0,TblImps[[#This Row],[algorithm]]*1)</f>
        <v>0</v>
      </c>
      <c r="N37" s="97">
        <f ca="1">TblImps[[#This Row],[Land]]</f>
        <v>250</v>
      </c>
      <c r="O37" s="308" t="s">
        <v>4</v>
      </c>
      <c r="P37" s="309"/>
      <c r="Q37" s="308" t="s">
        <v>212</v>
      </c>
      <c r="R37" s="308" t="s">
        <v>7</v>
      </c>
      <c r="S37" s="309"/>
      <c r="T37" s="308" t="s">
        <v>212</v>
      </c>
      <c r="U37" s="308" t="s">
        <v>3</v>
      </c>
      <c r="V37" s="309"/>
      <c r="W37" s="308" t="s">
        <v>212</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45368.12499999992</v>
      </c>
      <c r="BZ37" s="317">
        <f ca="1">OFFSET(TblImps[[#This Row],[Servertime]],-1,0)+1/24</f>
        <v>45368.37499999992</v>
      </c>
      <c r="CA37" s="57"/>
      <c r="CB37" s="315"/>
      <c r="CC37" s="315"/>
      <c r="CD37" s="45" t="s">
        <v>213</v>
      </c>
    </row>
    <row r="38" spans="1:82" x14ac:dyDescent="0.2">
      <c r="A38" s="225">
        <f ca="1">TblConstr[[#This Row],[Land]]</f>
        <v>250</v>
      </c>
      <c r="B38" s="145"/>
      <c r="C38" s="97">
        <f ca="1">TblProd[[#This Row],[Platinum]]</f>
        <v>307402</v>
      </c>
      <c r="D38" s="97">
        <f ca="1">TblProd[[#This Row],[Lumber]]</f>
        <v>39602</v>
      </c>
      <c r="E38" s="97">
        <f ca="1">TblProd[[#This Row],[Ore]]</f>
        <v>0</v>
      </c>
      <c r="F38" s="97">
        <f ca="1">TblProd[[#This Row],[Gems]]</f>
        <v>0</v>
      </c>
      <c r="G38" s="157"/>
      <c r="H38" s="97">
        <f ca="1">TblMili[[#This Row],[Draftees]]</f>
        <v>626</v>
      </c>
      <c r="I38" s="183">
        <f ca="1">TblPop[[#This Row],[Employment]]</f>
        <v>1</v>
      </c>
      <c r="J38" s="183">
        <f ca="1">TblPop[[#This Row],[Total]]/TblPop[[#This Row],[Net max]]</f>
        <v>1</v>
      </c>
      <c r="K38" s="306">
        <f>TblRezone[[#This Row],[Hour]]</f>
        <v>35</v>
      </c>
      <c r="L38" s="307">
        <f ca="1">TblImps[[#This Row],[Real time]]</f>
        <v>45368.166666666584</v>
      </c>
      <c r="M38" s="62">
        <f>IF(ISERROR(TblImps[[#This Row],[algorithm]]),0,TblImps[[#This Row],[algorithm]]*1)</f>
        <v>0</v>
      </c>
      <c r="N38" s="97">
        <f ca="1">TblImps[[#This Row],[Land]]</f>
        <v>250</v>
      </c>
      <c r="O38" s="308" t="s">
        <v>4</v>
      </c>
      <c r="P38" s="309"/>
      <c r="Q38" s="308" t="s">
        <v>212</v>
      </c>
      <c r="R38" s="308" t="s">
        <v>7</v>
      </c>
      <c r="S38" s="309"/>
      <c r="T38" s="308" t="s">
        <v>212</v>
      </c>
      <c r="U38" s="308" t="s">
        <v>3</v>
      </c>
      <c r="V38" s="309"/>
      <c r="W38" s="308" t="s">
        <v>212</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45368.166666666584</v>
      </c>
      <c r="BZ38" s="317">
        <f ca="1">OFFSET(TblImps[[#This Row],[Servertime]],-1,0)+1/24</f>
        <v>45368.416666666584</v>
      </c>
      <c r="CA38" s="57"/>
      <c r="CB38" s="315"/>
      <c r="CC38" s="315"/>
      <c r="CD38" s="45" t="s">
        <v>214</v>
      </c>
    </row>
    <row r="39" spans="1:82" x14ac:dyDescent="0.2">
      <c r="A39" s="225">
        <f ca="1">TblConstr[[#This Row],[Land]]</f>
        <v>250</v>
      </c>
      <c r="B39" s="145"/>
      <c r="C39" s="97">
        <f ca="1">TblProd[[#This Row],[Platinum]]</f>
        <v>312888</v>
      </c>
      <c r="D39" s="97">
        <f ca="1">TblProd[[#This Row],[Lumber]]</f>
        <v>40206</v>
      </c>
      <c r="E39" s="97">
        <f ca="1">TblProd[[#This Row],[Ore]]</f>
        <v>0</v>
      </c>
      <c r="F39" s="97">
        <f ca="1">TblProd[[#This Row],[Gems]]</f>
        <v>0</v>
      </c>
      <c r="G39" s="157"/>
      <c r="H39" s="97">
        <f ca="1">TblMili[[#This Row],[Draftees]]</f>
        <v>626</v>
      </c>
      <c r="I39" s="183">
        <f ca="1">TblPop[[#This Row],[Employment]]</f>
        <v>1</v>
      </c>
      <c r="J39" s="183">
        <f ca="1">TblPop[[#This Row],[Total]]/TblPop[[#This Row],[Net max]]</f>
        <v>1</v>
      </c>
      <c r="K39" s="306">
        <f>TblRezone[[#This Row],[Hour]]</f>
        <v>36</v>
      </c>
      <c r="L39" s="307">
        <f ca="1">TblImps[[#This Row],[Real time]]</f>
        <v>45368.208333333248</v>
      </c>
      <c r="M39" s="62">
        <f>IF(ISERROR(TblImps[[#This Row],[algorithm]]),0,TblImps[[#This Row],[algorithm]]*1)</f>
        <v>0</v>
      </c>
      <c r="N39" s="97">
        <f ca="1">TblImps[[#This Row],[Land]]</f>
        <v>250</v>
      </c>
      <c r="O39" s="308" t="s">
        <v>4</v>
      </c>
      <c r="P39" s="309"/>
      <c r="Q39" s="308" t="s">
        <v>212</v>
      </c>
      <c r="R39" s="308" t="s">
        <v>7</v>
      </c>
      <c r="S39" s="309"/>
      <c r="T39" s="308" t="s">
        <v>212</v>
      </c>
      <c r="U39" s="308" t="s">
        <v>3</v>
      </c>
      <c r="V39" s="309"/>
      <c r="W39" s="308" t="s">
        <v>212</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45368.208333333248</v>
      </c>
      <c r="BZ39" s="317">
        <f ca="1">OFFSET(TblImps[[#This Row],[Servertime]],-1,0)+1/24</f>
        <v>45368.458333333248</v>
      </c>
      <c r="CA39" s="57"/>
      <c r="CB39" s="315"/>
      <c r="CC39" s="315"/>
      <c r="CD39" s="45" t="s">
        <v>215</v>
      </c>
    </row>
    <row r="40" spans="1:82" x14ac:dyDescent="0.2">
      <c r="A40" s="225">
        <f ca="1">TblConstr[[#This Row],[Land]]</f>
        <v>250</v>
      </c>
      <c r="B40" s="145"/>
      <c r="C40" s="97">
        <f ca="1">TblProd[[#This Row],[Platinum]]</f>
        <v>318374</v>
      </c>
      <c r="D40" s="97">
        <f ca="1">TblProd[[#This Row],[Lumber]]</f>
        <v>40804</v>
      </c>
      <c r="E40" s="97">
        <f ca="1">TblProd[[#This Row],[Ore]]</f>
        <v>0</v>
      </c>
      <c r="F40" s="97">
        <f ca="1">TblProd[[#This Row],[Gems]]</f>
        <v>0</v>
      </c>
      <c r="G40" s="157"/>
      <c r="H40" s="97">
        <f ca="1">TblMili[[#This Row],[Draftees]]</f>
        <v>626</v>
      </c>
      <c r="I40" s="183">
        <f ca="1">TblPop[[#This Row],[Employment]]</f>
        <v>1</v>
      </c>
      <c r="J40" s="183">
        <f ca="1">TblPop[[#This Row],[Total]]/TblPop[[#This Row],[Net max]]</f>
        <v>1</v>
      </c>
      <c r="K40" s="306">
        <f>TblRezone[[#This Row],[Hour]]</f>
        <v>37</v>
      </c>
      <c r="L40" s="307">
        <f ca="1">TblImps[[#This Row],[Real time]]</f>
        <v>45368.249999999913</v>
      </c>
      <c r="M40" s="62">
        <f>IF(ISERROR(TblImps[[#This Row],[algorithm]]),0,TblImps[[#This Row],[algorithm]]*1)</f>
        <v>0</v>
      </c>
      <c r="N40" s="97">
        <f ca="1">TblImps[[#This Row],[Land]]</f>
        <v>250</v>
      </c>
      <c r="O40" s="308" t="s">
        <v>4</v>
      </c>
      <c r="P40" s="309"/>
      <c r="Q40" s="308" t="s">
        <v>212</v>
      </c>
      <c r="R40" s="308" t="s">
        <v>7</v>
      </c>
      <c r="S40" s="309"/>
      <c r="T40" s="308" t="s">
        <v>212</v>
      </c>
      <c r="U40" s="308" t="s">
        <v>3</v>
      </c>
      <c r="V40" s="309"/>
      <c r="W40" s="308" t="s">
        <v>212</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45368.249999999913</v>
      </c>
      <c r="BZ40" s="317">
        <f ca="1">OFFSET(TblImps[[#This Row],[Servertime]],-1,0)+1/24</f>
        <v>45368.499999999913</v>
      </c>
      <c r="CA40" s="57"/>
      <c r="CB40" s="315"/>
      <c r="CC40" s="315"/>
      <c r="CD40" s="45" t="s">
        <v>216</v>
      </c>
    </row>
    <row r="41" spans="1:82" x14ac:dyDescent="0.2">
      <c r="A41" s="225">
        <f ca="1">TblConstr[[#This Row],[Land]]</f>
        <v>250</v>
      </c>
      <c r="B41" s="145"/>
      <c r="C41" s="97">
        <f ca="1">TblProd[[#This Row],[Platinum]]</f>
        <v>323860</v>
      </c>
      <c r="D41" s="97">
        <f ca="1">TblProd[[#This Row],[Lumber]]</f>
        <v>41396</v>
      </c>
      <c r="E41" s="97">
        <f ca="1">TblProd[[#This Row],[Ore]]</f>
        <v>0</v>
      </c>
      <c r="F41" s="97">
        <f ca="1">TblProd[[#This Row],[Gems]]</f>
        <v>0</v>
      </c>
      <c r="G41" s="157"/>
      <c r="H41" s="97">
        <f ca="1">TblMili[[#This Row],[Draftees]]</f>
        <v>626</v>
      </c>
      <c r="I41" s="183">
        <f ca="1">TblPop[[#This Row],[Employment]]</f>
        <v>1</v>
      </c>
      <c r="J41" s="183">
        <f ca="1">TblPop[[#This Row],[Total]]/TblPop[[#This Row],[Net max]]</f>
        <v>1</v>
      </c>
      <c r="K41" s="306">
        <f>TblRezone[[#This Row],[Hour]]</f>
        <v>38</v>
      </c>
      <c r="L41" s="307">
        <f ca="1">TblImps[[#This Row],[Real time]]</f>
        <v>45368.291666666577</v>
      </c>
      <c r="M41" s="62">
        <f>IF(ISERROR(TblImps[[#This Row],[algorithm]]),0,TblImps[[#This Row],[algorithm]]*1)</f>
        <v>0</v>
      </c>
      <c r="N41" s="97">
        <f ca="1">TblImps[[#This Row],[Land]]</f>
        <v>250</v>
      </c>
      <c r="O41" s="308" t="s">
        <v>4</v>
      </c>
      <c r="P41" s="309"/>
      <c r="Q41" s="308" t="s">
        <v>212</v>
      </c>
      <c r="R41" s="308" t="s">
        <v>7</v>
      </c>
      <c r="S41" s="309"/>
      <c r="T41" s="308" t="s">
        <v>212</v>
      </c>
      <c r="U41" s="308" t="s">
        <v>3</v>
      </c>
      <c r="V41" s="309"/>
      <c r="W41" s="308" t="s">
        <v>212</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45368.291666666577</v>
      </c>
      <c r="BZ41" s="317">
        <f ca="1">OFFSET(TblImps[[#This Row],[Servertime]],-1,0)+1/24</f>
        <v>45368.541666666577</v>
      </c>
      <c r="CA41" s="57"/>
      <c r="CB41" s="315"/>
      <c r="CC41" s="315"/>
    </row>
    <row r="42" spans="1:82" x14ac:dyDescent="0.2">
      <c r="A42" s="225">
        <f ca="1">TblConstr[[#This Row],[Land]]</f>
        <v>250</v>
      </c>
      <c r="B42" s="145"/>
      <c r="C42" s="97">
        <f ca="1">TblProd[[#This Row],[Platinum]]</f>
        <v>329346</v>
      </c>
      <c r="D42" s="97">
        <f ca="1">TblProd[[#This Row],[Lumber]]</f>
        <v>41982</v>
      </c>
      <c r="E42" s="97">
        <f ca="1">TblProd[[#This Row],[Ore]]</f>
        <v>0</v>
      </c>
      <c r="F42" s="97">
        <f ca="1">TblProd[[#This Row],[Gems]]</f>
        <v>0</v>
      </c>
      <c r="G42" s="157"/>
      <c r="H42" s="97">
        <f ca="1">TblMili[[#This Row],[Draftees]]</f>
        <v>626</v>
      </c>
      <c r="I42" s="183">
        <f ca="1">TblPop[[#This Row],[Employment]]</f>
        <v>1</v>
      </c>
      <c r="J42" s="183">
        <f ca="1">TblPop[[#This Row],[Total]]/TblPop[[#This Row],[Net max]]</f>
        <v>1</v>
      </c>
      <c r="K42" s="306">
        <f>TblRezone[[#This Row],[Hour]]</f>
        <v>39</v>
      </c>
      <c r="L42" s="307">
        <f ca="1">TblImps[[#This Row],[Real time]]</f>
        <v>45368.333333333241</v>
      </c>
      <c r="M42" s="62">
        <f>IF(ISERROR(TblImps[[#This Row],[algorithm]]),0,TblImps[[#This Row],[algorithm]]*1)</f>
        <v>0</v>
      </c>
      <c r="N42" s="97">
        <f ca="1">TblImps[[#This Row],[Land]]</f>
        <v>250</v>
      </c>
      <c r="O42" s="308" t="s">
        <v>4</v>
      </c>
      <c r="P42" s="309"/>
      <c r="Q42" s="308" t="s">
        <v>212</v>
      </c>
      <c r="R42" s="308" t="s">
        <v>7</v>
      </c>
      <c r="S42" s="309"/>
      <c r="T42" s="308" t="s">
        <v>212</v>
      </c>
      <c r="U42" s="308" t="s">
        <v>3</v>
      </c>
      <c r="V42" s="309"/>
      <c r="W42" s="308" t="s">
        <v>212</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45368.333333333241</v>
      </c>
      <c r="BZ42" s="317">
        <f ca="1">OFFSET(TblImps[[#This Row],[Servertime]],-1,0)+1/24</f>
        <v>45368.583333333241</v>
      </c>
      <c r="CA42" s="320"/>
      <c r="CB42" s="315"/>
      <c r="CC42" s="315"/>
    </row>
    <row r="43" spans="1:82" x14ac:dyDescent="0.2">
      <c r="A43" s="225">
        <f ca="1">TblConstr[[#This Row],[Land]]</f>
        <v>250</v>
      </c>
      <c r="B43" s="145"/>
      <c r="C43" s="97">
        <f ca="1">TblProd[[#This Row],[Platinum]]</f>
        <v>334832</v>
      </c>
      <c r="D43" s="97">
        <f ca="1">TblProd[[#This Row],[Lumber]]</f>
        <v>42562</v>
      </c>
      <c r="E43" s="97">
        <f ca="1">TblProd[[#This Row],[Ore]]</f>
        <v>0</v>
      </c>
      <c r="F43" s="97">
        <f ca="1">TblProd[[#This Row],[Gems]]</f>
        <v>0</v>
      </c>
      <c r="G43" s="157"/>
      <c r="H43" s="97">
        <f ca="1">TblMili[[#This Row],[Draftees]]</f>
        <v>626</v>
      </c>
      <c r="I43" s="183">
        <f ca="1">TblPop[[#This Row],[Employment]]</f>
        <v>1</v>
      </c>
      <c r="J43" s="183">
        <f ca="1">TblPop[[#This Row],[Total]]/TblPop[[#This Row],[Net max]]</f>
        <v>1</v>
      </c>
      <c r="K43" s="306">
        <f>TblRezone[[#This Row],[Hour]]</f>
        <v>40</v>
      </c>
      <c r="L43" s="307">
        <f ca="1">TblImps[[#This Row],[Real time]]</f>
        <v>45368.374999999905</v>
      </c>
      <c r="M43" s="62">
        <f>IF(ISERROR(TblImps[[#This Row],[algorithm]]),0,TblImps[[#This Row],[algorithm]]*1)</f>
        <v>0</v>
      </c>
      <c r="N43" s="97">
        <f ca="1">TblImps[[#This Row],[Land]]</f>
        <v>250</v>
      </c>
      <c r="O43" s="308" t="s">
        <v>4</v>
      </c>
      <c r="P43" s="309"/>
      <c r="Q43" s="308" t="s">
        <v>212</v>
      </c>
      <c r="R43" s="308" t="s">
        <v>7</v>
      </c>
      <c r="S43" s="309"/>
      <c r="T43" s="308" t="s">
        <v>212</v>
      </c>
      <c r="U43" s="308" t="s">
        <v>3</v>
      </c>
      <c r="V43" s="309"/>
      <c r="W43" s="308" t="s">
        <v>212</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45368.374999999905</v>
      </c>
      <c r="BZ43" s="317">
        <f ca="1">OFFSET(TblImps[[#This Row],[Servertime]],-1,0)+1/24</f>
        <v>45368.624999999905</v>
      </c>
      <c r="CA43" s="57"/>
      <c r="CB43" s="315"/>
      <c r="CC43" s="315"/>
    </row>
    <row r="44" spans="1:82" x14ac:dyDescent="0.2">
      <c r="A44" s="225">
        <f ca="1">TblConstr[[#This Row],[Land]]</f>
        <v>250</v>
      </c>
      <c r="B44" s="145"/>
      <c r="C44" s="97">
        <f ca="1">TblProd[[#This Row],[Platinum]]</f>
        <v>340318</v>
      </c>
      <c r="D44" s="97">
        <f ca="1">TblProd[[#This Row],[Lumber]]</f>
        <v>43136</v>
      </c>
      <c r="E44" s="97">
        <f ca="1">TblProd[[#This Row],[Ore]]</f>
        <v>0</v>
      </c>
      <c r="F44" s="97">
        <f ca="1">TblProd[[#This Row],[Gems]]</f>
        <v>0</v>
      </c>
      <c r="G44" s="157"/>
      <c r="H44" s="97">
        <f ca="1">TblMili[[#This Row],[Draftees]]</f>
        <v>626</v>
      </c>
      <c r="I44" s="183">
        <f ca="1">TblPop[[#This Row],[Employment]]</f>
        <v>1</v>
      </c>
      <c r="J44" s="183">
        <f ca="1">TblPop[[#This Row],[Total]]/TblPop[[#This Row],[Net max]]</f>
        <v>1</v>
      </c>
      <c r="K44" s="306">
        <f>TblRezone[[#This Row],[Hour]]</f>
        <v>41</v>
      </c>
      <c r="L44" s="307">
        <f ca="1">TblImps[[#This Row],[Real time]]</f>
        <v>45368.41666666657</v>
      </c>
      <c r="M44" s="62">
        <f>IF(ISERROR(TblImps[[#This Row],[algorithm]]),0,TblImps[[#This Row],[algorithm]]*1)</f>
        <v>0</v>
      </c>
      <c r="N44" s="97">
        <f ca="1">TblImps[[#This Row],[Land]]</f>
        <v>250</v>
      </c>
      <c r="O44" s="308" t="s">
        <v>4</v>
      </c>
      <c r="P44" s="309"/>
      <c r="Q44" s="308" t="s">
        <v>212</v>
      </c>
      <c r="R44" s="308" t="s">
        <v>7</v>
      </c>
      <c r="S44" s="309"/>
      <c r="T44" s="308" t="s">
        <v>212</v>
      </c>
      <c r="U44" s="308" t="s">
        <v>3</v>
      </c>
      <c r="V44" s="309"/>
      <c r="W44" s="308" t="s">
        <v>212</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45368.41666666657</v>
      </c>
      <c r="BZ44" s="317">
        <f ca="1">OFFSET(TblImps[[#This Row],[Servertime]],-1,0)+1/24</f>
        <v>45368.66666666657</v>
      </c>
      <c r="CA44" s="57"/>
      <c r="CB44" s="315"/>
      <c r="CC44" s="315"/>
    </row>
    <row r="45" spans="1:82" x14ac:dyDescent="0.2">
      <c r="A45" s="225">
        <f ca="1">TblConstr[[#This Row],[Land]]</f>
        <v>250</v>
      </c>
      <c r="B45" s="145"/>
      <c r="C45" s="97">
        <f ca="1">TblProd[[#This Row],[Platinum]]</f>
        <v>345804</v>
      </c>
      <c r="D45" s="97">
        <f ca="1">TblProd[[#This Row],[Lumber]]</f>
        <v>43705</v>
      </c>
      <c r="E45" s="97">
        <f ca="1">TblProd[[#This Row],[Ore]]</f>
        <v>0</v>
      </c>
      <c r="F45" s="97">
        <f ca="1">TblProd[[#This Row],[Gems]]</f>
        <v>0</v>
      </c>
      <c r="G45" s="157"/>
      <c r="H45" s="97">
        <f ca="1">TblMili[[#This Row],[Draftees]]</f>
        <v>626</v>
      </c>
      <c r="I45" s="183">
        <f ca="1">TblPop[[#This Row],[Employment]]</f>
        <v>1</v>
      </c>
      <c r="J45" s="183">
        <f ca="1">TblPop[[#This Row],[Total]]/TblPop[[#This Row],[Net max]]</f>
        <v>1</v>
      </c>
      <c r="K45" s="306">
        <f>TblRezone[[#This Row],[Hour]]</f>
        <v>42</v>
      </c>
      <c r="L45" s="307">
        <f ca="1">TblImps[[#This Row],[Real time]]</f>
        <v>45368.458333333234</v>
      </c>
      <c r="M45" s="62">
        <f>IF(ISERROR(TblImps[[#This Row],[algorithm]]),0,TblImps[[#This Row],[algorithm]]*1)</f>
        <v>0</v>
      </c>
      <c r="N45" s="97">
        <f ca="1">TblImps[[#This Row],[Land]]</f>
        <v>250</v>
      </c>
      <c r="O45" s="308" t="s">
        <v>4</v>
      </c>
      <c r="P45" s="309"/>
      <c r="Q45" s="308" t="s">
        <v>212</v>
      </c>
      <c r="R45" s="308" t="s">
        <v>7</v>
      </c>
      <c r="S45" s="309"/>
      <c r="T45" s="308" t="s">
        <v>212</v>
      </c>
      <c r="U45" s="308" t="s">
        <v>3</v>
      </c>
      <c r="V45" s="309"/>
      <c r="W45" s="308" t="s">
        <v>212</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45368.458333333234</v>
      </c>
      <c r="BZ45" s="317">
        <f ca="1">OFFSET(TblImps[[#This Row],[Servertime]],-1,0)+1/24</f>
        <v>45368.708333333234</v>
      </c>
      <c r="CA45" s="57"/>
      <c r="CB45" s="315"/>
      <c r="CC45" s="315"/>
    </row>
    <row r="46" spans="1:82" x14ac:dyDescent="0.2">
      <c r="A46" s="225">
        <f ca="1">TblConstr[[#This Row],[Land]]</f>
        <v>250</v>
      </c>
      <c r="B46" s="145"/>
      <c r="C46" s="97">
        <f ca="1">TblProd[[#This Row],[Platinum]]</f>
        <v>351290</v>
      </c>
      <c r="D46" s="97">
        <f ca="1">TblProd[[#This Row],[Lumber]]</f>
        <v>44268</v>
      </c>
      <c r="E46" s="97">
        <f ca="1">TblProd[[#This Row],[Ore]]</f>
        <v>0</v>
      </c>
      <c r="F46" s="97">
        <f ca="1">TblProd[[#This Row],[Gems]]</f>
        <v>0</v>
      </c>
      <c r="G46" s="157"/>
      <c r="H46" s="97">
        <f ca="1">TblMili[[#This Row],[Draftees]]</f>
        <v>626</v>
      </c>
      <c r="I46" s="183">
        <f ca="1">TblPop[[#This Row],[Employment]]</f>
        <v>1</v>
      </c>
      <c r="J46" s="183">
        <f ca="1">TblPop[[#This Row],[Total]]/TblPop[[#This Row],[Net max]]</f>
        <v>1</v>
      </c>
      <c r="K46" s="306">
        <f>TblRezone[[#This Row],[Hour]]</f>
        <v>43</v>
      </c>
      <c r="L46" s="307">
        <f ca="1">TblImps[[#This Row],[Real time]]</f>
        <v>45368.499999999898</v>
      </c>
      <c r="M46" s="62">
        <f>IF(ISERROR(TblImps[[#This Row],[algorithm]]),0,TblImps[[#This Row],[algorithm]]*1)</f>
        <v>0</v>
      </c>
      <c r="N46" s="97">
        <f ca="1">TblImps[[#This Row],[Land]]</f>
        <v>250</v>
      </c>
      <c r="O46" s="308" t="s">
        <v>4</v>
      </c>
      <c r="P46" s="309"/>
      <c r="Q46" s="308" t="s">
        <v>212</v>
      </c>
      <c r="R46" s="308" t="s">
        <v>7</v>
      </c>
      <c r="S46" s="309"/>
      <c r="T46" s="308" t="s">
        <v>212</v>
      </c>
      <c r="U46" s="308" t="s">
        <v>3</v>
      </c>
      <c r="V46" s="309"/>
      <c r="W46" s="308" t="s">
        <v>212</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45368.499999999898</v>
      </c>
      <c r="BZ46" s="317">
        <f ca="1">OFFSET(TblImps[[#This Row],[Servertime]],-1,0)+1/24</f>
        <v>45368.749999999898</v>
      </c>
      <c r="CA46" s="57"/>
      <c r="CB46" s="315"/>
      <c r="CC46" s="315"/>
    </row>
    <row r="47" spans="1:82" x14ac:dyDescent="0.2">
      <c r="A47" s="225">
        <f ca="1">TblConstr[[#This Row],[Land]]</f>
        <v>250</v>
      </c>
      <c r="B47" s="145"/>
      <c r="C47" s="97">
        <f ca="1">TblProd[[#This Row],[Platinum]]</f>
        <v>356776</v>
      </c>
      <c r="D47" s="97">
        <f ca="1">TblProd[[#This Row],[Lumber]]</f>
        <v>44825</v>
      </c>
      <c r="E47" s="97">
        <f ca="1">TblProd[[#This Row],[Ore]]</f>
        <v>0</v>
      </c>
      <c r="F47" s="97">
        <f ca="1">TblProd[[#This Row],[Gems]]</f>
        <v>0</v>
      </c>
      <c r="G47" s="157"/>
      <c r="H47" s="97">
        <f ca="1">TblMili[[#This Row],[Draftees]]</f>
        <v>626</v>
      </c>
      <c r="I47" s="183">
        <f ca="1">TblPop[[#This Row],[Employment]]</f>
        <v>1</v>
      </c>
      <c r="J47" s="183">
        <f ca="1">TblPop[[#This Row],[Total]]/TblPop[[#This Row],[Net max]]</f>
        <v>1</v>
      </c>
      <c r="K47" s="306">
        <f>TblRezone[[#This Row],[Hour]]</f>
        <v>44</v>
      </c>
      <c r="L47" s="307">
        <f ca="1">TblImps[[#This Row],[Real time]]</f>
        <v>45368.541666666562</v>
      </c>
      <c r="M47" s="62">
        <f>IF(ISERROR(TblImps[[#This Row],[algorithm]]),0,TblImps[[#This Row],[algorithm]]*1)</f>
        <v>0</v>
      </c>
      <c r="N47" s="97">
        <f ca="1">TblImps[[#This Row],[Land]]</f>
        <v>250</v>
      </c>
      <c r="O47" s="308" t="s">
        <v>4</v>
      </c>
      <c r="P47" s="309"/>
      <c r="Q47" s="308" t="s">
        <v>212</v>
      </c>
      <c r="R47" s="308" t="s">
        <v>7</v>
      </c>
      <c r="S47" s="309"/>
      <c r="T47" s="308" t="s">
        <v>212</v>
      </c>
      <c r="U47" s="308" t="s">
        <v>3</v>
      </c>
      <c r="V47" s="309"/>
      <c r="W47" s="308" t="s">
        <v>212</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45368.541666666562</v>
      </c>
      <c r="BZ47" s="317">
        <f ca="1">OFFSET(TblImps[[#This Row],[Servertime]],-1,0)+1/24</f>
        <v>45368.791666666562</v>
      </c>
      <c r="CA47" s="57"/>
      <c r="CB47" s="315"/>
      <c r="CC47" s="315"/>
    </row>
    <row r="48" spans="1:82" x14ac:dyDescent="0.2">
      <c r="A48" s="225">
        <f ca="1">TblConstr[[#This Row],[Land]]</f>
        <v>250</v>
      </c>
      <c r="B48" s="145"/>
      <c r="C48" s="97">
        <f ca="1">TblProd[[#This Row],[Platinum]]</f>
        <v>362262</v>
      </c>
      <c r="D48" s="97">
        <f ca="1">TblProd[[#This Row],[Lumber]]</f>
        <v>45377</v>
      </c>
      <c r="E48" s="97">
        <f ca="1">TblProd[[#This Row],[Ore]]</f>
        <v>0</v>
      </c>
      <c r="F48" s="97">
        <f ca="1">TblProd[[#This Row],[Gems]]</f>
        <v>0</v>
      </c>
      <c r="G48" s="157"/>
      <c r="H48" s="97">
        <f ca="1">TblMili[[#This Row],[Draftees]]</f>
        <v>626</v>
      </c>
      <c r="I48" s="183">
        <f ca="1">TblPop[[#This Row],[Employment]]</f>
        <v>1</v>
      </c>
      <c r="J48" s="183">
        <f ca="1">TblPop[[#This Row],[Total]]/TblPop[[#This Row],[Net max]]</f>
        <v>1</v>
      </c>
      <c r="K48" s="306">
        <f>TblRezone[[#This Row],[Hour]]</f>
        <v>45</v>
      </c>
      <c r="L48" s="307">
        <f ca="1">TblImps[[#This Row],[Real time]]</f>
        <v>45368.583333333227</v>
      </c>
      <c r="M48" s="62">
        <f>IF(ISERROR(TblImps[[#This Row],[algorithm]]),0,TblImps[[#This Row],[algorithm]]*1)</f>
        <v>0</v>
      </c>
      <c r="N48" s="97">
        <f ca="1">TblImps[[#This Row],[Land]]</f>
        <v>250</v>
      </c>
      <c r="O48" s="308" t="s">
        <v>4</v>
      </c>
      <c r="P48" s="309"/>
      <c r="Q48" s="308" t="s">
        <v>212</v>
      </c>
      <c r="R48" s="308" t="s">
        <v>7</v>
      </c>
      <c r="S48" s="309"/>
      <c r="T48" s="308" t="s">
        <v>212</v>
      </c>
      <c r="U48" s="308" t="s">
        <v>3</v>
      </c>
      <c r="V48" s="309"/>
      <c r="W48" s="308" t="s">
        <v>212</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45368.583333333227</v>
      </c>
      <c r="BZ48" s="317">
        <f ca="1">OFFSET(TblImps[[#This Row],[Servertime]],-1,0)+1/24</f>
        <v>45368.833333333227</v>
      </c>
      <c r="CA48" s="57"/>
      <c r="CB48" s="315"/>
      <c r="CC48" s="315"/>
    </row>
    <row r="49" spans="1:81" x14ac:dyDescent="0.2">
      <c r="A49" s="225">
        <f ca="1">TblConstr[[#This Row],[Land]]</f>
        <v>250</v>
      </c>
      <c r="B49" s="145"/>
      <c r="C49" s="97">
        <f ca="1">TblProd[[#This Row],[Platinum]]</f>
        <v>367748</v>
      </c>
      <c r="D49" s="97">
        <f ca="1">TblProd[[#This Row],[Lumber]]</f>
        <v>45923</v>
      </c>
      <c r="E49" s="97">
        <f ca="1">TblProd[[#This Row],[Ore]]</f>
        <v>0</v>
      </c>
      <c r="F49" s="97">
        <f ca="1">TblProd[[#This Row],[Gems]]</f>
        <v>0</v>
      </c>
      <c r="G49" s="157"/>
      <c r="H49" s="97">
        <f ca="1">TblMili[[#This Row],[Draftees]]</f>
        <v>626</v>
      </c>
      <c r="I49" s="183">
        <f ca="1">TblPop[[#This Row],[Employment]]</f>
        <v>1</v>
      </c>
      <c r="J49" s="183">
        <f ca="1">TblPop[[#This Row],[Total]]/TblPop[[#This Row],[Net max]]</f>
        <v>1</v>
      </c>
      <c r="K49" s="306">
        <f>TblRezone[[#This Row],[Hour]]</f>
        <v>46</v>
      </c>
      <c r="L49" s="307">
        <f ca="1">TblImps[[#This Row],[Real time]]</f>
        <v>45368.624999999891</v>
      </c>
      <c r="M49" s="62">
        <f>IF(ISERROR(TblImps[[#This Row],[algorithm]]),0,TblImps[[#This Row],[algorithm]]*1)</f>
        <v>0</v>
      </c>
      <c r="N49" s="97">
        <f ca="1">TblImps[[#This Row],[Land]]</f>
        <v>250</v>
      </c>
      <c r="O49" s="308" t="s">
        <v>4</v>
      </c>
      <c r="P49" s="309"/>
      <c r="Q49" s="308" t="s">
        <v>212</v>
      </c>
      <c r="R49" s="308" t="s">
        <v>7</v>
      </c>
      <c r="S49" s="309"/>
      <c r="T49" s="308" t="s">
        <v>212</v>
      </c>
      <c r="U49" s="308" t="s">
        <v>3</v>
      </c>
      <c r="V49" s="309"/>
      <c r="W49" s="308" t="s">
        <v>212</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45368.624999999891</v>
      </c>
      <c r="BZ49" s="317">
        <f ca="1">OFFSET(TblImps[[#This Row],[Servertime]],-1,0)+1/24</f>
        <v>45368.874999999891</v>
      </c>
      <c r="CA49" s="57"/>
      <c r="CB49" s="315"/>
      <c r="CC49" s="315"/>
    </row>
    <row r="50" spans="1:81" x14ac:dyDescent="0.2">
      <c r="A50" s="225">
        <f ca="1">TblConstr[[#This Row],[Land]]</f>
        <v>250</v>
      </c>
      <c r="B50" s="145"/>
      <c r="C50" s="97">
        <f ca="1">TblProd[[#This Row],[Platinum]]</f>
        <v>373234</v>
      </c>
      <c r="D50" s="97">
        <f ca="1">TblProd[[#This Row],[Lumber]]</f>
        <v>46464</v>
      </c>
      <c r="E50" s="97">
        <f ca="1">TblProd[[#This Row],[Ore]]</f>
        <v>0</v>
      </c>
      <c r="F50" s="97">
        <f ca="1">TblProd[[#This Row],[Gems]]</f>
        <v>0</v>
      </c>
      <c r="G50" s="157"/>
      <c r="H50" s="97">
        <f ca="1">TblMili[[#This Row],[Draftees]]</f>
        <v>626</v>
      </c>
      <c r="I50" s="183">
        <f ca="1">TblPop[[#This Row],[Employment]]</f>
        <v>1</v>
      </c>
      <c r="J50" s="183">
        <f ca="1">TblPop[[#This Row],[Total]]/TblPop[[#This Row],[Net max]]</f>
        <v>1</v>
      </c>
      <c r="K50" s="306">
        <f>TblRezone[[#This Row],[Hour]]</f>
        <v>47</v>
      </c>
      <c r="L50" s="307">
        <f ca="1">TblImps[[#This Row],[Real time]]</f>
        <v>45368.666666666555</v>
      </c>
      <c r="M50" s="62">
        <f>IF(ISERROR(TblImps[[#This Row],[algorithm]]),0,TblImps[[#This Row],[algorithm]]*1)</f>
        <v>0</v>
      </c>
      <c r="N50" s="97">
        <f ca="1">TblImps[[#This Row],[Land]]</f>
        <v>250</v>
      </c>
      <c r="O50" s="308" t="s">
        <v>4</v>
      </c>
      <c r="P50" s="309"/>
      <c r="Q50" s="308" t="s">
        <v>212</v>
      </c>
      <c r="R50" s="308" t="s">
        <v>7</v>
      </c>
      <c r="S50" s="309"/>
      <c r="T50" s="308" t="s">
        <v>212</v>
      </c>
      <c r="U50" s="308" t="s">
        <v>3</v>
      </c>
      <c r="V50" s="309"/>
      <c r="W50" s="308" t="s">
        <v>212</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45368.666666666555</v>
      </c>
      <c r="BZ50" s="317">
        <f ca="1">OFFSET(TblImps[[#This Row],[Servertime]],-1,0)+1/24</f>
        <v>45368.916666666555</v>
      </c>
      <c r="CA50" s="57"/>
      <c r="CB50" s="315"/>
      <c r="CC50" s="315"/>
    </row>
    <row r="51" spans="1:81" x14ac:dyDescent="0.2">
      <c r="A51" s="225">
        <f ca="1">TblConstr[[#This Row],[Land]]</f>
        <v>250</v>
      </c>
      <c r="B51" s="145"/>
      <c r="C51" s="97">
        <f ca="1">TblProd[[#This Row],[Platinum]]</f>
        <v>378720</v>
      </c>
      <c r="D51" s="97">
        <f ca="1">TblProd[[#This Row],[Lumber]]</f>
        <v>46999</v>
      </c>
      <c r="E51" s="97">
        <f ca="1">TblProd[[#This Row],[Ore]]</f>
        <v>0</v>
      </c>
      <c r="F51" s="97">
        <f ca="1">TblProd[[#This Row],[Gems]]</f>
        <v>0</v>
      </c>
      <c r="G51" s="157"/>
      <c r="H51" s="97">
        <f ca="1">TblMili[[#This Row],[Draftees]]</f>
        <v>626</v>
      </c>
      <c r="I51" s="183">
        <f ca="1">TblPop[[#This Row],[Employment]]</f>
        <v>1</v>
      </c>
      <c r="J51" s="183">
        <f ca="1">TblPop[[#This Row],[Total]]/TblPop[[#This Row],[Net max]]</f>
        <v>1</v>
      </c>
      <c r="K51" s="306">
        <f>TblRezone[[#This Row],[Hour]]</f>
        <v>48</v>
      </c>
      <c r="L51" s="307">
        <f ca="1">TblImps[[#This Row],[Real time]]</f>
        <v>45368.708333333219</v>
      </c>
      <c r="M51" s="62">
        <f>IF(ISERROR(TblImps[[#This Row],[algorithm]]),0,TblImps[[#This Row],[algorithm]]*1)</f>
        <v>0</v>
      </c>
      <c r="N51" s="97">
        <f ca="1">TblImps[[#This Row],[Land]]</f>
        <v>250</v>
      </c>
      <c r="O51" s="308" t="s">
        <v>4</v>
      </c>
      <c r="P51" s="309"/>
      <c r="Q51" s="308" t="s">
        <v>212</v>
      </c>
      <c r="R51" s="308" t="s">
        <v>7</v>
      </c>
      <c r="S51" s="309"/>
      <c r="T51" s="308" t="s">
        <v>212</v>
      </c>
      <c r="U51" s="308" t="s">
        <v>3</v>
      </c>
      <c r="V51" s="309"/>
      <c r="W51" s="308" t="s">
        <v>212</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45368.708333333219</v>
      </c>
      <c r="BZ51" s="317">
        <f ca="1">OFFSET(TblImps[[#This Row],[Servertime]],-1,0)+1/24</f>
        <v>45368.958333333219</v>
      </c>
      <c r="CA51" s="57"/>
      <c r="CB51" s="315"/>
      <c r="CC51" s="315"/>
    </row>
    <row r="52" spans="1:81" x14ac:dyDescent="0.2">
      <c r="A52" s="225">
        <f ca="1">TblConstr[[#This Row],[Land]]</f>
        <v>250</v>
      </c>
      <c r="B52" s="145"/>
      <c r="C52" s="97">
        <f ca="1">TblProd[[#This Row],[Platinum]]</f>
        <v>384206</v>
      </c>
      <c r="D52" s="97">
        <f ca="1">TblProd[[#This Row],[Lumber]]</f>
        <v>47529</v>
      </c>
      <c r="E52" s="97">
        <f ca="1">TblProd[[#This Row],[Ore]]</f>
        <v>0</v>
      </c>
      <c r="F52" s="97">
        <f ca="1">TblProd[[#This Row],[Gems]]</f>
        <v>0</v>
      </c>
      <c r="G52" s="157"/>
      <c r="H52" s="97">
        <f ca="1">TblMili[[#This Row],[Draftees]]</f>
        <v>626</v>
      </c>
      <c r="I52" s="183">
        <f ca="1">TblPop[[#This Row],[Employment]]</f>
        <v>1</v>
      </c>
      <c r="J52" s="183">
        <f ca="1">TblPop[[#This Row],[Total]]/TblPop[[#This Row],[Net max]]</f>
        <v>1</v>
      </c>
      <c r="K52" s="306">
        <f>TblRezone[[#This Row],[Hour]]</f>
        <v>49</v>
      </c>
      <c r="L52" s="307">
        <f ca="1">TblImps[[#This Row],[Real time]]</f>
        <v>45368.749999999884</v>
      </c>
      <c r="M52" s="62">
        <f>IF(ISERROR(TblImps[[#This Row],[algorithm]]),0,TblImps[[#This Row],[algorithm]]*1)</f>
        <v>0</v>
      </c>
      <c r="N52" s="97">
        <f ca="1">TblImps[[#This Row],[Land]]</f>
        <v>250</v>
      </c>
      <c r="O52" s="308" t="s">
        <v>4</v>
      </c>
      <c r="P52" s="309"/>
      <c r="Q52" s="308" t="s">
        <v>212</v>
      </c>
      <c r="R52" s="308" t="s">
        <v>7</v>
      </c>
      <c r="S52" s="309"/>
      <c r="T52" s="308" t="s">
        <v>212</v>
      </c>
      <c r="U52" s="308" t="s">
        <v>3</v>
      </c>
      <c r="V52" s="309"/>
      <c r="W52" s="308" t="s">
        <v>212</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45368.749999999884</v>
      </c>
      <c r="BZ52" s="317">
        <f ca="1">OFFSET(TblImps[[#This Row],[Servertime]],-1,0)+1/24</f>
        <v>45368.999999999884</v>
      </c>
      <c r="CA52" s="57"/>
      <c r="CB52" s="315"/>
      <c r="CC52" s="315"/>
    </row>
    <row r="53" spans="1:81" x14ac:dyDescent="0.2">
      <c r="A53" s="225">
        <f ca="1">TblConstr[[#This Row],[Land]]</f>
        <v>250</v>
      </c>
      <c r="B53" s="145"/>
      <c r="C53" s="97">
        <f ca="1">TblProd[[#This Row],[Platinum]]</f>
        <v>389692</v>
      </c>
      <c r="D53" s="97">
        <f ca="1">TblProd[[#This Row],[Lumber]]</f>
        <v>48054</v>
      </c>
      <c r="E53" s="97">
        <f ca="1">TblProd[[#This Row],[Ore]]</f>
        <v>0</v>
      </c>
      <c r="F53" s="97">
        <f ca="1">TblProd[[#This Row],[Gems]]</f>
        <v>0</v>
      </c>
      <c r="G53" s="157"/>
      <c r="H53" s="97">
        <f ca="1">TblMili[[#This Row],[Draftees]]</f>
        <v>626</v>
      </c>
      <c r="I53" s="183">
        <f ca="1">TblPop[[#This Row],[Employment]]</f>
        <v>1</v>
      </c>
      <c r="J53" s="183">
        <f ca="1">TblPop[[#This Row],[Total]]/TblPop[[#This Row],[Net max]]</f>
        <v>1</v>
      </c>
      <c r="K53" s="306">
        <f>TblRezone[[#This Row],[Hour]]</f>
        <v>50</v>
      </c>
      <c r="L53" s="307">
        <f ca="1">TblImps[[#This Row],[Real time]]</f>
        <v>45368.791666666548</v>
      </c>
      <c r="M53" s="62">
        <f>IF(ISERROR(TblImps[[#This Row],[algorithm]]),0,TblImps[[#This Row],[algorithm]]*1)</f>
        <v>0</v>
      </c>
      <c r="N53" s="97">
        <f ca="1">TblImps[[#This Row],[Land]]</f>
        <v>250</v>
      </c>
      <c r="O53" s="308" t="s">
        <v>4</v>
      </c>
      <c r="P53" s="309"/>
      <c r="Q53" s="308" t="s">
        <v>212</v>
      </c>
      <c r="R53" s="308" t="s">
        <v>7</v>
      </c>
      <c r="S53" s="309"/>
      <c r="T53" s="308" t="s">
        <v>212</v>
      </c>
      <c r="U53" s="308" t="s">
        <v>3</v>
      </c>
      <c r="V53" s="309"/>
      <c r="W53" s="308" t="s">
        <v>212</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45368.791666666548</v>
      </c>
      <c r="BZ53" s="317">
        <f ca="1">OFFSET(TblImps[[#This Row],[Servertime]],-1,0)+1/24</f>
        <v>45369.041666666548</v>
      </c>
      <c r="CA53" s="57"/>
      <c r="CB53" s="315"/>
      <c r="CC53" s="315"/>
    </row>
    <row r="54" spans="1:81" x14ac:dyDescent="0.2">
      <c r="A54" s="225">
        <f ca="1">TblConstr[[#This Row],[Land]]</f>
        <v>250</v>
      </c>
      <c r="B54" s="145"/>
      <c r="C54" s="97">
        <f ca="1">TblProd[[#This Row],[Platinum]]</f>
        <v>395178</v>
      </c>
      <c r="D54" s="97">
        <f ca="1">TblProd[[#This Row],[Lumber]]</f>
        <v>48573</v>
      </c>
      <c r="E54" s="97">
        <f ca="1">TblProd[[#This Row],[Ore]]</f>
        <v>0</v>
      </c>
      <c r="F54" s="97">
        <f ca="1">TblProd[[#This Row],[Gems]]</f>
        <v>0</v>
      </c>
      <c r="G54" s="157"/>
      <c r="H54" s="97">
        <f ca="1">TblMili[[#This Row],[Draftees]]</f>
        <v>626</v>
      </c>
      <c r="I54" s="183">
        <f ca="1">TblPop[[#This Row],[Employment]]</f>
        <v>1</v>
      </c>
      <c r="J54" s="183">
        <f ca="1">TblPop[[#This Row],[Total]]/TblPop[[#This Row],[Net max]]</f>
        <v>1</v>
      </c>
      <c r="K54" s="306">
        <f>TblRezone[[#This Row],[Hour]]</f>
        <v>51</v>
      </c>
      <c r="L54" s="307">
        <f ca="1">TblImps[[#This Row],[Real time]]</f>
        <v>45368.833333333212</v>
      </c>
      <c r="M54" s="62">
        <f>IF(ISERROR(TblImps[[#This Row],[algorithm]]),0,TblImps[[#This Row],[algorithm]]*1)</f>
        <v>0</v>
      </c>
      <c r="N54" s="97">
        <f ca="1">TblImps[[#This Row],[Land]]</f>
        <v>250</v>
      </c>
      <c r="O54" s="308" t="s">
        <v>2</v>
      </c>
      <c r="P54" s="309"/>
      <c r="Q54" s="308" t="s">
        <v>212</v>
      </c>
      <c r="R54" s="308" t="s">
        <v>7</v>
      </c>
      <c r="S54" s="309"/>
      <c r="T54" s="308" t="s">
        <v>212</v>
      </c>
      <c r="U54" s="308" t="s">
        <v>3</v>
      </c>
      <c r="V54" s="309"/>
      <c r="W54" s="308" t="s">
        <v>212</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45368.833333333212</v>
      </c>
      <c r="BZ54" s="317">
        <f ca="1">OFFSET(TblImps[[#This Row],[Servertime]],-1,0)+1/24</f>
        <v>45369.083333333212</v>
      </c>
      <c r="CA54" s="57"/>
      <c r="CB54" s="315"/>
      <c r="CC54" s="315"/>
    </row>
    <row r="55" spans="1:81" x14ac:dyDescent="0.2">
      <c r="A55" s="225">
        <f ca="1">TblConstr[[#This Row],[Land]]</f>
        <v>250</v>
      </c>
      <c r="B55" s="145"/>
      <c r="C55" s="97">
        <f ca="1">TblProd[[#This Row],[Platinum]]</f>
        <v>400664</v>
      </c>
      <c r="D55" s="97">
        <f ca="1">TblProd[[#This Row],[Lumber]]</f>
        <v>49087</v>
      </c>
      <c r="E55" s="97">
        <f ca="1">TblProd[[#This Row],[Ore]]</f>
        <v>0</v>
      </c>
      <c r="F55" s="97">
        <f ca="1">TblProd[[#This Row],[Gems]]</f>
        <v>0</v>
      </c>
      <c r="G55" s="157"/>
      <c r="H55" s="97">
        <f ca="1">TblMili[[#This Row],[Draftees]]</f>
        <v>626</v>
      </c>
      <c r="I55" s="183">
        <f ca="1">TblPop[[#This Row],[Employment]]</f>
        <v>1</v>
      </c>
      <c r="J55" s="183">
        <f ca="1">TblPop[[#This Row],[Total]]/TblPop[[#This Row],[Net max]]</f>
        <v>1</v>
      </c>
      <c r="K55" s="306">
        <f>TblRezone[[#This Row],[Hour]]</f>
        <v>52</v>
      </c>
      <c r="L55" s="307">
        <f ca="1">TblImps[[#This Row],[Real time]]</f>
        <v>45368.874999999876</v>
      </c>
      <c r="M55" s="62">
        <f>IF(ISERROR(TblImps[[#This Row],[algorithm]]),0,TblImps[[#This Row],[algorithm]]*1)</f>
        <v>0</v>
      </c>
      <c r="N55" s="97">
        <f ca="1">TblImps[[#This Row],[Land]]</f>
        <v>250</v>
      </c>
      <c r="O55" s="308" t="s">
        <v>4</v>
      </c>
      <c r="P55" s="309"/>
      <c r="Q55" s="308" t="s">
        <v>212</v>
      </c>
      <c r="R55" s="308" t="s">
        <v>7</v>
      </c>
      <c r="S55" s="309"/>
      <c r="T55" s="308" t="s">
        <v>212</v>
      </c>
      <c r="U55" s="308" t="s">
        <v>3</v>
      </c>
      <c r="V55" s="309"/>
      <c r="W55" s="308" t="s">
        <v>212</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45368.874999999876</v>
      </c>
      <c r="BZ55" s="317">
        <f ca="1">OFFSET(TblImps[[#This Row],[Servertime]],-1,0)+1/24</f>
        <v>45369.124999999876</v>
      </c>
      <c r="CA55" s="57"/>
      <c r="CB55" s="315"/>
      <c r="CC55" s="315"/>
    </row>
    <row r="56" spans="1:81" x14ac:dyDescent="0.2">
      <c r="A56" s="225">
        <f ca="1">TblConstr[[#This Row],[Land]]</f>
        <v>250</v>
      </c>
      <c r="B56" s="145"/>
      <c r="C56" s="97">
        <f ca="1">TblProd[[#This Row],[Platinum]]</f>
        <v>406150</v>
      </c>
      <c r="D56" s="97">
        <f ca="1">TblProd[[#This Row],[Lumber]]</f>
        <v>49596</v>
      </c>
      <c r="E56" s="97">
        <f ca="1">TblProd[[#This Row],[Ore]]</f>
        <v>0</v>
      </c>
      <c r="F56" s="97">
        <f ca="1">TblProd[[#This Row],[Gems]]</f>
        <v>0</v>
      </c>
      <c r="G56" s="157"/>
      <c r="H56" s="97">
        <f ca="1">TblMili[[#This Row],[Draftees]]</f>
        <v>626</v>
      </c>
      <c r="I56" s="183">
        <f ca="1">TblPop[[#This Row],[Employment]]</f>
        <v>1</v>
      </c>
      <c r="J56" s="183">
        <f ca="1">TblPop[[#This Row],[Total]]/TblPop[[#This Row],[Net max]]</f>
        <v>1</v>
      </c>
      <c r="K56" s="306">
        <f>TblRezone[[#This Row],[Hour]]</f>
        <v>53</v>
      </c>
      <c r="L56" s="307">
        <f ca="1">TblImps[[#This Row],[Real time]]</f>
        <v>45368.916666666541</v>
      </c>
      <c r="M56" s="62">
        <f>IF(ISERROR(TblImps[[#This Row],[algorithm]]),0,TblImps[[#This Row],[algorithm]]*1)</f>
        <v>0</v>
      </c>
      <c r="N56" s="97">
        <f ca="1">TblImps[[#This Row],[Land]]</f>
        <v>250</v>
      </c>
      <c r="O56" s="308" t="s">
        <v>4</v>
      </c>
      <c r="P56" s="309"/>
      <c r="Q56" s="308" t="s">
        <v>212</v>
      </c>
      <c r="R56" s="308" t="s">
        <v>7</v>
      </c>
      <c r="S56" s="309"/>
      <c r="T56" s="308" t="s">
        <v>212</v>
      </c>
      <c r="U56" s="308" t="s">
        <v>3</v>
      </c>
      <c r="V56" s="309"/>
      <c r="W56" s="308" t="s">
        <v>212</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45368.916666666541</v>
      </c>
      <c r="BZ56" s="317">
        <f ca="1">OFFSET(TblImps[[#This Row],[Servertime]],-1,0)+1/24</f>
        <v>45369.166666666541</v>
      </c>
      <c r="CA56" s="57"/>
      <c r="CB56" s="315"/>
      <c r="CC56" s="315"/>
    </row>
    <row r="57" spans="1:81" x14ac:dyDescent="0.2">
      <c r="A57" s="225">
        <f ca="1">TblConstr[[#This Row],[Land]]</f>
        <v>250</v>
      </c>
      <c r="B57" s="145"/>
      <c r="C57" s="97">
        <f ca="1">TblProd[[#This Row],[Platinum]]</f>
        <v>411636</v>
      </c>
      <c r="D57" s="97">
        <f ca="1">TblProd[[#This Row],[Lumber]]</f>
        <v>50100</v>
      </c>
      <c r="E57" s="97">
        <f ca="1">TblProd[[#This Row],[Ore]]</f>
        <v>0</v>
      </c>
      <c r="F57" s="97">
        <f ca="1">TblProd[[#This Row],[Gems]]</f>
        <v>0</v>
      </c>
      <c r="G57" s="157"/>
      <c r="H57" s="97">
        <f ca="1">TblMili[[#This Row],[Draftees]]</f>
        <v>626</v>
      </c>
      <c r="I57" s="183">
        <f ca="1">TblPop[[#This Row],[Employment]]</f>
        <v>1</v>
      </c>
      <c r="J57" s="183">
        <f ca="1">TblPop[[#This Row],[Total]]/TblPop[[#This Row],[Net max]]</f>
        <v>1</v>
      </c>
      <c r="K57" s="306">
        <f>TblRezone[[#This Row],[Hour]]</f>
        <v>54</v>
      </c>
      <c r="L57" s="307">
        <f ca="1">TblImps[[#This Row],[Real time]]</f>
        <v>45368.958333333205</v>
      </c>
      <c r="M57" s="62">
        <f>IF(ISERROR(TblImps[[#This Row],[algorithm]]),0,TblImps[[#This Row],[algorithm]]*1)</f>
        <v>0</v>
      </c>
      <c r="N57" s="97">
        <f ca="1">TblImps[[#This Row],[Land]]</f>
        <v>250</v>
      </c>
      <c r="O57" s="308" t="s">
        <v>4</v>
      </c>
      <c r="P57" s="309"/>
      <c r="Q57" s="308" t="s">
        <v>212</v>
      </c>
      <c r="R57" s="308" t="s">
        <v>7</v>
      </c>
      <c r="S57" s="309"/>
      <c r="T57" s="308" t="s">
        <v>212</v>
      </c>
      <c r="U57" s="308" t="s">
        <v>3</v>
      </c>
      <c r="V57" s="309"/>
      <c r="W57" s="308" t="s">
        <v>212</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45368.958333333205</v>
      </c>
      <c r="BZ57" s="317">
        <f ca="1">OFFSET(TblImps[[#This Row],[Servertime]],-1,0)+1/24</f>
        <v>45369.208333333205</v>
      </c>
      <c r="CA57" s="57"/>
      <c r="CB57" s="315"/>
      <c r="CC57" s="315"/>
    </row>
    <row r="58" spans="1:81" x14ac:dyDescent="0.2">
      <c r="A58" s="225">
        <f ca="1">TblConstr[[#This Row],[Land]]</f>
        <v>250</v>
      </c>
      <c r="B58" s="145"/>
      <c r="C58" s="97">
        <f ca="1">TblProd[[#This Row],[Platinum]]</f>
        <v>417122</v>
      </c>
      <c r="D58" s="97">
        <f ca="1">TblProd[[#This Row],[Lumber]]</f>
        <v>50599</v>
      </c>
      <c r="E58" s="97">
        <f ca="1">TblProd[[#This Row],[Ore]]</f>
        <v>0</v>
      </c>
      <c r="F58" s="97">
        <f ca="1">TblProd[[#This Row],[Gems]]</f>
        <v>0</v>
      </c>
      <c r="G58" s="157"/>
      <c r="H58" s="97">
        <f ca="1">TblMili[[#This Row],[Draftees]]</f>
        <v>626</v>
      </c>
      <c r="I58" s="183">
        <f ca="1">TblPop[[#This Row],[Employment]]</f>
        <v>1</v>
      </c>
      <c r="J58" s="183">
        <f ca="1">TblPop[[#This Row],[Total]]/TblPop[[#This Row],[Net max]]</f>
        <v>1</v>
      </c>
      <c r="K58" s="306">
        <f>TblRezone[[#This Row],[Hour]]</f>
        <v>55</v>
      </c>
      <c r="L58" s="307">
        <f ca="1">TblImps[[#This Row],[Real time]]</f>
        <v>45368.999999999869</v>
      </c>
      <c r="M58" s="62">
        <f>IF(ISERROR(TblImps[[#This Row],[algorithm]]),0,TblImps[[#This Row],[algorithm]]*1)</f>
        <v>0</v>
      </c>
      <c r="N58" s="97">
        <f ca="1">TblImps[[#This Row],[Land]]</f>
        <v>250</v>
      </c>
      <c r="O58" s="308" t="s">
        <v>4</v>
      </c>
      <c r="P58" s="309"/>
      <c r="Q58" s="308" t="s">
        <v>212</v>
      </c>
      <c r="R58" s="308" t="s">
        <v>7</v>
      </c>
      <c r="S58" s="309"/>
      <c r="T58" s="308" t="s">
        <v>212</v>
      </c>
      <c r="U58" s="308" t="s">
        <v>3</v>
      </c>
      <c r="V58" s="309"/>
      <c r="W58" s="308" t="s">
        <v>212</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45368.999999999869</v>
      </c>
      <c r="BZ58" s="317">
        <f ca="1">OFFSET(TblImps[[#This Row],[Servertime]],-1,0)+1/24</f>
        <v>45369.249999999869</v>
      </c>
      <c r="CA58" s="57"/>
      <c r="CB58" s="315"/>
      <c r="CC58" s="315"/>
    </row>
    <row r="59" spans="1:81" x14ac:dyDescent="0.2">
      <c r="A59" s="225">
        <f ca="1">TblConstr[[#This Row],[Land]]</f>
        <v>250</v>
      </c>
      <c r="B59" s="145"/>
      <c r="C59" s="97">
        <f ca="1">TblProd[[#This Row],[Platinum]]</f>
        <v>422608</v>
      </c>
      <c r="D59" s="97">
        <f ca="1">TblProd[[#This Row],[Lumber]]</f>
        <v>51093</v>
      </c>
      <c r="E59" s="97">
        <f ca="1">TblProd[[#This Row],[Ore]]</f>
        <v>0</v>
      </c>
      <c r="F59" s="97">
        <f ca="1">TblProd[[#This Row],[Gems]]</f>
        <v>0</v>
      </c>
      <c r="G59" s="157"/>
      <c r="H59" s="97">
        <f ca="1">TblMili[[#This Row],[Draftees]]</f>
        <v>626</v>
      </c>
      <c r="I59" s="183">
        <f ca="1">TblPop[[#This Row],[Employment]]</f>
        <v>1</v>
      </c>
      <c r="J59" s="183">
        <f ca="1">TblPop[[#This Row],[Total]]/TblPop[[#This Row],[Net max]]</f>
        <v>1</v>
      </c>
      <c r="K59" s="306">
        <f>TblRezone[[#This Row],[Hour]]</f>
        <v>56</v>
      </c>
      <c r="L59" s="307">
        <f ca="1">TblImps[[#This Row],[Real time]]</f>
        <v>45369.041666666533</v>
      </c>
      <c r="M59" s="62">
        <f>IF(ISERROR(TblImps[[#This Row],[algorithm]]),0,TblImps[[#This Row],[algorithm]]*1)</f>
        <v>0</v>
      </c>
      <c r="N59" s="97">
        <f ca="1">TblImps[[#This Row],[Land]]</f>
        <v>250</v>
      </c>
      <c r="O59" s="308" t="s">
        <v>4</v>
      </c>
      <c r="P59" s="309"/>
      <c r="Q59" s="308" t="s">
        <v>212</v>
      </c>
      <c r="R59" s="308" t="s">
        <v>7</v>
      </c>
      <c r="S59" s="309"/>
      <c r="T59" s="308" t="s">
        <v>212</v>
      </c>
      <c r="U59" s="308" t="s">
        <v>3</v>
      </c>
      <c r="V59" s="309"/>
      <c r="W59" s="308" t="s">
        <v>212</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45369.041666666533</v>
      </c>
      <c r="BZ59" s="317">
        <f ca="1">OFFSET(TblImps[[#This Row],[Servertime]],-1,0)+1/24</f>
        <v>45369.291666666533</v>
      </c>
      <c r="CA59" s="57"/>
      <c r="CB59" s="315"/>
      <c r="CC59" s="315"/>
    </row>
    <row r="60" spans="1:81" x14ac:dyDescent="0.2">
      <c r="A60" s="225">
        <f ca="1">TblConstr[[#This Row],[Land]]</f>
        <v>250</v>
      </c>
      <c r="B60" s="145"/>
      <c r="C60" s="97">
        <f ca="1">TblProd[[#This Row],[Platinum]]</f>
        <v>428094</v>
      </c>
      <c r="D60" s="97">
        <f ca="1">TblProd[[#This Row],[Lumber]]</f>
        <v>51582</v>
      </c>
      <c r="E60" s="97">
        <f ca="1">TblProd[[#This Row],[Ore]]</f>
        <v>0</v>
      </c>
      <c r="F60" s="97">
        <f ca="1">TblProd[[#This Row],[Gems]]</f>
        <v>0</v>
      </c>
      <c r="G60" s="157"/>
      <c r="H60" s="97">
        <f ca="1">TblMili[[#This Row],[Draftees]]</f>
        <v>626</v>
      </c>
      <c r="I60" s="183">
        <f ca="1">TblPop[[#This Row],[Employment]]</f>
        <v>1</v>
      </c>
      <c r="J60" s="183">
        <f ca="1">TblPop[[#This Row],[Total]]/TblPop[[#This Row],[Net max]]</f>
        <v>1</v>
      </c>
      <c r="K60" s="306">
        <f>TblRezone[[#This Row],[Hour]]</f>
        <v>57</v>
      </c>
      <c r="L60" s="307">
        <f ca="1">TblImps[[#This Row],[Real time]]</f>
        <v>45369.083333333198</v>
      </c>
      <c r="M60" s="62">
        <f>IF(ISERROR(TblImps[[#This Row],[algorithm]]),0,TblImps[[#This Row],[algorithm]]*1)</f>
        <v>0</v>
      </c>
      <c r="N60" s="97">
        <f ca="1">TblImps[[#This Row],[Land]]</f>
        <v>250</v>
      </c>
      <c r="O60" s="308" t="s">
        <v>4</v>
      </c>
      <c r="P60" s="309"/>
      <c r="Q60" s="308" t="s">
        <v>212</v>
      </c>
      <c r="R60" s="308" t="s">
        <v>7</v>
      </c>
      <c r="S60" s="309"/>
      <c r="T60" s="308" t="s">
        <v>212</v>
      </c>
      <c r="U60" s="308" t="s">
        <v>3</v>
      </c>
      <c r="V60" s="309"/>
      <c r="W60" s="308" t="s">
        <v>212</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45369.083333333198</v>
      </c>
      <c r="BZ60" s="317">
        <f ca="1">OFFSET(TblImps[[#This Row],[Servertime]],-1,0)+1/24</f>
        <v>45369.333333333198</v>
      </c>
      <c r="CA60" s="57"/>
      <c r="CB60" s="315"/>
      <c r="CC60" s="315"/>
    </row>
    <row r="61" spans="1:81" x14ac:dyDescent="0.2">
      <c r="A61" s="225">
        <f ca="1">TblConstr[[#This Row],[Land]]</f>
        <v>250</v>
      </c>
      <c r="B61" s="145"/>
      <c r="C61" s="97">
        <f ca="1">TblProd[[#This Row],[Platinum]]</f>
        <v>433580</v>
      </c>
      <c r="D61" s="97">
        <f ca="1">TblProd[[#This Row],[Lumber]]</f>
        <v>52066</v>
      </c>
      <c r="E61" s="97">
        <f ca="1">TblProd[[#This Row],[Ore]]</f>
        <v>0</v>
      </c>
      <c r="F61" s="97">
        <f ca="1">TblProd[[#This Row],[Gems]]</f>
        <v>0</v>
      </c>
      <c r="G61" s="157"/>
      <c r="H61" s="97">
        <f ca="1">TblMili[[#This Row],[Draftees]]</f>
        <v>626</v>
      </c>
      <c r="I61" s="183">
        <f ca="1">TblPop[[#This Row],[Employment]]</f>
        <v>1</v>
      </c>
      <c r="J61" s="183">
        <f ca="1">TblPop[[#This Row],[Total]]/TblPop[[#This Row],[Net max]]</f>
        <v>1</v>
      </c>
      <c r="K61" s="306">
        <f>TblRezone[[#This Row],[Hour]]</f>
        <v>58</v>
      </c>
      <c r="L61" s="307">
        <f ca="1">TblImps[[#This Row],[Real time]]</f>
        <v>45369.124999999862</v>
      </c>
      <c r="M61" s="62">
        <f>IF(ISERROR(TblImps[[#This Row],[algorithm]]),0,TblImps[[#This Row],[algorithm]]*1)</f>
        <v>0</v>
      </c>
      <c r="N61" s="97">
        <f ca="1">TblImps[[#This Row],[Land]]</f>
        <v>250</v>
      </c>
      <c r="O61" s="308" t="s">
        <v>4</v>
      </c>
      <c r="P61" s="309"/>
      <c r="Q61" s="308" t="s">
        <v>212</v>
      </c>
      <c r="R61" s="308" t="s">
        <v>7</v>
      </c>
      <c r="S61" s="309"/>
      <c r="T61" s="308" t="s">
        <v>212</v>
      </c>
      <c r="U61" s="308" t="s">
        <v>3</v>
      </c>
      <c r="V61" s="309"/>
      <c r="W61" s="308" t="s">
        <v>212</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45369.124999999862</v>
      </c>
      <c r="BZ61" s="317">
        <f ca="1">OFFSET(TblImps[[#This Row],[Servertime]],-1,0)+1/24</f>
        <v>45369.374999999862</v>
      </c>
      <c r="CA61" s="57"/>
      <c r="CB61" s="315"/>
      <c r="CC61" s="315"/>
    </row>
    <row r="62" spans="1:81" x14ac:dyDescent="0.2">
      <c r="A62" s="225">
        <f ca="1">TblConstr[[#This Row],[Land]]</f>
        <v>250</v>
      </c>
      <c r="B62" s="145"/>
      <c r="C62" s="97">
        <f ca="1">TblProd[[#This Row],[Platinum]]</f>
        <v>439066</v>
      </c>
      <c r="D62" s="97">
        <f ca="1">TblProd[[#This Row],[Lumber]]</f>
        <v>52545</v>
      </c>
      <c r="E62" s="97">
        <f ca="1">TblProd[[#This Row],[Ore]]</f>
        <v>0</v>
      </c>
      <c r="F62" s="97">
        <f ca="1">TblProd[[#This Row],[Gems]]</f>
        <v>0</v>
      </c>
      <c r="G62" s="157"/>
      <c r="H62" s="97">
        <f ca="1">TblMili[[#This Row],[Draftees]]</f>
        <v>626</v>
      </c>
      <c r="I62" s="183">
        <f ca="1">TblPop[[#This Row],[Employment]]</f>
        <v>1</v>
      </c>
      <c r="J62" s="183">
        <f ca="1">TblPop[[#This Row],[Total]]/TblPop[[#This Row],[Net max]]</f>
        <v>1</v>
      </c>
      <c r="K62" s="306">
        <f>TblRezone[[#This Row],[Hour]]</f>
        <v>59</v>
      </c>
      <c r="L62" s="307">
        <f ca="1">TblImps[[#This Row],[Real time]]</f>
        <v>45369.166666666526</v>
      </c>
      <c r="M62" s="62">
        <f>IF(ISERROR(TblImps[[#This Row],[algorithm]]),0,TblImps[[#This Row],[algorithm]]*1)</f>
        <v>0</v>
      </c>
      <c r="N62" s="97">
        <f ca="1">TblImps[[#This Row],[Land]]</f>
        <v>250</v>
      </c>
      <c r="O62" s="308" t="s">
        <v>4</v>
      </c>
      <c r="P62" s="309"/>
      <c r="Q62" s="308" t="s">
        <v>212</v>
      </c>
      <c r="R62" s="308" t="s">
        <v>7</v>
      </c>
      <c r="S62" s="309"/>
      <c r="T62" s="308" t="s">
        <v>212</v>
      </c>
      <c r="U62" s="308" t="s">
        <v>3</v>
      </c>
      <c r="V62" s="309"/>
      <c r="W62" s="308" t="s">
        <v>212</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45369.166666666526</v>
      </c>
      <c r="BZ62" s="317">
        <f ca="1">OFFSET(TblImps[[#This Row],[Servertime]],-1,0)+1/24</f>
        <v>45369.416666666526</v>
      </c>
      <c r="CA62" s="57"/>
      <c r="CB62" s="315"/>
      <c r="CC62" s="315"/>
    </row>
    <row r="63" spans="1:81" x14ac:dyDescent="0.2">
      <c r="A63" s="225">
        <f ca="1">TblConstr[[#This Row],[Land]]</f>
        <v>250</v>
      </c>
      <c r="B63" s="145"/>
      <c r="C63" s="97">
        <f ca="1">TblProd[[#This Row],[Platinum]]</f>
        <v>444552</v>
      </c>
      <c r="D63" s="97">
        <f ca="1">TblProd[[#This Row],[Lumber]]</f>
        <v>53020</v>
      </c>
      <c r="E63" s="97">
        <f ca="1">TblProd[[#This Row],[Ore]]</f>
        <v>0</v>
      </c>
      <c r="F63" s="97">
        <f ca="1">TblProd[[#This Row],[Gems]]</f>
        <v>0</v>
      </c>
      <c r="G63" s="157"/>
      <c r="H63" s="97">
        <f ca="1">TblMili[[#This Row],[Draftees]]</f>
        <v>626</v>
      </c>
      <c r="I63" s="183">
        <f ca="1">TblPop[[#This Row],[Employment]]</f>
        <v>1</v>
      </c>
      <c r="J63" s="183">
        <f ca="1">TblPop[[#This Row],[Total]]/TblPop[[#This Row],[Net max]]</f>
        <v>1</v>
      </c>
      <c r="K63" s="306">
        <f>TblRezone[[#This Row],[Hour]]</f>
        <v>60</v>
      </c>
      <c r="L63" s="307">
        <f ca="1">TblImps[[#This Row],[Real time]]</f>
        <v>45369.20833333319</v>
      </c>
      <c r="M63" s="62">
        <f>IF(ISERROR(TblImps[[#This Row],[algorithm]]),0,TblImps[[#This Row],[algorithm]]*1)</f>
        <v>0</v>
      </c>
      <c r="N63" s="97">
        <f ca="1">TblImps[[#This Row],[Land]]</f>
        <v>250</v>
      </c>
      <c r="O63" s="308" t="s">
        <v>4</v>
      </c>
      <c r="P63" s="309"/>
      <c r="Q63" s="308" t="s">
        <v>212</v>
      </c>
      <c r="R63" s="308" t="s">
        <v>7</v>
      </c>
      <c r="S63" s="309"/>
      <c r="T63" s="308" t="s">
        <v>212</v>
      </c>
      <c r="U63" s="308" t="s">
        <v>3</v>
      </c>
      <c r="V63" s="309"/>
      <c r="W63" s="308" t="s">
        <v>212</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45369.20833333319</v>
      </c>
      <c r="BZ63" s="317">
        <f ca="1">OFFSET(TblImps[[#This Row],[Servertime]],-1,0)+1/24</f>
        <v>45369.45833333319</v>
      </c>
      <c r="CA63" s="57"/>
      <c r="CB63" s="315"/>
      <c r="CC63" s="315"/>
    </row>
    <row r="64" spans="1:81" x14ac:dyDescent="0.2">
      <c r="A64" s="225">
        <f ca="1">TblConstr[[#This Row],[Land]]</f>
        <v>250</v>
      </c>
      <c r="B64" s="145"/>
      <c r="C64" s="97">
        <f ca="1">TblProd[[#This Row],[Platinum]]</f>
        <v>450038</v>
      </c>
      <c r="D64" s="97">
        <f ca="1">TblProd[[#This Row],[Lumber]]</f>
        <v>53490</v>
      </c>
      <c r="E64" s="97">
        <f ca="1">TblProd[[#This Row],[Ore]]</f>
        <v>0</v>
      </c>
      <c r="F64" s="97">
        <f ca="1">TblProd[[#This Row],[Gems]]</f>
        <v>0</v>
      </c>
      <c r="G64" s="157"/>
      <c r="H64" s="97">
        <f ca="1">TblMili[[#This Row],[Draftees]]</f>
        <v>626</v>
      </c>
      <c r="I64" s="183">
        <f ca="1">TblPop[[#This Row],[Employment]]</f>
        <v>1</v>
      </c>
      <c r="J64" s="183">
        <f ca="1">TblPop[[#This Row],[Total]]/TblPop[[#This Row],[Net max]]</f>
        <v>1</v>
      </c>
      <c r="K64" s="306">
        <f>TblRezone[[#This Row],[Hour]]</f>
        <v>61</v>
      </c>
      <c r="L64" s="307">
        <f ca="1">TblImps[[#This Row],[Real time]]</f>
        <v>45369.249999999854</v>
      </c>
      <c r="M64" s="62">
        <f>IF(ISERROR(TblImps[[#This Row],[algorithm]]),0,TblImps[[#This Row],[algorithm]]*1)</f>
        <v>0</v>
      </c>
      <c r="N64" s="97">
        <f ca="1">TblImps[[#This Row],[Land]]</f>
        <v>250</v>
      </c>
      <c r="O64" s="308" t="s">
        <v>4</v>
      </c>
      <c r="P64" s="309"/>
      <c r="Q64" s="308" t="s">
        <v>212</v>
      </c>
      <c r="R64" s="308" t="s">
        <v>7</v>
      </c>
      <c r="S64" s="309"/>
      <c r="T64" s="308" t="s">
        <v>212</v>
      </c>
      <c r="U64" s="308" t="s">
        <v>3</v>
      </c>
      <c r="V64" s="309"/>
      <c r="W64" s="308" t="s">
        <v>212</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45369.249999999854</v>
      </c>
      <c r="BZ64" s="317">
        <f ca="1">OFFSET(TblImps[[#This Row],[Servertime]],-1,0)+1/24</f>
        <v>45369.499999999854</v>
      </c>
      <c r="CA64" s="57"/>
      <c r="CB64" s="315"/>
      <c r="CC64" s="315"/>
    </row>
    <row r="65" spans="1:84" x14ac:dyDescent="0.2">
      <c r="A65" s="225">
        <f ca="1">TblConstr[[#This Row],[Land]]</f>
        <v>250</v>
      </c>
      <c r="B65" s="145"/>
      <c r="C65" s="97">
        <f ca="1">TblProd[[#This Row],[Platinum]]</f>
        <v>455524</v>
      </c>
      <c r="D65" s="97">
        <f ca="1">TblProd[[#This Row],[Lumber]]</f>
        <v>53955</v>
      </c>
      <c r="E65" s="97">
        <f ca="1">TblProd[[#This Row],[Ore]]</f>
        <v>0</v>
      </c>
      <c r="F65" s="97">
        <f ca="1">TblProd[[#This Row],[Gems]]</f>
        <v>0</v>
      </c>
      <c r="G65" s="157"/>
      <c r="H65" s="97">
        <f ca="1">TblMili[[#This Row],[Draftees]]</f>
        <v>626</v>
      </c>
      <c r="I65" s="183">
        <f ca="1">TblPop[[#This Row],[Employment]]</f>
        <v>1</v>
      </c>
      <c r="J65" s="183">
        <f ca="1">TblPop[[#This Row],[Total]]/TblPop[[#This Row],[Net max]]</f>
        <v>1</v>
      </c>
      <c r="K65" s="306">
        <f>TblRezone[[#This Row],[Hour]]</f>
        <v>62</v>
      </c>
      <c r="L65" s="307">
        <f ca="1">TblImps[[#This Row],[Real time]]</f>
        <v>45369.291666666519</v>
      </c>
      <c r="M65" s="62">
        <f>IF(ISERROR(TblImps[[#This Row],[algorithm]]),0,TblImps[[#This Row],[algorithm]]*1)</f>
        <v>0</v>
      </c>
      <c r="N65" s="97">
        <f ca="1">TblImps[[#This Row],[Land]]</f>
        <v>250</v>
      </c>
      <c r="O65" s="308" t="s">
        <v>4</v>
      </c>
      <c r="P65" s="309"/>
      <c r="Q65" s="308" t="s">
        <v>212</v>
      </c>
      <c r="R65" s="308" t="s">
        <v>7</v>
      </c>
      <c r="S65" s="309"/>
      <c r="T65" s="308" t="s">
        <v>212</v>
      </c>
      <c r="U65" s="308" t="s">
        <v>3</v>
      </c>
      <c r="V65" s="309"/>
      <c r="W65" s="308" t="s">
        <v>212</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45369.291666666519</v>
      </c>
      <c r="BZ65" s="317">
        <f ca="1">OFFSET(TblImps[[#This Row],[Servertime]],-1,0)+1/24</f>
        <v>45369.541666666519</v>
      </c>
      <c r="CA65" s="57"/>
      <c r="CB65" s="315"/>
      <c r="CC65" s="315"/>
    </row>
    <row r="66" spans="1:84" x14ac:dyDescent="0.2">
      <c r="A66" s="225">
        <f ca="1">TblConstr[[#This Row],[Land]]</f>
        <v>250</v>
      </c>
      <c r="B66" s="145"/>
      <c r="C66" s="97">
        <f ca="1">TblProd[[#This Row],[Platinum]]</f>
        <v>461010</v>
      </c>
      <c r="D66" s="97">
        <f ca="1">TblProd[[#This Row],[Lumber]]</f>
        <v>54415</v>
      </c>
      <c r="E66" s="97">
        <f ca="1">TblProd[[#This Row],[Ore]]</f>
        <v>0</v>
      </c>
      <c r="F66" s="97">
        <f ca="1">TblProd[[#This Row],[Gems]]</f>
        <v>0</v>
      </c>
      <c r="G66" s="157"/>
      <c r="H66" s="97">
        <f ca="1">TblMili[[#This Row],[Draftees]]</f>
        <v>626</v>
      </c>
      <c r="I66" s="183">
        <f ca="1">TblPop[[#This Row],[Employment]]</f>
        <v>1</v>
      </c>
      <c r="J66" s="183">
        <f ca="1">TblPop[[#This Row],[Total]]/TblPop[[#This Row],[Net max]]</f>
        <v>1</v>
      </c>
      <c r="K66" s="306">
        <f>TblRezone[[#This Row],[Hour]]</f>
        <v>63</v>
      </c>
      <c r="L66" s="307">
        <f ca="1">TblImps[[#This Row],[Real time]]</f>
        <v>45369.333333333183</v>
      </c>
      <c r="M66" s="62">
        <f>IF(ISERROR(TblImps[[#This Row],[algorithm]]),0,TblImps[[#This Row],[algorithm]]*1)</f>
        <v>0</v>
      </c>
      <c r="N66" s="97">
        <f ca="1">TblImps[[#This Row],[Land]]</f>
        <v>250</v>
      </c>
      <c r="O66" s="308" t="s">
        <v>2</v>
      </c>
      <c r="P66" s="309"/>
      <c r="Q66" s="308" t="s">
        <v>212</v>
      </c>
      <c r="R66" s="308" t="s">
        <v>7</v>
      </c>
      <c r="S66" s="309"/>
      <c r="T66" s="308" t="s">
        <v>212</v>
      </c>
      <c r="U66" s="308" t="s">
        <v>3</v>
      </c>
      <c r="V66" s="309"/>
      <c r="W66" s="308" t="s">
        <v>212</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45369.333333333183</v>
      </c>
      <c r="BZ66" s="317">
        <f ca="1">OFFSET(TblImps[[#This Row],[Servertime]],-1,0)+1/24</f>
        <v>45369.583333333183</v>
      </c>
      <c r="CA66" s="320"/>
      <c r="CB66" s="315"/>
      <c r="CC66" s="315"/>
    </row>
    <row r="67" spans="1:84" x14ac:dyDescent="0.2">
      <c r="A67" s="225">
        <f ca="1">TblConstr[[#This Row],[Land]]</f>
        <v>250</v>
      </c>
      <c r="B67" s="145"/>
      <c r="C67" s="97">
        <f ca="1">TblProd[[#This Row],[Platinum]]</f>
        <v>466496</v>
      </c>
      <c r="D67" s="97">
        <f ca="1">TblProd[[#This Row],[Lumber]]</f>
        <v>54871</v>
      </c>
      <c r="E67" s="97">
        <f ca="1">TblProd[[#This Row],[Ore]]</f>
        <v>0</v>
      </c>
      <c r="F67" s="97">
        <f ca="1">TblProd[[#This Row],[Gems]]</f>
        <v>0</v>
      </c>
      <c r="G67" s="157"/>
      <c r="H67" s="97">
        <f ca="1">TblMili[[#This Row],[Draftees]]</f>
        <v>626</v>
      </c>
      <c r="I67" s="183">
        <f ca="1">TblPop[[#This Row],[Employment]]</f>
        <v>1</v>
      </c>
      <c r="J67" s="183">
        <f ca="1">TblPop[[#This Row],[Total]]/TblPop[[#This Row],[Net max]]</f>
        <v>1</v>
      </c>
      <c r="K67" s="306">
        <f>TblRezone[[#This Row],[Hour]]</f>
        <v>64</v>
      </c>
      <c r="L67" s="307">
        <f ca="1">TblImps[[#This Row],[Real time]]</f>
        <v>45369.374999999847</v>
      </c>
      <c r="M67" s="62">
        <f>IF(ISERROR(TblImps[[#This Row],[algorithm]]),0,TblImps[[#This Row],[algorithm]]*1)</f>
        <v>0</v>
      </c>
      <c r="N67" s="97">
        <f ca="1">TblImps[[#This Row],[Land]]</f>
        <v>250</v>
      </c>
      <c r="O67" s="308" t="s">
        <v>4</v>
      </c>
      <c r="P67" s="309"/>
      <c r="Q67" s="308" t="s">
        <v>212</v>
      </c>
      <c r="R67" s="308" t="s">
        <v>7</v>
      </c>
      <c r="S67" s="309"/>
      <c r="T67" s="308" t="s">
        <v>212</v>
      </c>
      <c r="U67" s="308" t="s">
        <v>3</v>
      </c>
      <c r="V67" s="309"/>
      <c r="W67" s="308" t="s">
        <v>212</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45369.374999999847</v>
      </c>
      <c r="BZ67" s="317">
        <f ca="1">OFFSET(TblImps[[#This Row],[Servertime]],-1,0)+1/24</f>
        <v>45369.624999999847</v>
      </c>
      <c r="CA67" s="57"/>
      <c r="CB67" s="315"/>
      <c r="CC67" s="315"/>
    </row>
    <row r="68" spans="1:84" x14ac:dyDescent="0.2">
      <c r="A68" s="225">
        <f ca="1">TblConstr[[#This Row],[Land]]</f>
        <v>250</v>
      </c>
      <c r="B68" s="145"/>
      <c r="C68" s="97">
        <f ca="1">TblProd[[#This Row],[Platinum]]</f>
        <v>471982</v>
      </c>
      <c r="D68" s="97">
        <f ca="1">TblProd[[#This Row],[Lumber]]</f>
        <v>55322</v>
      </c>
      <c r="E68" s="97">
        <f ca="1">TblProd[[#This Row],[Ore]]</f>
        <v>0</v>
      </c>
      <c r="F68" s="97">
        <f ca="1">TblProd[[#This Row],[Gems]]</f>
        <v>0</v>
      </c>
      <c r="G68" s="157"/>
      <c r="H68" s="97">
        <f ca="1">TblMili[[#This Row],[Draftees]]</f>
        <v>626</v>
      </c>
      <c r="I68" s="183">
        <f ca="1">TblPop[[#This Row],[Employment]]</f>
        <v>1</v>
      </c>
      <c r="J68" s="183">
        <f ca="1">TblPop[[#This Row],[Total]]/TblPop[[#This Row],[Net max]]</f>
        <v>1</v>
      </c>
      <c r="K68" s="306">
        <f>TblRezone[[#This Row],[Hour]]</f>
        <v>65</v>
      </c>
      <c r="L68" s="307">
        <f ca="1">TblImps[[#This Row],[Real time]]</f>
        <v>45369.416666666511</v>
      </c>
      <c r="M68" s="62">
        <f>IF(ISERROR(TblImps[[#This Row],[algorithm]]),0,TblImps[[#This Row],[algorithm]]*1)</f>
        <v>0</v>
      </c>
      <c r="N68" s="97">
        <f ca="1">TblImps[[#This Row],[Land]]</f>
        <v>250</v>
      </c>
      <c r="O68" s="308" t="s">
        <v>4</v>
      </c>
      <c r="P68" s="309"/>
      <c r="Q68" s="308" t="s">
        <v>212</v>
      </c>
      <c r="R68" s="308" t="s">
        <v>7</v>
      </c>
      <c r="S68" s="309"/>
      <c r="T68" s="308" t="s">
        <v>212</v>
      </c>
      <c r="U68" s="308" t="s">
        <v>3</v>
      </c>
      <c r="V68" s="309"/>
      <c r="W68" s="308" t="s">
        <v>212</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45369.416666666511</v>
      </c>
      <c r="BZ68" s="317">
        <f ca="1">OFFSET(TblImps[[#This Row],[Servertime]],-1,0)+1/24</f>
        <v>45369.666666666511</v>
      </c>
      <c r="CA68" s="57"/>
      <c r="CB68" s="315"/>
      <c r="CC68" s="315"/>
    </row>
    <row r="69" spans="1:84" x14ac:dyDescent="0.2">
      <c r="A69" s="225">
        <f ca="1">TblConstr[[#This Row],[Land]]</f>
        <v>250</v>
      </c>
      <c r="B69" s="145"/>
      <c r="C69" s="97">
        <f ca="1">TblProd[[#This Row],[Platinum]]</f>
        <v>477468</v>
      </c>
      <c r="D69" s="97">
        <f ca="1">TblProd[[#This Row],[Lumber]]</f>
        <v>55769</v>
      </c>
      <c r="E69" s="97">
        <f ca="1">TblProd[[#This Row],[Ore]]</f>
        <v>0</v>
      </c>
      <c r="F69" s="97">
        <f ca="1">TblProd[[#This Row],[Gems]]</f>
        <v>0</v>
      </c>
      <c r="G69" s="157"/>
      <c r="H69" s="97">
        <f ca="1">TblMili[[#This Row],[Draftees]]</f>
        <v>626</v>
      </c>
      <c r="I69" s="183">
        <f ca="1">TblPop[[#This Row],[Employment]]</f>
        <v>1</v>
      </c>
      <c r="J69" s="183">
        <f ca="1">TblPop[[#This Row],[Total]]/TblPop[[#This Row],[Net max]]</f>
        <v>1</v>
      </c>
      <c r="K69" s="306">
        <f>TblRezone[[#This Row],[Hour]]</f>
        <v>66</v>
      </c>
      <c r="L69" s="307">
        <f ca="1">TblImps[[#This Row],[Real time]]</f>
        <v>45369.458333333176</v>
      </c>
      <c r="M69" s="62">
        <f>IF(ISERROR(TblImps[[#This Row],[algorithm]]),0,TblImps[[#This Row],[algorithm]]*1)</f>
        <v>0</v>
      </c>
      <c r="N69" s="97">
        <f ca="1">TblImps[[#This Row],[Land]]</f>
        <v>250</v>
      </c>
      <c r="O69" s="308" t="s">
        <v>4</v>
      </c>
      <c r="P69" s="309"/>
      <c r="Q69" s="308" t="s">
        <v>212</v>
      </c>
      <c r="R69" s="308" t="s">
        <v>7</v>
      </c>
      <c r="S69" s="309"/>
      <c r="T69" s="308" t="s">
        <v>212</v>
      </c>
      <c r="U69" s="308" t="s">
        <v>3</v>
      </c>
      <c r="V69" s="309"/>
      <c r="W69" s="308" t="s">
        <v>212</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45369.458333333176</v>
      </c>
      <c r="BZ69" s="317">
        <f ca="1">OFFSET(TblImps[[#This Row],[Servertime]],-1,0)+1/24</f>
        <v>45369.708333333176</v>
      </c>
      <c r="CA69" s="57"/>
      <c r="CB69" s="315"/>
      <c r="CC69" s="315"/>
    </row>
    <row r="70" spans="1:84" x14ac:dyDescent="0.2">
      <c r="A70" s="225">
        <f ca="1">TblConstr[[#This Row],[Land]]</f>
        <v>250</v>
      </c>
      <c r="B70" s="145"/>
      <c r="C70" s="97">
        <f ca="1">TblProd[[#This Row],[Platinum]]</f>
        <v>482954</v>
      </c>
      <c r="D70" s="97">
        <f ca="1">TblProd[[#This Row],[Lumber]]</f>
        <v>56211</v>
      </c>
      <c r="E70" s="97">
        <f ca="1">TblProd[[#This Row],[Ore]]</f>
        <v>0</v>
      </c>
      <c r="F70" s="97">
        <f ca="1">TblProd[[#This Row],[Gems]]</f>
        <v>0</v>
      </c>
      <c r="G70" s="157"/>
      <c r="H70" s="97">
        <f ca="1">TblMili[[#This Row],[Draftees]]</f>
        <v>626</v>
      </c>
      <c r="I70" s="183">
        <f ca="1">TblPop[[#This Row],[Employment]]</f>
        <v>1</v>
      </c>
      <c r="J70" s="183">
        <f ca="1">TblPop[[#This Row],[Total]]/TblPop[[#This Row],[Net max]]</f>
        <v>1</v>
      </c>
      <c r="K70" s="306">
        <f>TblRezone[[#This Row],[Hour]]</f>
        <v>67</v>
      </c>
      <c r="L70" s="307">
        <f ca="1">TblImps[[#This Row],[Real time]]</f>
        <v>45369.49999999984</v>
      </c>
      <c r="M70" s="62">
        <f>IF(ISERROR(TblImps[[#This Row],[algorithm]]),0,TblImps[[#This Row],[algorithm]]*1)</f>
        <v>0</v>
      </c>
      <c r="N70" s="97">
        <f ca="1">TblImps[[#This Row],[Land]]</f>
        <v>250</v>
      </c>
      <c r="O70" s="308" t="s">
        <v>4</v>
      </c>
      <c r="P70" s="309"/>
      <c r="Q70" s="308" t="s">
        <v>212</v>
      </c>
      <c r="R70" s="308" t="s">
        <v>7</v>
      </c>
      <c r="S70" s="309"/>
      <c r="T70" s="308" t="s">
        <v>212</v>
      </c>
      <c r="U70" s="308" t="s">
        <v>3</v>
      </c>
      <c r="V70" s="309"/>
      <c r="W70" s="308" t="s">
        <v>212</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45369.49999999984</v>
      </c>
      <c r="BZ70" s="317">
        <f ca="1">OFFSET(TblImps[[#This Row],[Servertime]],-1,0)+1/24</f>
        <v>45369.74999999984</v>
      </c>
      <c r="CA70" s="57"/>
      <c r="CB70" s="315"/>
      <c r="CC70" s="315"/>
    </row>
    <row r="71" spans="1:84" x14ac:dyDescent="0.2">
      <c r="A71" s="225">
        <f ca="1">TblConstr[[#This Row],[Land]]</f>
        <v>250</v>
      </c>
      <c r="B71" s="145"/>
      <c r="C71" s="97">
        <f ca="1">TblProd[[#This Row],[Platinum]]</f>
        <v>488440</v>
      </c>
      <c r="D71" s="97">
        <f ca="1">TblProd[[#This Row],[Lumber]]</f>
        <v>56649</v>
      </c>
      <c r="E71" s="97">
        <f ca="1">TblProd[[#This Row],[Ore]]</f>
        <v>0</v>
      </c>
      <c r="F71" s="97">
        <f ca="1">TblProd[[#This Row],[Gems]]</f>
        <v>0</v>
      </c>
      <c r="G71" s="157"/>
      <c r="H71" s="97">
        <f ca="1">TblMili[[#This Row],[Draftees]]</f>
        <v>626</v>
      </c>
      <c r="I71" s="183">
        <f ca="1">TblPop[[#This Row],[Employment]]</f>
        <v>1</v>
      </c>
      <c r="J71" s="183">
        <f ca="1">TblPop[[#This Row],[Total]]/TblPop[[#This Row],[Net max]]</f>
        <v>1</v>
      </c>
      <c r="K71" s="306">
        <f>TblRezone[[#This Row],[Hour]]</f>
        <v>68</v>
      </c>
      <c r="L71" s="307">
        <f ca="1">TblImps[[#This Row],[Real time]]</f>
        <v>45369.541666666504</v>
      </c>
      <c r="M71" s="62">
        <f>IF(ISERROR(TblImps[[#This Row],[algorithm]]),0,TblImps[[#This Row],[algorithm]]*1)</f>
        <v>0</v>
      </c>
      <c r="N71" s="97">
        <f ca="1">TblImps[[#This Row],[Land]]</f>
        <v>250</v>
      </c>
      <c r="O71" s="308" t="s">
        <v>4</v>
      </c>
      <c r="P71" s="309"/>
      <c r="Q71" s="308" t="s">
        <v>212</v>
      </c>
      <c r="R71" s="308" t="s">
        <v>7</v>
      </c>
      <c r="S71" s="309"/>
      <c r="T71" s="308" t="s">
        <v>212</v>
      </c>
      <c r="U71" s="308" t="s">
        <v>3</v>
      </c>
      <c r="V71" s="309"/>
      <c r="W71" s="308" t="s">
        <v>212</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45369.541666666504</v>
      </c>
      <c r="BZ71" s="317">
        <f ca="1">OFFSET(TblImps[[#This Row],[Servertime]],-1,0)+1/24</f>
        <v>45369.791666666504</v>
      </c>
      <c r="CA71" s="57"/>
      <c r="CB71" s="315"/>
      <c r="CC71" s="315"/>
    </row>
    <row r="72" spans="1:84" x14ac:dyDescent="0.2">
      <c r="A72" s="225">
        <f ca="1">TblConstr[[#This Row],[Land]]</f>
        <v>250</v>
      </c>
      <c r="B72" s="145"/>
      <c r="C72" s="97">
        <f ca="1">TblProd[[#This Row],[Platinum]]</f>
        <v>493926</v>
      </c>
      <c r="D72" s="97">
        <f ca="1">TblProd[[#This Row],[Lumber]]</f>
        <v>57083</v>
      </c>
      <c r="E72" s="97">
        <f ca="1">TblProd[[#This Row],[Ore]]</f>
        <v>0</v>
      </c>
      <c r="F72" s="97">
        <f ca="1">TblProd[[#This Row],[Gems]]</f>
        <v>0</v>
      </c>
      <c r="G72" s="157"/>
      <c r="H72" s="97">
        <f ca="1">TblMili[[#This Row],[Draftees]]</f>
        <v>626</v>
      </c>
      <c r="I72" s="183">
        <f ca="1">TblPop[[#This Row],[Employment]]</f>
        <v>1</v>
      </c>
      <c r="J72" s="183">
        <f ca="1">TblPop[[#This Row],[Total]]/TblPop[[#This Row],[Net max]]</f>
        <v>1</v>
      </c>
      <c r="K72" s="306">
        <f>TblRezone[[#This Row],[Hour]]</f>
        <v>69</v>
      </c>
      <c r="L72" s="307">
        <f ca="1">TblImps[[#This Row],[Real time]]</f>
        <v>45369.583333333168</v>
      </c>
      <c r="M72" s="62">
        <f>IF(ISERROR(TblImps[[#This Row],[algorithm]]),0,TblImps[[#This Row],[algorithm]]*1)</f>
        <v>0</v>
      </c>
      <c r="N72" s="97">
        <f ca="1">TblImps[[#This Row],[Land]]</f>
        <v>250</v>
      </c>
      <c r="O72" s="308" t="s">
        <v>4</v>
      </c>
      <c r="P72" s="309"/>
      <c r="Q72" s="308" t="s">
        <v>212</v>
      </c>
      <c r="R72" s="308" t="s">
        <v>7</v>
      </c>
      <c r="S72" s="309"/>
      <c r="T72" s="308" t="s">
        <v>212</v>
      </c>
      <c r="U72" s="308" t="s">
        <v>3</v>
      </c>
      <c r="V72" s="309"/>
      <c r="W72" s="308" t="s">
        <v>212</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45369.583333333168</v>
      </c>
      <c r="BZ72" s="317">
        <f ca="1">OFFSET(TblImps[[#This Row],[Servertime]],-1,0)+1/24</f>
        <v>45369.833333333168</v>
      </c>
      <c r="CA72" s="57"/>
      <c r="CB72" s="315"/>
      <c r="CC72" s="315"/>
    </row>
    <row r="73" spans="1:84" x14ac:dyDescent="0.2">
      <c r="A73" s="225">
        <f ca="1">TblConstr[[#This Row],[Land]]</f>
        <v>250</v>
      </c>
      <c r="B73" s="145"/>
      <c r="C73" s="97">
        <f ca="1">TblProd[[#This Row],[Platinum]]</f>
        <v>499412</v>
      </c>
      <c r="D73" s="97">
        <f ca="1">TblProd[[#This Row],[Lumber]]</f>
        <v>57512</v>
      </c>
      <c r="E73" s="97">
        <f ca="1">TblProd[[#This Row],[Ore]]</f>
        <v>0</v>
      </c>
      <c r="F73" s="97">
        <f ca="1">TblProd[[#This Row],[Gems]]</f>
        <v>0</v>
      </c>
      <c r="G73" s="157"/>
      <c r="H73" s="97">
        <f ca="1">TblMili[[#This Row],[Draftees]]</f>
        <v>626</v>
      </c>
      <c r="I73" s="183">
        <f ca="1">TblPop[[#This Row],[Employment]]</f>
        <v>1</v>
      </c>
      <c r="J73" s="183">
        <f ca="1">TblPop[[#This Row],[Total]]/TblPop[[#This Row],[Net max]]</f>
        <v>1</v>
      </c>
      <c r="K73" s="306">
        <f>TblRezone[[#This Row],[Hour]]</f>
        <v>70</v>
      </c>
      <c r="L73" s="307">
        <f ca="1">TblImps[[#This Row],[Real time]]</f>
        <v>45369.624999999833</v>
      </c>
      <c r="M73" s="62">
        <f>IF(ISERROR(TblImps[[#This Row],[algorithm]]),0,TblImps[[#This Row],[algorithm]]*1)</f>
        <v>0</v>
      </c>
      <c r="N73" s="97">
        <f ca="1">TblImps[[#This Row],[Land]]</f>
        <v>250</v>
      </c>
      <c r="O73" s="308" t="s">
        <v>4</v>
      </c>
      <c r="P73" s="309"/>
      <c r="Q73" s="308" t="s">
        <v>212</v>
      </c>
      <c r="R73" s="308" t="s">
        <v>7</v>
      </c>
      <c r="S73" s="309"/>
      <c r="T73" s="308" t="s">
        <v>212</v>
      </c>
      <c r="U73" s="308" t="s">
        <v>3</v>
      </c>
      <c r="V73" s="309"/>
      <c r="W73" s="308" t="s">
        <v>212</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45369.624999999833</v>
      </c>
      <c r="BZ73" s="317">
        <f ca="1">OFFSET(TblImps[[#This Row],[Servertime]],-1,0)+1/24</f>
        <v>45369.874999999833</v>
      </c>
      <c r="CA73" s="57"/>
      <c r="CB73" s="315"/>
      <c r="CC73" s="315"/>
    </row>
    <row r="74" spans="1:84" x14ac:dyDescent="0.2">
      <c r="A74" s="225">
        <f ca="1">TblConstr[[#This Row],[Land]]</f>
        <v>250</v>
      </c>
      <c r="B74" s="145"/>
      <c r="C74" s="97">
        <f ca="1">TblProd[[#This Row],[Platinum]]</f>
        <v>504898</v>
      </c>
      <c r="D74" s="97">
        <f ca="1">TblProd[[#This Row],[Lumber]]</f>
        <v>57937</v>
      </c>
      <c r="E74" s="97">
        <f ca="1">TblProd[[#This Row],[Ore]]</f>
        <v>0</v>
      </c>
      <c r="F74" s="97">
        <f ca="1">TblProd[[#This Row],[Gems]]</f>
        <v>0</v>
      </c>
      <c r="G74" s="157"/>
      <c r="H74" s="97">
        <f ca="1">TblMili[[#This Row],[Draftees]]</f>
        <v>626</v>
      </c>
      <c r="I74" s="183">
        <f ca="1">TblPop[[#This Row],[Employment]]</f>
        <v>1</v>
      </c>
      <c r="J74" s="183">
        <f ca="1">TblPop[[#This Row],[Total]]/TblPop[[#This Row],[Net max]]</f>
        <v>1</v>
      </c>
      <c r="K74" s="306">
        <f>TblRezone[[#This Row],[Hour]]</f>
        <v>71</v>
      </c>
      <c r="L74" s="307">
        <f ca="1">TblImps[[#This Row],[Real time]]</f>
        <v>45369.666666666497</v>
      </c>
      <c r="M74" s="62">
        <f>IF(ISERROR(TblImps[[#This Row],[algorithm]]),0,TblImps[[#This Row],[algorithm]]*1)</f>
        <v>0</v>
      </c>
      <c r="N74" s="97">
        <f ca="1">TblImps[[#This Row],[Land]]</f>
        <v>250</v>
      </c>
      <c r="O74" s="308" t="s">
        <v>4</v>
      </c>
      <c r="P74" s="309"/>
      <c r="Q74" s="308" t="s">
        <v>212</v>
      </c>
      <c r="R74" s="308" t="s">
        <v>7</v>
      </c>
      <c r="S74" s="309"/>
      <c r="T74" s="308" t="s">
        <v>212</v>
      </c>
      <c r="U74" s="308" t="s">
        <v>3</v>
      </c>
      <c r="V74" s="309"/>
      <c r="W74" s="308" t="s">
        <v>212</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45369.666666666497</v>
      </c>
      <c r="BZ74" s="317">
        <f ca="1">OFFSET(TblImps[[#This Row],[Servertime]],-1,0)+1/24</f>
        <v>45369.916666666497</v>
      </c>
      <c r="CA74" s="57"/>
      <c r="CB74" s="315"/>
      <c r="CC74" s="315"/>
    </row>
    <row r="75" spans="1:84" x14ac:dyDescent="0.2">
      <c r="A75" s="225">
        <f ca="1">TblConstr[[#This Row],[Land]]</f>
        <v>250</v>
      </c>
      <c r="B75" s="145"/>
      <c r="C75" s="97">
        <f ca="1">TblProd[[#This Row],[Platinum]]</f>
        <v>510384</v>
      </c>
      <c r="D75" s="97">
        <f ca="1">TblProd[[#This Row],[Lumber]]</f>
        <v>58358</v>
      </c>
      <c r="E75" s="97">
        <f ca="1">TblProd[[#This Row],[Ore]]</f>
        <v>0</v>
      </c>
      <c r="F75" s="97">
        <f ca="1">TblProd[[#This Row],[Gems]]</f>
        <v>0</v>
      </c>
      <c r="G75" s="157"/>
      <c r="H75" s="97">
        <f ca="1">TblMili[[#This Row],[Draftees]]</f>
        <v>626</v>
      </c>
      <c r="I75" s="183">
        <f ca="1">TblPop[[#This Row],[Employment]]</f>
        <v>1</v>
      </c>
      <c r="J75" s="183">
        <f ca="1">TblPop[[#This Row],[Total]]/TblPop[[#This Row],[Net max]]</f>
        <v>1</v>
      </c>
      <c r="K75" s="306">
        <f>TblRezone[[#This Row],[Hour]]</f>
        <v>72</v>
      </c>
      <c r="L75" s="307">
        <f ca="1">TblImps[[#This Row],[Real time]]</f>
        <v>45369.708333333161</v>
      </c>
      <c r="M75" s="62">
        <f>IF(ISERROR(TblImps[[#This Row],[algorithm]]),0,TblImps[[#This Row],[algorithm]]*1)</f>
        <v>0</v>
      </c>
      <c r="N75" s="97">
        <f ca="1">TblImps[[#This Row],[Land]]</f>
        <v>250</v>
      </c>
      <c r="O75" s="308" t="s">
        <v>4</v>
      </c>
      <c r="P75" s="309"/>
      <c r="Q75" s="308" t="s">
        <v>212</v>
      </c>
      <c r="R75" s="308" t="s">
        <v>7</v>
      </c>
      <c r="S75" s="309"/>
      <c r="T75" s="308" t="s">
        <v>212</v>
      </c>
      <c r="U75" s="308" t="s">
        <v>3</v>
      </c>
      <c r="V75" s="309"/>
      <c r="W75" s="308" t="s">
        <v>212</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45369.708333333161</v>
      </c>
      <c r="BZ75" s="317">
        <f ca="1">OFFSET(TblImps[[#This Row],[Servertime]],-1,0)+1/24</f>
        <v>45369.958333333161</v>
      </c>
      <c r="CA75" s="57"/>
      <c r="CB75" s="315"/>
      <c r="CC75" s="315"/>
    </row>
    <row r="76" spans="1:84" x14ac:dyDescent="0.2">
      <c r="A76" s="242">
        <f ca="1">TblConstr[[#This Row],[Land]]</f>
        <v>250</v>
      </c>
      <c r="B76" s="152"/>
      <c r="C76" s="210">
        <f ca="1">TblProd[[#This Row],[Platinum]]</f>
        <v>515870</v>
      </c>
      <c r="D76" s="210">
        <f ca="1">TblProd[[#This Row],[Lumber]]</f>
        <v>58774</v>
      </c>
      <c r="E76" s="210">
        <f ca="1">TblProd[[#This Row],[Ore]]</f>
        <v>0</v>
      </c>
      <c r="F76" s="210">
        <f ca="1">TblProd[[#This Row],[Gems]]</f>
        <v>0</v>
      </c>
      <c r="G76" s="165"/>
      <c r="H76" s="210">
        <f ca="1">TblMili[[#This Row],[Draftees]]</f>
        <v>626</v>
      </c>
      <c r="I76" s="209">
        <f ca="1">TblPop[[#This Row],[Employment]]</f>
        <v>1</v>
      </c>
      <c r="J76" s="209">
        <f ca="1">TblPop[[#This Row],[Total]]/TblPop[[#This Row],[Net max]]</f>
        <v>1</v>
      </c>
      <c r="K76" s="321">
        <f>TblRezone[[#This Row],[Hour]]</f>
        <v>73</v>
      </c>
      <c r="L76" s="322">
        <f ca="1">TblImps[[#This Row],[Real time]]</f>
        <v>45369.749999999825</v>
      </c>
      <c r="M76" s="200">
        <f>IF(ISERROR(TblImps[[#This Row],[algorithm]]),0,TblImps[[#This Row],[algorithm]]*1)</f>
        <v>0</v>
      </c>
      <c r="N76" s="210">
        <f ca="1">TblImps[[#This Row],[Land]]</f>
        <v>250</v>
      </c>
      <c r="O76" s="323" t="s">
        <v>4</v>
      </c>
      <c r="P76" s="324"/>
      <c r="Q76" s="323" t="s">
        <v>212</v>
      </c>
      <c r="R76" s="308" t="s">
        <v>7</v>
      </c>
      <c r="S76" s="324"/>
      <c r="T76" s="323" t="s">
        <v>212</v>
      </c>
      <c r="U76" s="323" t="s">
        <v>3</v>
      </c>
      <c r="V76" s="324"/>
      <c r="W76" s="323" t="s">
        <v>212</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45369.749999999825</v>
      </c>
      <c r="BZ76" s="327">
        <f ca="1">OFFSET(TblImps[[#This Row],[Servertime]],-1,0)+1/24</f>
        <v>45369.999999999825</v>
      </c>
    </row>
    <row r="77" spans="1:84" x14ac:dyDescent="0.2">
      <c r="A77" s="225">
        <f ca="1">TblConstr[[#This Row],[Land]]</f>
        <v>250</v>
      </c>
      <c r="B77" s="145"/>
      <c r="C77" s="97">
        <f ca="1">TblProd[[#This Row],[Platinum]]</f>
        <v>521356</v>
      </c>
      <c r="D77" s="97">
        <f ca="1">TblProd[[#This Row],[Lumber]]</f>
        <v>59186</v>
      </c>
      <c r="E77" s="97">
        <f ca="1">TblProd[[#This Row],[Ore]]</f>
        <v>0</v>
      </c>
      <c r="F77" s="97">
        <f ca="1">TblProd[[#This Row],[Gems]]</f>
        <v>0</v>
      </c>
      <c r="G77" s="157"/>
      <c r="H77" s="97">
        <f ca="1">TblMili[[#This Row],[Draftees]]</f>
        <v>626</v>
      </c>
      <c r="I77" s="183">
        <f ca="1">TblPop[[#This Row],[Employment]]</f>
        <v>1</v>
      </c>
      <c r="J77" s="183">
        <f ca="1">TblPop[[#This Row],[Total]]/TblPop[[#This Row],[Net max]]</f>
        <v>1</v>
      </c>
      <c r="K77" s="306">
        <f>TblRezone[[#This Row],[Hour]]</f>
        <v>74</v>
      </c>
      <c r="L77" s="307">
        <f ca="1">TblImps[[#This Row],[Real time]]</f>
        <v>45369.79166666649</v>
      </c>
      <c r="M77" s="62">
        <f>IF(ISERROR(TblImps[[#This Row],[algorithm]]),0,TblImps[[#This Row],[algorithm]]*1)</f>
        <v>0</v>
      </c>
      <c r="N77" s="97">
        <f ca="1">TblImps[[#This Row],[Land]]</f>
        <v>250</v>
      </c>
      <c r="O77" s="308" t="s">
        <v>4</v>
      </c>
      <c r="P77" s="309"/>
      <c r="Q77" s="308" t="s">
        <v>212</v>
      </c>
      <c r="R77" s="308" t="s">
        <v>7</v>
      </c>
      <c r="S77" s="309"/>
      <c r="T77" s="308" t="s">
        <v>212</v>
      </c>
      <c r="U77" s="308" t="s">
        <v>3</v>
      </c>
      <c r="V77" s="309"/>
      <c r="W77" s="308" t="s">
        <v>212</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45369.79166666649</v>
      </c>
      <c r="BZ77" s="317">
        <f ca="1">OFFSET(TblImps[[#This Row],[Servertime]],-1,0)+1/24</f>
        <v>45370.04166666649</v>
      </c>
      <c r="CA77" s="57"/>
      <c r="CB77" s="315"/>
      <c r="CC77" s="315"/>
    </row>
    <row r="78" spans="1:84" x14ac:dyDescent="0.2">
      <c r="A78" s="225">
        <f ca="1">TblConstr[[#This Row],[Land]]</f>
        <v>250</v>
      </c>
      <c r="B78" s="145"/>
      <c r="C78" s="97">
        <f ca="1">TblProd[[#This Row],[Platinum]]</f>
        <v>526842</v>
      </c>
      <c r="D78" s="97">
        <f ca="1">TblProd[[#This Row],[Lumber]]</f>
        <v>59594</v>
      </c>
      <c r="E78" s="97">
        <f ca="1">TblProd[[#This Row],[Ore]]</f>
        <v>0</v>
      </c>
      <c r="F78" s="97">
        <f ca="1">TblProd[[#This Row],[Gems]]</f>
        <v>0</v>
      </c>
      <c r="G78" s="157"/>
      <c r="H78" s="97">
        <f ca="1">TblMili[[#This Row],[Draftees]]</f>
        <v>626</v>
      </c>
      <c r="I78" s="183">
        <f ca="1">TblPop[[#This Row],[Employment]]</f>
        <v>1</v>
      </c>
      <c r="J78" s="183">
        <f ca="1">TblPop[[#This Row],[Total]]/TblPop[[#This Row],[Net max]]</f>
        <v>1</v>
      </c>
      <c r="K78" s="306">
        <f>TblRezone[[#This Row],[Hour]]</f>
        <v>75</v>
      </c>
      <c r="L78" s="307">
        <f ca="1">TblImps[[#This Row],[Real time]]</f>
        <v>45369.833333333154</v>
      </c>
      <c r="M78" s="62">
        <f>IF(ISERROR(TblImps[[#This Row],[algorithm]]),0,TblImps[[#This Row],[algorithm]]*1)</f>
        <v>0</v>
      </c>
      <c r="N78" s="97">
        <f ca="1">TblImps[[#This Row],[Land]]</f>
        <v>250</v>
      </c>
      <c r="O78" s="308" t="s">
        <v>4</v>
      </c>
      <c r="P78" s="309"/>
      <c r="Q78" s="308" t="s">
        <v>212</v>
      </c>
      <c r="R78" s="308" t="s">
        <v>7</v>
      </c>
      <c r="S78" s="309"/>
      <c r="T78" s="308" t="s">
        <v>212</v>
      </c>
      <c r="U78" s="308" t="s">
        <v>3</v>
      </c>
      <c r="V78" s="309"/>
      <c r="W78" s="308" t="s">
        <v>212</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45369.833333333154</v>
      </c>
      <c r="BZ78" s="317">
        <f ca="1">OFFSET(TblImps[[#This Row],[Servertime]],-1,0)+1/24</f>
        <v>45370.083333333154</v>
      </c>
      <c r="CA78" s="57"/>
      <c r="CB78" s="315"/>
      <c r="CC78" s="315"/>
      <c r="CF78" s="318"/>
    </row>
    <row r="79" spans="1:84" x14ac:dyDescent="0.2">
      <c r="A79" s="225">
        <f ca="1">TblConstr[[#This Row],[Land]]</f>
        <v>250</v>
      </c>
      <c r="B79" s="145"/>
      <c r="C79" s="97">
        <f ca="1">TblProd[[#This Row],[Platinum]]</f>
        <v>532328</v>
      </c>
      <c r="D79" s="97">
        <f ca="1">TblProd[[#This Row],[Lumber]]</f>
        <v>59998</v>
      </c>
      <c r="E79" s="97">
        <f ca="1">TblProd[[#This Row],[Ore]]</f>
        <v>0</v>
      </c>
      <c r="F79" s="97">
        <f ca="1">TblProd[[#This Row],[Gems]]</f>
        <v>0</v>
      </c>
      <c r="G79" s="157"/>
      <c r="H79" s="97">
        <f ca="1">TblMili[[#This Row],[Draftees]]</f>
        <v>626</v>
      </c>
      <c r="I79" s="183">
        <f ca="1">TblPop[[#This Row],[Employment]]</f>
        <v>1</v>
      </c>
      <c r="J79" s="183">
        <f ca="1">TblPop[[#This Row],[Total]]/TblPop[[#This Row],[Net max]]</f>
        <v>1</v>
      </c>
      <c r="K79" s="306">
        <f>TblRezone[[#This Row],[Hour]]</f>
        <v>76</v>
      </c>
      <c r="L79" s="307">
        <f ca="1">TblImps[[#This Row],[Real time]]</f>
        <v>45369.874999999818</v>
      </c>
      <c r="M79" s="62">
        <f>IF(ISERROR(TblImps[[#This Row],[algorithm]]),0,TblImps[[#This Row],[algorithm]]*1)</f>
        <v>0</v>
      </c>
      <c r="N79" s="97">
        <f ca="1">TblImps[[#This Row],[Land]]</f>
        <v>250</v>
      </c>
      <c r="O79" s="308" t="s">
        <v>4</v>
      </c>
      <c r="P79" s="309"/>
      <c r="Q79" s="308" t="s">
        <v>212</v>
      </c>
      <c r="R79" s="308" t="s">
        <v>7</v>
      </c>
      <c r="S79" s="309"/>
      <c r="T79" s="308" t="s">
        <v>212</v>
      </c>
      <c r="U79" s="308" t="s">
        <v>3</v>
      </c>
      <c r="V79" s="309"/>
      <c r="W79" s="308" t="s">
        <v>212</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45369.874999999818</v>
      </c>
      <c r="BZ79" s="317">
        <f ca="1">OFFSET(TblImps[[#This Row],[Servertime]],-1,0)+1/24</f>
        <v>45370.124999999818</v>
      </c>
      <c r="CA79" s="57"/>
      <c r="CB79" s="315"/>
      <c r="CC79" s="315"/>
      <c r="CF79" s="319"/>
    </row>
    <row r="80" spans="1:84" x14ac:dyDescent="0.2">
      <c r="A80" s="225">
        <f ca="1">TblConstr[[#This Row],[Land]]</f>
        <v>250</v>
      </c>
      <c r="B80" s="145"/>
      <c r="C80" s="97">
        <f ca="1">TblProd[[#This Row],[Platinum]]</f>
        <v>537814</v>
      </c>
      <c r="D80" s="97">
        <f ca="1">TblProd[[#This Row],[Lumber]]</f>
        <v>60398</v>
      </c>
      <c r="E80" s="97">
        <f ca="1">TblProd[[#This Row],[Ore]]</f>
        <v>0</v>
      </c>
      <c r="F80" s="97">
        <f ca="1">TblProd[[#This Row],[Gems]]</f>
        <v>0</v>
      </c>
      <c r="G80" s="157"/>
      <c r="H80" s="97">
        <f ca="1">TblMili[[#This Row],[Draftees]]</f>
        <v>626</v>
      </c>
      <c r="I80" s="183">
        <f ca="1">TblPop[[#This Row],[Employment]]</f>
        <v>1</v>
      </c>
      <c r="J80" s="183">
        <f ca="1">TblPop[[#This Row],[Total]]/TblPop[[#This Row],[Net max]]</f>
        <v>1</v>
      </c>
      <c r="K80" s="306">
        <f>TblRezone[[#This Row],[Hour]]</f>
        <v>77</v>
      </c>
      <c r="L80" s="307">
        <f ca="1">TblImps[[#This Row],[Real time]]</f>
        <v>45369.916666666482</v>
      </c>
      <c r="M80" s="62">
        <f>IF(ISERROR(TblImps[[#This Row],[algorithm]]),0,TblImps[[#This Row],[algorithm]]*1)</f>
        <v>0</v>
      </c>
      <c r="N80" s="97">
        <f ca="1">TblImps[[#This Row],[Land]]</f>
        <v>250</v>
      </c>
      <c r="O80" s="308" t="s">
        <v>4</v>
      </c>
      <c r="P80" s="309"/>
      <c r="Q80" s="308" t="s">
        <v>212</v>
      </c>
      <c r="R80" s="308" t="s">
        <v>7</v>
      </c>
      <c r="S80" s="309"/>
      <c r="T80" s="308" t="s">
        <v>212</v>
      </c>
      <c r="U80" s="308" t="s">
        <v>3</v>
      </c>
      <c r="V80" s="309"/>
      <c r="W80" s="308" t="s">
        <v>212</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45369.916666666482</v>
      </c>
      <c r="BZ80" s="317">
        <f ca="1">OFFSET(TblImps[[#This Row],[Servertime]],-1,0)+1/24</f>
        <v>45370.166666666482</v>
      </c>
      <c r="CA80" s="57"/>
      <c r="CB80" s="315"/>
      <c r="CC80" s="315"/>
      <c r="CF80" s="318"/>
    </row>
    <row r="81" spans="1:84" x14ac:dyDescent="0.2">
      <c r="A81" s="225">
        <f ca="1">TblConstr[[#This Row],[Land]]</f>
        <v>250</v>
      </c>
      <c r="B81" s="145"/>
      <c r="C81" s="97">
        <f ca="1">TblProd[[#This Row],[Platinum]]</f>
        <v>543300</v>
      </c>
      <c r="D81" s="97">
        <f ca="1">TblProd[[#This Row],[Lumber]]</f>
        <v>60794</v>
      </c>
      <c r="E81" s="97">
        <f ca="1">TblProd[[#This Row],[Ore]]</f>
        <v>0</v>
      </c>
      <c r="F81" s="97">
        <f ca="1">TblProd[[#This Row],[Gems]]</f>
        <v>0</v>
      </c>
      <c r="G81" s="157"/>
      <c r="H81" s="97">
        <f ca="1">TblMili[[#This Row],[Draftees]]</f>
        <v>626</v>
      </c>
      <c r="I81" s="183">
        <f ca="1">TblPop[[#This Row],[Employment]]</f>
        <v>1</v>
      </c>
      <c r="J81" s="183">
        <f ca="1">TblPop[[#This Row],[Total]]/TblPop[[#This Row],[Net max]]</f>
        <v>1</v>
      </c>
      <c r="K81" s="306">
        <f>TblRezone[[#This Row],[Hour]]</f>
        <v>78</v>
      </c>
      <c r="L81" s="307">
        <f ca="1">TblImps[[#This Row],[Real time]]</f>
        <v>45369.958333333147</v>
      </c>
      <c r="M81" s="62">
        <f>IF(ISERROR(TblImps[[#This Row],[algorithm]]),0,TblImps[[#This Row],[algorithm]]*1)</f>
        <v>0</v>
      </c>
      <c r="N81" s="97">
        <f ca="1">TblImps[[#This Row],[Land]]</f>
        <v>250</v>
      </c>
      <c r="O81" s="308" t="s">
        <v>4</v>
      </c>
      <c r="P81" s="309"/>
      <c r="Q81" s="308" t="s">
        <v>212</v>
      </c>
      <c r="R81" s="308" t="s">
        <v>7</v>
      </c>
      <c r="S81" s="309"/>
      <c r="T81" s="308" t="s">
        <v>212</v>
      </c>
      <c r="U81" s="308" t="s">
        <v>3</v>
      </c>
      <c r="V81" s="309"/>
      <c r="W81" s="308" t="s">
        <v>212</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45369.958333333147</v>
      </c>
      <c r="BZ81" s="317">
        <f ca="1">OFFSET(TblImps[[#This Row],[Servertime]],-1,0)+1/24</f>
        <v>45370.208333333147</v>
      </c>
      <c r="CA81" s="57"/>
      <c r="CB81" s="315"/>
      <c r="CC81" s="315"/>
      <c r="CF81" s="318"/>
    </row>
    <row r="82" spans="1:84" x14ac:dyDescent="0.2">
      <c r="A82" s="225">
        <f ca="1">TblConstr[[#This Row],[Land]]</f>
        <v>250</v>
      </c>
      <c r="B82" s="145"/>
      <c r="C82" s="97">
        <f ca="1">TblProd[[#This Row],[Platinum]]</f>
        <v>548786</v>
      </c>
      <c r="D82" s="97">
        <f ca="1">TblProd[[#This Row],[Lumber]]</f>
        <v>61186</v>
      </c>
      <c r="E82" s="97">
        <f ca="1">TblProd[[#This Row],[Ore]]</f>
        <v>0</v>
      </c>
      <c r="F82" s="97">
        <f ca="1">TblProd[[#This Row],[Gems]]</f>
        <v>0</v>
      </c>
      <c r="G82" s="157"/>
      <c r="H82" s="97">
        <f ca="1">TblMili[[#This Row],[Draftees]]</f>
        <v>626</v>
      </c>
      <c r="I82" s="183">
        <f ca="1">TblPop[[#This Row],[Employment]]</f>
        <v>1</v>
      </c>
      <c r="J82" s="183">
        <f ca="1">TblPop[[#This Row],[Total]]/TblPop[[#This Row],[Net max]]</f>
        <v>1</v>
      </c>
      <c r="K82" s="306">
        <f>TblRezone[[#This Row],[Hour]]</f>
        <v>79</v>
      </c>
      <c r="L82" s="307">
        <f ca="1">TblImps[[#This Row],[Real time]]</f>
        <v>45369.999999999811</v>
      </c>
      <c r="M82" s="62">
        <f>IF(ISERROR(TblImps[[#This Row],[algorithm]]),0,TblImps[[#This Row],[algorithm]]*1)</f>
        <v>0</v>
      </c>
      <c r="N82" s="97">
        <f ca="1">TblImps[[#This Row],[Land]]</f>
        <v>250</v>
      </c>
      <c r="O82" s="308" t="s">
        <v>4</v>
      </c>
      <c r="P82" s="309"/>
      <c r="Q82" s="308" t="s">
        <v>212</v>
      </c>
      <c r="R82" s="308" t="s">
        <v>7</v>
      </c>
      <c r="S82" s="309"/>
      <c r="T82" s="308" t="s">
        <v>212</v>
      </c>
      <c r="U82" s="308" t="s">
        <v>3</v>
      </c>
      <c r="V82" s="309"/>
      <c r="W82" s="308" t="s">
        <v>212</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45369.999999999811</v>
      </c>
      <c r="BZ82" s="317">
        <f ca="1">OFFSET(TblImps[[#This Row],[Servertime]],-1,0)+1/24</f>
        <v>45370.249999999811</v>
      </c>
      <c r="CA82" s="57"/>
      <c r="CB82" s="315"/>
      <c r="CC82" s="315"/>
    </row>
    <row r="83" spans="1:84" x14ac:dyDescent="0.2">
      <c r="A83" s="225">
        <f ca="1">TblConstr[[#This Row],[Land]]</f>
        <v>250</v>
      </c>
      <c r="B83" s="145"/>
      <c r="C83" s="97">
        <f ca="1">TblProd[[#This Row],[Platinum]]</f>
        <v>554272</v>
      </c>
      <c r="D83" s="97">
        <f ca="1">TblProd[[#This Row],[Lumber]]</f>
        <v>61574</v>
      </c>
      <c r="E83" s="97">
        <f ca="1">TblProd[[#This Row],[Ore]]</f>
        <v>0</v>
      </c>
      <c r="F83" s="97">
        <f ca="1">TblProd[[#This Row],[Gems]]</f>
        <v>0</v>
      </c>
      <c r="G83" s="157"/>
      <c r="H83" s="97">
        <f ca="1">TblMili[[#This Row],[Draftees]]</f>
        <v>626</v>
      </c>
      <c r="I83" s="183">
        <f ca="1">TblPop[[#This Row],[Employment]]</f>
        <v>1</v>
      </c>
      <c r="J83" s="183">
        <f ca="1">TblPop[[#This Row],[Total]]/TblPop[[#This Row],[Net max]]</f>
        <v>1</v>
      </c>
      <c r="K83" s="306">
        <f>TblRezone[[#This Row],[Hour]]</f>
        <v>80</v>
      </c>
      <c r="L83" s="307">
        <f ca="1">TblImps[[#This Row],[Real time]]</f>
        <v>45370.041666666475</v>
      </c>
      <c r="M83" s="62">
        <f>IF(ISERROR(TblImps[[#This Row],[algorithm]]),0,TblImps[[#This Row],[algorithm]]*1)</f>
        <v>0</v>
      </c>
      <c r="N83" s="97">
        <f ca="1">TblImps[[#This Row],[Land]]</f>
        <v>250</v>
      </c>
      <c r="O83" s="308" t="s">
        <v>4</v>
      </c>
      <c r="P83" s="309"/>
      <c r="Q83" s="308" t="s">
        <v>212</v>
      </c>
      <c r="R83" s="308" t="s">
        <v>7</v>
      </c>
      <c r="S83" s="309"/>
      <c r="T83" s="308" t="s">
        <v>212</v>
      </c>
      <c r="U83" s="308" t="s">
        <v>3</v>
      </c>
      <c r="V83" s="309"/>
      <c r="W83" s="308" t="s">
        <v>212</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45370.041666666475</v>
      </c>
      <c r="BZ83" s="317">
        <f ca="1">OFFSET(TblImps[[#This Row],[Servertime]],-1,0)+1/24</f>
        <v>45370.291666666475</v>
      </c>
      <c r="CA83" s="57"/>
      <c r="CB83" s="315"/>
      <c r="CC83" s="315"/>
    </row>
    <row r="84" spans="1:84" x14ac:dyDescent="0.2">
      <c r="A84" s="225">
        <f ca="1">TblConstr[[#This Row],[Land]]</f>
        <v>250</v>
      </c>
      <c r="B84" s="145"/>
      <c r="C84" s="97">
        <f ca="1">TblProd[[#This Row],[Platinum]]</f>
        <v>559758</v>
      </c>
      <c r="D84" s="97">
        <f ca="1">TblProd[[#This Row],[Lumber]]</f>
        <v>61958</v>
      </c>
      <c r="E84" s="97">
        <f ca="1">TblProd[[#This Row],[Ore]]</f>
        <v>0</v>
      </c>
      <c r="F84" s="97">
        <f ca="1">TblProd[[#This Row],[Gems]]</f>
        <v>0</v>
      </c>
      <c r="G84" s="157"/>
      <c r="H84" s="97">
        <f ca="1">TblMili[[#This Row],[Draftees]]</f>
        <v>626</v>
      </c>
      <c r="I84" s="183">
        <f ca="1">TblPop[[#This Row],[Employment]]</f>
        <v>1</v>
      </c>
      <c r="J84" s="183">
        <f ca="1">TblPop[[#This Row],[Total]]/TblPop[[#This Row],[Net max]]</f>
        <v>1</v>
      </c>
      <c r="K84" s="306">
        <f>TblRezone[[#This Row],[Hour]]</f>
        <v>81</v>
      </c>
      <c r="L84" s="307">
        <f ca="1">TblImps[[#This Row],[Real time]]</f>
        <v>45370.083333333139</v>
      </c>
      <c r="M84" s="62">
        <f>IF(ISERROR(TblImps[[#This Row],[algorithm]]),0,TblImps[[#This Row],[algorithm]]*1)</f>
        <v>0</v>
      </c>
      <c r="N84" s="97">
        <f ca="1">TblImps[[#This Row],[Land]]</f>
        <v>250</v>
      </c>
      <c r="O84" s="308" t="s">
        <v>4</v>
      </c>
      <c r="P84" s="309"/>
      <c r="Q84" s="308" t="s">
        <v>212</v>
      </c>
      <c r="R84" s="308" t="s">
        <v>7</v>
      </c>
      <c r="S84" s="309"/>
      <c r="T84" s="308" t="s">
        <v>212</v>
      </c>
      <c r="U84" s="308" t="s">
        <v>3</v>
      </c>
      <c r="V84" s="309"/>
      <c r="W84" s="308" t="s">
        <v>212</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45370.083333333139</v>
      </c>
      <c r="BZ84" s="317">
        <f ca="1">OFFSET(TblImps[[#This Row],[Servertime]],-1,0)+1/24</f>
        <v>45370.333333333139</v>
      </c>
      <c r="CA84" s="57"/>
      <c r="CB84" s="315"/>
      <c r="CC84" s="315"/>
    </row>
    <row r="85" spans="1:84" x14ac:dyDescent="0.2">
      <c r="A85" s="225">
        <f ca="1">TblConstr[[#This Row],[Land]]</f>
        <v>250</v>
      </c>
      <c r="B85" s="145"/>
      <c r="C85" s="97">
        <f ca="1">TblProd[[#This Row],[Platinum]]</f>
        <v>565244</v>
      </c>
      <c r="D85" s="97">
        <f ca="1">TblProd[[#This Row],[Lumber]]</f>
        <v>62338</v>
      </c>
      <c r="E85" s="97">
        <f ca="1">TblProd[[#This Row],[Ore]]</f>
        <v>0</v>
      </c>
      <c r="F85" s="97">
        <f ca="1">TblProd[[#This Row],[Gems]]</f>
        <v>0</v>
      </c>
      <c r="G85" s="157"/>
      <c r="H85" s="97">
        <f ca="1">TblMili[[#This Row],[Draftees]]</f>
        <v>626</v>
      </c>
      <c r="I85" s="183">
        <f ca="1">TblPop[[#This Row],[Employment]]</f>
        <v>1</v>
      </c>
      <c r="J85" s="183">
        <f ca="1">TblPop[[#This Row],[Total]]/TblPop[[#This Row],[Net max]]</f>
        <v>1</v>
      </c>
      <c r="K85" s="306">
        <f>TblRezone[[#This Row],[Hour]]</f>
        <v>82</v>
      </c>
      <c r="L85" s="307">
        <f ca="1">TblImps[[#This Row],[Real time]]</f>
        <v>45370.124999999804</v>
      </c>
      <c r="M85" s="62">
        <f>IF(ISERROR(TblImps[[#This Row],[algorithm]]),0,TblImps[[#This Row],[algorithm]]*1)</f>
        <v>0</v>
      </c>
      <c r="N85" s="97">
        <f ca="1">TblImps[[#This Row],[Land]]</f>
        <v>250</v>
      </c>
      <c r="O85" s="308" t="s">
        <v>4</v>
      </c>
      <c r="P85" s="309"/>
      <c r="Q85" s="308" t="s">
        <v>212</v>
      </c>
      <c r="R85" s="308" t="s">
        <v>7</v>
      </c>
      <c r="S85" s="309"/>
      <c r="T85" s="308" t="s">
        <v>212</v>
      </c>
      <c r="U85" s="308" t="s">
        <v>3</v>
      </c>
      <c r="V85" s="309"/>
      <c r="W85" s="308" t="s">
        <v>212</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45370.124999999804</v>
      </c>
      <c r="BZ85" s="317">
        <f ca="1">OFFSET(TblImps[[#This Row],[Servertime]],-1,0)+1/24</f>
        <v>45370.374999999804</v>
      </c>
      <c r="CA85" s="57"/>
      <c r="CB85" s="315"/>
      <c r="CC85" s="315"/>
    </row>
    <row r="86" spans="1:84" x14ac:dyDescent="0.2">
      <c r="A86" s="225">
        <f ca="1">TblConstr[[#This Row],[Land]]</f>
        <v>250</v>
      </c>
      <c r="B86" s="145"/>
      <c r="C86" s="97">
        <f ca="1">TblProd[[#This Row],[Platinum]]</f>
        <v>570730</v>
      </c>
      <c r="D86" s="97">
        <f ca="1">TblProd[[#This Row],[Lumber]]</f>
        <v>62715</v>
      </c>
      <c r="E86" s="97">
        <f ca="1">TblProd[[#This Row],[Ore]]</f>
        <v>0</v>
      </c>
      <c r="F86" s="97">
        <f ca="1">TblProd[[#This Row],[Gems]]</f>
        <v>0</v>
      </c>
      <c r="G86" s="157"/>
      <c r="H86" s="97">
        <f ca="1">TblMili[[#This Row],[Draftees]]</f>
        <v>626</v>
      </c>
      <c r="I86" s="183">
        <f ca="1">TblPop[[#This Row],[Employment]]</f>
        <v>1</v>
      </c>
      <c r="J86" s="183">
        <f ca="1">TblPop[[#This Row],[Total]]/TblPop[[#This Row],[Net max]]</f>
        <v>1</v>
      </c>
      <c r="K86" s="306">
        <f>TblRezone[[#This Row],[Hour]]</f>
        <v>83</v>
      </c>
      <c r="L86" s="307">
        <f ca="1">TblImps[[#This Row],[Real time]]</f>
        <v>45370.166666666468</v>
      </c>
      <c r="M86" s="62">
        <f>IF(ISERROR(TblImps[[#This Row],[algorithm]]),0,TblImps[[#This Row],[algorithm]]*1)</f>
        <v>0</v>
      </c>
      <c r="N86" s="97">
        <f ca="1">TblImps[[#This Row],[Land]]</f>
        <v>250</v>
      </c>
      <c r="O86" s="308" t="s">
        <v>4</v>
      </c>
      <c r="P86" s="309"/>
      <c r="Q86" s="308" t="s">
        <v>212</v>
      </c>
      <c r="R86" s="308" t="s">
        <v>7</v>
      </c>
      <c r="S86" s="309"/>
      <c r="T86" s="308" t="s">
        <v>212</v>
      </c>
      <c r="U86" s="308" t="s">
        <v>3</v>
      </c>
      <c r="V86" s="309"/>
      <c r="W86" s="308" t="s">
        <v>212</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45370.166666666468</v>
      </c>
      <c r="BZ86" s="317">
        <f ca="1">OFFSET(TblImps[[#This Row],[Servertime]],-1,0)+1/24</f>
        <v>45370.416666666468</v>
      </c>
      <c r="CA86" s="57"/>
      <c r="CB86" s="315"/>
      <c r="CC86" s="315"/>
    </row>
    <row r="87" spans="1:84" x14ac:dyDescent="0.2">
      <c r="A87" s="225">
        <f ca="1">TblConstr[[#This Row],[Land]]</f>
        <v>250</v>
      </c>
      <c r="B87" s="145"/>
      <c r="C87" s="97">
        <f ca="1">TblProd[[#This Row],[Platinum]]</f>
        <v>576216</v>
      </c>
      <c r="D87" s="97">
        <f ca="1">TblProd[[#This Row],[Lumber]]</f>
        <v>63088</v>
      </c>
      <c r="E87" s="97">
        <f ca="1">TblProd[[#This Row],[Ore]]</f>
        <v>0</v>
      </c>
      <c r="F87" s="97">
        <f ca="1">TblProd[[#This Row],[Gems]]</f>
        <v>0</v>
      </c>
      <c r="G87" s="157"/>
      <c r="H87" s="97">
        <f ca="1">TblMili[[#This Row],[Draftees]]</f>
        <v>626</v>
      </c>
      <c r="I87" s="183">
        <f ca="1">TblPop[[#This Row],[Employment]]</f>
        <v>1</v>
      </c>
      <c r="J87" s="183">
        <f ca="1">TblPop[[#This Row],[Total]]/TblPop[[#This Row],[Net max]]</f>
        <v>1</v>
      </c>
      <c r="K87" s="306">
        <f>TblRezone[[#This Row],[Hour]]</f>
        <v>84</v>
      </c>
      <c r="L87" s="307">
        <f ca="1">TblImps[[#This Row],[Real time]]</f>
        <v>45370.208333333132</v>
      </c>
      <c r="M87" s="62">
        <f>IF(ISERROR(TblImps[[#This Row],[algorithm]]),0,TblImps[[#This Row],[algorithm]]*1)</f>
        <v>0</v>
      </c>
      <c r="N87" s="97">
        <f ca="1">TblImps[[#This Row],[Land]]</f>
        <v>250</v>
      </c>
      <c r="O87" s="308" t="s">
        <v>4</v>
      </c>
      <c r="P87" s="309"/>
      <c r="Q87" s="308" t="s">
        <v>212</v>
      </c>
      <c r="R87" s="308" t="s">
        <v>7</v>
      </c>
      <c r="S87" s="309"/>
      <c r="T87" s="308" t="s">
        <v>212</v>
      </c>
      <c r="U87" s="308" t="s">
        <v>3</v>
      </c>
      <c r="V87" s="309"/>
      <c r="W87" s="308" t="s">
        <v>212</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45370.208333333132</v>
      </c>
      <c r="BZ87" s="317">
        <f ca="1">OFFSET(TblImps[[#This Row],[Servertime]],-1,0)+1/24</f>
        <v>45370.458333333132</v>
      </c>
      <c r="CA87" s="57"/>
      <c r="CB87" s="315"/>
      <c r="CC87" s="315"/>
    </row>
    <row r="88" spans="1:84" x14ac:dyDescent="0.2">
      <c r="A88" s="225">
        <f ca="1">TblConstr[[#This Row],[Land]]</f>
        <v>250</v>
      </c>
      <c r="B88" s="145"/>
      <c r="C88" s="97">
        <f ca="1">TblProd[[#This Row],[Platinum]]</f>
        <v>581702</v>
      </c>
      <c r="D88" s="97">
        <f ca="1">TblProd[[#This Row],[Lumber]]</f>
        <v>63457</v>
      </c>
      <c r="E88" s="97">
        <f ca="1">TblProd[[#This Row],[Ore]]</f>
        <v>0</v>
      </c>
      <c r="F88" s="97">
        <f ca="1">TblProd[[#This Row],[Gems]]</f>
        <v>0</v>
      </c>
      <c r="G88" s="157"/>
      <c r="H88" s="97">
        <f ca="1">TblMili[[#This Row],[Draftees]]</f>
        <v>626</v>
      </c>
      <c r="I88" s="183">
        <f ca="1">TblPop[[#This Row],[Employment]]</f>
        <v>1</v>
      </c>
      <c r="J88" s="183">
        <f ca="1">TblPop[[#This Row],[Total]]/TblPop[[#This Row],[Net max]]</f>
        <v>1</v>
      </c>
      <c r="K88" s="306">
        <f>TblRezone[[#This Row],[Hour]]</f>
        <v>85</v>
      </c>
      <c r="L88" s="307">
        <f ca="1">TblImps[[#This Row],[Real time]]</f>
        <v>45370.249999999796</v>
      </c>
      <c r="M88" s="62">
        <f>IF(ISERROR(TblImps[[#This Row],[algorithm]]),0,TblImps[[#This Row],[algorithm]]*1)</f>
        <v>0</v>
      </c>
      <c r="N88" s="97">
        <f ca="1">TblImps[[#This Row],[Land]]</f>
        <v>250</v>
      </c>
      <c r="O88" s="308" t="s">
        <v>4</v>
      </c>
      <c r="P88" s="309"/>
      <c r="Q88" s="308" t="s">
        <v>212</v>
      </c>
      <c r="R88" s="308" t="s">
        <v>7</v>
      </c>
      <c r="S88" s="309"/>
      <c r="T88" s="308" t="s">
        <v>212</v>
      </c>
      <c r="U88" s="308" t="s">
        <v>3</v>
      </c>
      <c r="V88" s="309"/>
      <c r="W88" s="308" t="s">
        <v>212</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45370.249999999796</v>
      </c>
      <c r="BZ88" s="317">
        <f ca="1">OFFSET(TblImps[[#This Row],[Servertime]],-1,0)+1/24</f>
        <v>45370.499999999796</v>
      </c>
      <c r="CA88" s="57"/>
      <c r="CB88" s="315"/>
      <c r="CC88" s="315"/>
    </row>
    <row r="89" spans="1:84" x14ac:dyDescent="0.2">
      <c r="A89" s="225">
        <f ca="1">TblConstr[[#This Row],[Land]]</f>
        <v>250</v>
      </c>
      <c r="B89" s="145"/>
      <c r="C89" s="97">
        <f ca="1">TblProd[[#This Row],[Platinum]]</f>
        <v>587188</v>
      </c>
      <c r="D89" s="97">
        <f ca="1">TblProd[[#This Row],[Lumber]]</f>
        <v>63822</v>
      </c>
      <c r="E89" s="97">
        <f ca="1">TblProd[[#This Row],[Ore]]</f>
        <v>0</v>
      </c>
      <c r="F89" s="97">
        <f ca="1">TblProd[[#This Row],[Gems]]</f>
        <v>0</v>
      </c>
      <c r="G89" s="157"/>
      <c r="H89" s="97">
        <f ca="1">TblMili[[#This Row],[Draftees]]</f>
        <v>626</v>
      </c>
      <c r="I89" s="183">
        <f ca="1">TblPop[[#This Row],[Employment]]</f>
        <v>1</v>
      </c>
      <c r="J89" s="183">
        <f ca="1">TblPop[[#This Row],[Total]]/TblPop[[#This Row],[Net max]]</f>
        <v>1</v>
      </c>
      <c r="K89" s="306">
        <f>TblRezone[[#This Row],[Hour]]</f>
        <v>86</v>
      </c>
      <c r="L89" s="307">
        <f ca="1">TblImps[[#This Row],[Real time]]</f>
        <v>45370.291666666461</v>
      </c>
      <c r="M89" s="62">
        <f>IF(ISERROR(TblImps[[#This Row],[algorithm]]),0,TblImps[[#This Row],[algorithm]]*1)</f>
        <v>0</v>
      </c>
      <c r="N89" s="97">
        <f ca="1">TblImps[[#This Row],[Land]]</f>
        <v>250</v>
      </c>
      <c r="O89" s="308" t="s">
        <v>2</v>
      </c>
      <c r="P89" s="309"/>
      <c r="Q89" s="308" t="s">
        <v>212</v>
      </c>
      <c r="R89" s="308" t="s">
        <v>7</v>
      </c>
      <c r="S89" s="309"/>
      <c r="T89" s="308" t="s">
        <v>212</v>
      </c>
      <c r="U89" s="308" t="s">
        <v>3</v>
      </c>
      <c r="V89" s="309"/>
      <c r="W89" s="308" t="s">
        <v>212</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45370.291666666461</v>
      </c>
      <c r="BZ89" s="317">
        <f ca="1">OFFSET(TblImps[[#This Row],[Servertime]],-1,0)+1/24</f>
        <v>45370.541666666461</v>
      </c>
      <c r="CA89" s="57"/>
      <c r="CB89" s="315"/>
      <c r="CC89" s="315"/>
      <c r="CD89" s="162"/>
    </row>
    <row r="90" spans="1:84" x14ac:dyDescent="0.2">
      <c r="A90" s="225">
        <f ca="1">TblConstr[[#This Row],[Land]]</f>
        <v>250</v>
      </c>
      <c r="B90" s="145"/>
      <c r="C90" s="97">
        <f ca="1">TblProd[[#This Row],[Platinum]]</f>
        <v>592674</v>
      </c>
      <c r="D90" s="97">
        <f ca="1">TblProd[[#This Row],[Lumber]]</f>
        <v>64184</v>
      </c>
      <c r="E90" s="97">
        <f ca="1">TblProd[[#This Row],[Ore]]</f>
        <v>0</v>
      </c>
      <c r="F90" s="97">
        <f ca="1">TblProd[[#This Row],[Gems]]</f>
        <v>0</v>
      </c>
      <c r="G90" s="157"/>
      <c r="H90" s="97">
        <f ca="1">TblMili[[#This Row],[Draftees]]</f>
        <v>626</v>
      </c>
      <c r="I90" s="183">
        <f ca="1">TblPop[[#This Row],[Employment]]</f>
        <v>1</v>
      </c>
      <c r="J90" s="183">
        <f ca="1">TblPop[[#This Row],[Total]]/TblPop[[#This Row],[Net max]]</f>
        <v>1</v>
      </c>
      <c r="K90" s="306">
        <f>TblRezone[[#This Row],[Hour]]</f>
        <v>87</v>
      </c>
      <c r="L90" s="307">
        <f ca="1">TblImps[[#This Row],[Real time]]</f>
        <v>45370.333333333125</v>
      </c>
      <c r="M90" s="62">
        <f>IF(ISERROR(TblImps[[#This Row],[algorithm]]),0,TblImps[[#This Row],[algorithm]]*1)</f>
        <v>0</v>
      </c>
      <c r="N90" s="97">
        <f ca="1">TblImps[[#This Row],[Land]]</f>
        <v>250</v>
      </c>
      <c r="O90" s="308" t="s">
        <v>4</v>
      </c>
      <c r="P90" s="309"/>
      <c r="Q90" s="308" t="s">
        <v>212</v>
      </c>
      <c r="R90" s="308" t="s">
        <v>7</v>
      </c>
      <c r="S90" s="309"/>
      <c r="T90" s="308" t="s">
        <v>212</v>
      </c>
      <c r="U90" s="308" t="s">
        <v>3</v>
      </c>
      <c r="V90" s="309"/>
      <c r="W90" s="308" t="s">
        <v>212</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45370.333333333125</v>
      </c>
      <c r="BZ90" s="317">
        <f ca="1">OFFSET(TblImps[[#This Row],[Servertime]],-1,0)+1/24</f>
        <v>45370.583333333125</v>
      </c>
      <c r="CA90" s="320"/>
      <c r="CB90" s="315"/>
      <c r="CC90" s="315"/>
      <c r="CF90" s="318"/>
    </row>
    <row r="91" spans="1:84" x14ac:dyDescent="0.2">
      <c r="A91" s="225">
        <f ca="1">TblConstr[[#This Row],[Land]]</f>
        <v>250</v>
      </c>
      <c r="B91" s="145"/>
      <c r="C91" s="97">
        <f ca="1">TblProd[[#This Row],[Platinum]]</f>
        <v>598160</v>
      </c>
      <c r="D91" s="97">
        <f ca="1">TblProd[[#This Row],[Lumber]]</f>
        <v>64542</v>
      </c>
      <c r="E91" s="97">
        <f ca="1">TblProd[[#This Row],[Ore]]</f>
        <v>0</v>
      </c>
      <c r="F91" s="97">
        <f ca="1">TblProd[[#This Row],[Gems]]</f>
        <v>0</v>
      </c>
      <c r="G91" s="157"/>
      <c r="H91" s="97">
        <f ca="1">TblMili[[#This Row],[Draftees]]</f>
        <v>626</v>
      </c>
      <c r="I91" s="183">
        <f ca="1">TblPop[[#This Row],[Employment]]</f>
        <v>1</v>
      </c>
      <c r="J91" s="183">
        <f ca="1">TblPop[[#This Row],[Total]]/TblPop[[#This Row],[Net max]]</f>
        <v>1</v>
      </c>
      <c r="K91" s="306">
        <f>TblRezone[[#This Row],[Hour]]</f>
        <v>88</v>
      </c>
      <c r="L91" s="307">
        <f ca="1">TblImps[[#This Row],[Real time]]</f>
        <v>45370.374999999789</v>
      </c>
      <c r="M91" s="62">
        <f>IF(ISERROR(TblImps[[#This Row],[algorithm]]),0,TblImps[[#This Row],[algorithm]]*1)</f>
        <v>0</v>
      </c>
      <c r="N91" s="97">
        <f ca="1">TblImps[[#This Row],[Land]]</f>
        <v>250</v>
      </c>
      <c r="O91" s="308" t="s">
        <v>4</v>
      </c>
      <c r="P91" s="309"/>
      <c r="Q91" s="308" t="s">
        <v>212</v>
      </c>
      <c r="R91" s="308" t="s">
        <v>7</v>
      </c>
      <c r="S91" s="309"/>
      <c r="T91" s="308" t="s">
        <v>212</v>
      </c>
      <c r="U91" s="308" t="s">
        <v>3</v>
      </c>
      <c r="V91" s="309"/>
      <c r="W91" s="308" t="s">
        <v>212</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45370.374999999789</v>
      </c>
      <c r="BZ91" s="317">
        <f ca="1">OFFSET(TblImps[[#This Row],[Servertime]],-1,0)+1/24</f>
        <v>45370.624999999789</v>
      </c>
      <c r="CA91" s="57"/>
      <c r="CB91" s="315"/>
      <c r="CC91" s="315"/>
      <c r="CF91" s="319"/>
    </row>
    <row r="92" spans="1:84" x14ac:dyDescent="0.2">
      <c r="A92" s="225">
        <f ca="1">TblConstr[[#This Row],[Land]]</f>
        <v>250</v>
      </c>
      <c r="B92" s="145"/>
      <c r="C92" s="97">
        <f ca="1">TblProd[[#This Row],[Platinum]]</f>
        <v>603646</v>
      </c>
      <c r="D92" s="97">
        <f ca="1">TblProd[[#This Row],[Lumber]]</f>
        <v>64897</v>
      </c>
      <c r="E92" s="97">
        <f ca="1">TblProd[[#This Row],[Ore]]</f>
        <v>0</v>
      </c>
      <c r="F92" s="97">
        <f ca="1">TblProd[[#This Row],[Gems]]</f>
        <v>0</v>
      </c>
      <c r="G92" s="157"/>
      <c r="H92" s="97">
        <f ca="1">TblMili[[#This Row],[Draftees]]</f>
        <v>626</v>
      </c>
      <c r="I92" s="183">
        <f ca="1">TblPop[[#This Row],[Employment]]</f>
        <v>1</v>
      </c>
      <c r="J92" s="183">
        <f ca="1">TblPop[[#This Row],[Total]]/TblPop[[#This Row],[Net max]]</f>
        <v>1</v>
      </c>
      <c r="K92" s="306">
        <f>TblRezone[[#This Row],[Hour]]</f>
        <v>89</v>
      </c>
      <c r="L92" s="307">
        <f ca="1">TblImps[[#This Row],[Real time]]</f>
        <v>45370.416666666453</v>
      </c>
      <c r="M92" s="62">
        <f>IF(ISERROR(TblImps[[#This Row],[algorithm]]),0,TblImps[[#This Row],[algorithm]]*1)</f>
        <v>0</v>
      </c>
      <c r="N92" s="97">
        <f ca="1">TblImps[[#This Row],[Land]]</f>
        <v>250</v>
      </c>
      <c r="O92" s="308" t="s">
        <v>4</v>
      </c>
      <c r="P92" s="309"/>
      <c r="Q92" s="308" t="s">
        <v>212</v>
      </c>
      <c r="R92" s="308" t="s">
        <v>7</v>
      </c>
      <c r="S92" s="309"/>
      <c r="T92" s="308" t="s">
        <v>212</v>
      </c>
      <c r="U92" s="308" t="s">
        <v>3</v>
      </c>
      <c r="V92" s="309"/>
      <c r="W92" s="308" t="s">
        <v>212</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45370.416666666453</v>
      </c>
      <c r="BZ92" s="317">
        <f ca="1">OFFSET(TblImps[[#This Row],[Servertime]],-1,0)+1/24</f>
        <v>45370.666666666453</v>
      </c>
      <c r="CA92" s="57"/>
      <c r="CB92" s="315"/>
      <c r="CC92" s="315"/>
      <c r="CF92" s="318"/>
    </row>
    <row r="93" spans="1:84" x14ac:dyDescent="0.2">
      <c r="A93" s="225">
        <f ca="1">TblConstr[[#This Row],[Land]]</f>
        <v>250</v>
      </c>
      <c r="B93" s="145"/>
      <c r="C93" s="97">
        <f ca="1">TblProd[[#This Row],[Platinum]]</f>
        <v>609132</v>
      </c>
      <c r="D93" s="97">
        <f ca="1">TblProd[[#This Row],[Lumber]]</f>
        <v>65248</v>
      </c>
      <c r="E93" s="97">
        <f ca="1">TblProd[[#This Row],[Ore]]</f>
        <v>0</v>
      </c>
      <c r="F93" s="97">
        <f ca="1">TblProd[[#This Row],[Gems]]</f>
        <v>0</v>
      </c>
      <c r="G93" s="157"/>
      <c r="H93" s="97">
        <f ca="1">TblMili[[#This Row],[Draftees]]</f>
        <v>626</v>
      </c>
      <c r="I93" s="183">
        <f ca="1">TblPop[[#This Row],[Employment]]</f>
        <v>1</v>
      </c>
      <c r="J93" s="183">
        <f ca="1">TblPop[[#This Row],[Total]]/TblPop[[#This Row],[Net max]]</f>
        <v>1</v>
      </c>
      <c r="K93" s="306">
        <f>TblRezone[[#This Row],[Hour]]</f>
        <v>90</v>
      </c>
      <c r="L93" s="307">
        <f ca="1">TblImps[[#This Row],[Real time]]</f>
        <v>45370.458333333117</v>
      </c>
      <c r="M93" s="62">
        <f>IF(ISERROR(TblImps[[#This Row],[algorithm]]),0,TblImps[[#This Row],[algorithm]]*1)</f>
        <v>0</v>
      </c>
      <c r="N93" s="97">
        <f ca="1">TblImps[[#This Row],[Land]]</f>
        <v>250</v>
      </c>
      <c r="O93" s="308" t="s">
        <v>4</v>
      </c>
      <c r="P93" s="309"/>
      <c r="Q93" s="308" t="s">
        <v>212</v>
      </c>
      <c r="R93" s="308" t="s">
        <v>7</v>
      </c>
      <c r="S93" s="309"/>
      <c r="T93" s="308" t="s">
        <v>212</v>
      </c>
      <c r="U93" s="308" t="s">
        <v>3</v>
      </c>
      <c r="V93" s="309"/>
      <c r="W93" s="308" t="s">
        <v>212</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45370.458333333117</v>
      </c>
      <c r="BZ93" s="317">
        <f ca="1">OFFSET(TblImps[[#This Row],[Servertime]],-1,0)+1/24</f>
        <v>45370.708333333117</v>
      </c>
      <c r="CA93" s="57"/>
      <c r="CB93" s="315"/>
      <c r="CC93" s="315"/>
      <c r="CF93" s="318"/>
    </row>
    <row r="94" spans="1:84" x14ac:dyDescent="0.2">
      <c r="A94" s="225">
        <f ca="1">TblConstr[[#This Row],[Land]]</f>
        <v>250</v>
      </c>
      <c r="B94" s="145"/>
      <c r="C94" s="97">
        <f ca="1">TblProd[[#This Row],[Platinum]]</f>
        <v>614618</v>
      </c>
      <c r="D94" s="97">
        <f ca="1">TblProd[[#This Row],[Lumber]]</f>
        <v>65596</v>
      </c>
      <c r="E94" s="97">
        <f ca="1">TblProd[[#This Row],[Ore]]</f>
        <v>0</v>
      </c>
      <c r="F94" s="97">
        <f ca="1">TblProd[[#This Row],[Gems]]</f>
        <v>0</v>
      </c>
      <c r="G94" s="157"/>
      <c r="H94" s="97">
        <f ca="1">TblMili[[#This Row],[Draftees]]</f>
        <v>626</v>
      </c>
      <c r="I94" s="183">
        <f ca="1">TblPop[[#This Row],[Employment]]</f>
        <v>1</v>
      </c>
      <c r="J94" s="183">
        <f ca="1">TblPop[[#This Row],[Total]]/TblPop[[#This Row],[Net max]]</f>
        <v>1</v>
      </c>
      <c r="K94" s="306">
        <f>TblRezone[[#This Row],[Hour]]</f>
        <v>91</v>
      </c>
      <c r="L94" s="307">
        <f ca="1">TblImps[[#This Row],[Real time]]</f>
        <v>45370.499999999782</v>
      </c>
      <c r="M94" s="62">
        <f>IF(ISERROR(TblImps[[#This Row],[algorithm]]),0,TblImps[[#This Row],[algorithm]]*1)</f>
        <v>0</v>
      </c>
      <c r="N94" s="97">
        <f ca="1">TblImps[[#This Row],[Land]]</f>
        <v>250</v>
      </c>
      <c r="O94" s="308" t="s">
        <v>4</v>
      </c>
      <c r="P94" s="309"/>
      <c r="Q94" s="308" t="s">
        <v>212</v>
      </c>
      <c r="R94" s="308" t="s">
        <v>7</v>
      </c>
      <c r="S94" s="309"/>
      <c r="T94" s="308" t="s">
        <v>212</v>
      </c>
      <c r="U94" s="308" t="s">
        <v>3</v>
      </c>
      <c r="V94" s="309"/>
      <c r="W94" s="308" t="s">
        <v>212</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45370.499999999782</v>
      </c>
      <c r="BZ94" s="317">
        <f ca="1">OFFSET(TblImps[[#This Row],[Servertime]],-1,0)+1/24</f>
        <v>45370.749999999782</v>
      </c>
      <c r="CA94" s="57"/>
      <c r="CB94" s="315"/>
      <c r="CC94" s="315"/>
    </row>
    <row r="95" spans="1:84" x14ac:dyDescent="0.2">
      <c r="A95" s="225">
        <f ca="1">TblConstr[[#This Row],[Land]]</f>
        <v>250</v>
      </c>
      <c r="B95" s="145"/>
      <c r="C95" s="97">
        <f ca="1">TblProd[[#This Row],[Platinum]]</f>
        <v>620104</v>
      </c>
      <c r="D95" s="97">
        <f ca="1">TblProd[[#This Row],[Lumber]]</f>
        <v>65940</v>
      </c>
      <c r="E95" s="97">
        <f ca="1">TblProd[[#This Row],[Ore]]</f>
        <v>0</v>
      </c>
      <c r="F95" s="97">
        <f ca="1">TblProd[[#This Row],[Gems]]</f>
        <v>0</v>
      </c>
      <c r="G95" s="157"/>
      <c r="H95" s="97">
        <f ca="1">TblMili[[#This Row],[Draftees]]</f>
        <v>626</v>
      </c>
      <c r="I95" s="183">
        <f ca="1">TblPop[[#This Row],[Employment]]</f>
        <v>1</v>
      </c>
      <c r="J95" s="183">
        <f ca="1">TblPop[[#This Row],[Total]]/TblPop[[#This Row],[Net max]]</f>
        <v>1</v>
      </c>
      <c r="K95" s="306">
        <f>TblRezone[[#This Row],[Hour]]</f>
        <v>92</v>
      </c>
      <c r="L95" s="307">
        <f ca="1">TblImps[[#This Row],[Real time]]</f>
        <v>45370.541666666446</v>
      </c>
      <c r="M95" s="62">
        <f>IF(ISERROR(TblImps[[#This Row],[algorithm]]),0,TblImps[[#This Row],[algorithm]]*1)</f>
        <v>0</v>
      </c>
      <c r="N95" s="97">
        <f ca="1">TblImps[[#This Row],[Land]]</f>
        <v>250</v>
      </c>
      <c r="O95" s="308" t="s">
        <v>4</v>
      </c>
      <c r="P95" s="309"/>
      <c r="Q95" s="308" t="s">
        <v>212</v>
      </c>
      <c r="R95" s="308" t="s">
        <v>7</v>
      </c>
      <c r="S95" s="309"/>
      <c r="T95" s="308" t="s">
        <v>212</v>
      </c>
      <c r="U95" s="308" t="s">
        <v>3</v>
      </c>
      <c r="V95" s="309"/>
      <c r="W95" s="308" t="s">
        <v>212</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45370.541666666446</v>
      </c>
      <c r="BZ95" s="317">
        <f ca="1">OFFSET(TblImps[[#This Row],[Servertime]],-1,0)+1/24</f>
        <v>45370.791666666446</v>
      </c>
      <c r="CA95" s="57"/>
      <c r="CB95" s="315"/>
      <c r="CC95" s="315"/>
    </row>
    <row r="96" spans="1:84" x14ac:dyDescent="0.2">
      <c r="A96" s="225">
        <f ca="1">TblConstr[[#This Row],[Land]]</f>
        <v>250</v>
      </c>
      <c r="B96" s="145"/>
      <c r="C96" s="97">
        <f ca="1">TblProd[[#This Row],[Platinum]]</f>
        <v>625590</v>
      </c>
      <c r="D96" s="97">
        <f ca="1">TblProd[[#This Row],[Lumber]]</f>
        <v>66281</v>
      </c>
      <c r="E96" s="97">
        <f ca="1">TblProd[[#This Row],[Ore]]</f>
        <v>0</v>
      </c>
      <c r="F96" s="97">
        <f ca="1">TblProd[[#This Row],[Gems]]</f>
        <v>0</v>
      </c>
      <c r="G96" s="157"/>
      <c r="H96" s="97">
        <f ca="1">TblMili[[#This Row],[Draftees]]</f>
        <v>626</v>
      </c>
      <c r="I96" s="183">
        <f ca="1">TblPop[[#This Row],[Employment]]</f>
        <v>1</v>
      </c>
      <c r="J96" s="183">
        <f ca="1">TblPop[[#This Row],[Total]]/TblPop[[#This Row],[Net max]]</f>
        <v>1</v>
      </c>
      <c r="K96" s="306">
        <f>TblRezone[[#This Row],[Hour]]</f>
        <v>93</v>
      </c>
      <c r="L96" s="307">
        <f ca="1">TblImps[[#This Row],[Real time]]</f>
        <v>45370.58333333311</v>
      </c>
      <c r="M96" s="62">
        <f>IF(ISERROR(TblImps[[#This Row],[algorithm]]),0,TblImps[[#This Row],[algorithm]]*1)</f>
        <v>0</v>
      </c>
      <c r="N96" s="97">
        <f ca="1">TblImps[[#This Row],[Land]]</f>
        <v>250</v>
      </c>
      <c r="O96" s="308" t="s">
        <v>4</v>
      </c>
      <c r="P96" s="309"/>
      <c r="Q96" s="308" t="s">
        <v>212</v>
      </c>
      <c r="R96" s="308" t="s">
        <v>7</v>
      </c>
      <c r="S96" s="309"/>
      <c r="T96" s="308" t="s">
        <v>212</v>
      </c>
      <c r="U96" s="308" t="s">
        <v>3</v>
      </c>
      <c r="V96" s="309"/>
      <c r="W96" s="308" t="s">
        <v>212</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45370.58333333311</v>
      </c>
      <c r="BZ96" s="317">
        <f ca="1">OFFSET(TblImps[[#This Row],[Servertime]],-1,0)+1/24</f>
        <v>45370.83333333311</v>
      </c>
      <c r="CA96" s="57"/>
      <c r="CB96" s="315"/>
      <c r="CC96" s="315"/>
    </row>
    <row r="97" spans="1:82" x14ac:dyDescent="0.2">
      <c r="A97" s="225">
        <f ca="1">TblConstr[[#This Row],[Land]]</f>
        <v>250</v>
      </c>
      <c r="B97" s="145"/>
      <c r="C97" s="97">
        <f ca="1">TblProd[[#This Row],[Platinum]]</f>
        <v>631076</v>
      </c>
      <c r="D97" s="97">
        <f ca="1">TblProd[[#This Row],[Lumber]]</f>
        <v>66618</v>
      </c>
      <c r="E97" s="97">
        <f ca="1">TblProd[[#This Row],[Ore]]</f>
        <v>0</v>
      </c>
      <c r="F97" s="97">
        <f ca="1">TblProd[[#This Row],[Gems]]</f>
        <v>0</v>
      </c>
      <c r="G97" s="157"/>
      <c r="H97" s="97">
        <f ca="1">TblMili[[#This Row],[Draftees]]</f>
        <v>626</v>
      </c>
      <c r="I97" s="183">
        <f ca="1">TblPop[[#This Row],[Employment]]</f>
        <v>1</v>
      </c>
      <c r="J97" s="183">
        <f ca="1">TblPop[[#This Row],[Total]]/TblPop[[#This Row],[Net max]]</f>
        <v>1</v>
      </c>
      <c r="K97" s="306">
        <f>TblRezone[[#This Row],[Hour]]</f>
        <v>94</v>
      </c>
      <c r="L97" s="307">
        <f ca="1">TblImps[[#This Row],[Real time]]</f>
        <v>45370.624999999774</v>
      </c>
      <c r="M97" s="62">
        <f>IF(ISERROR(TblImps[[#This Row],[algorithm]]),0,TblImps[[#This Row],[algorithm]]*1)</f>
        <v>0</v>
      </c>
      <c r="N97" s="97">
        <f ca="1">TblImps[[#This Row],[Land]]</f>
        <v>250</v>
      </c>
      <c r="O97" s="308" t="s">
        <v>4</v>
      </c>
      <c r="P97" s="309"/>
      <c r="Q97" s="308" t="s">
        <v>212</v>
      </c>
      <c r="R97" s="308" t="s">
        <v>7</v>
      </c>
      <c r="S97" s="309"/>
      <c r="T97" s="308" t="s">
        <v>212</v>
      </c>
      <c r="U97" s="308" t="s">
        <v>3</v>
      </c>
      <c r="V97" s="309"/>
      <c r="W97" s="308" t="s">
        <v>212</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45370.624999999774</v>
      </c>
      <c r="BZ97" s="317">
        <f ca="1">OFFSET(TblImps[[#This Row],[Servertime]],-1,0)+1/24</f>
        <v>45370.874999999774</v>
      </c>
      <c r="CA97" s="57"/>
      <c r="CB97" s="315"/>
      <c r="CC97" s="315"/>
    </row>
    <row r="98" spans="1:82" x14ac:dyDescent="0.2">
      <c r="A98" s="225">
        <f ca="1">TblConstr[[#This Row],[Land]]</f>
        <v>250</v>
      </c>
      <c r="B98" s="145"/>
      <c r="C98" s="97">
        <f ca="1">TblProd[[#This Row],[Platinum]]</f>
        <v>636562</v>
      </c>
      <c r="D98" s="97">
        <f ca="1">TblProd[[#This Row],[Lumber]]</f>
        <v>66952</v>
      </c>
      <c r="E98" s="97">
        <f ca="1">TblProd[[#This Row],[Ore]]</f>
        <v>0</v>
      </c>
      <c r="F98" s="97">
        <f ca="1">TblProd[[#This Row],[Gems]]</f>
        <v>0</v>
      </c>
      <c r="G98" s="157"/>
      <c r="H98" s="97">
        <f ca="1">TblMili[[#This Row],[Draftees]]</f>
        <v>626</v>
      </c>
      <c r="I98" s="183">
        <f ca="1">TblPop[[#This Row],[Employment]]</f>
        <v>1</v>
      </c>
      <c r="J98" s="183">
        <f ca="1">TblPop[[#This Row],[Total]]/TblPop[[#This Row],[Net max]]</f>
        <v>1</v>
      </c>
      <c r="K98" s="306">
        <f>TblRezone[[#This Row],[Hour]]</f>
        <v>95</v>
      </c>
      <c r="L98" s="307">
        <f ca="1">TblImps[[#This Row],[Real time]]</f>
        <v>45370.666666666439</v>
      </c>
      <c r="M98" s="62">
        <f>IF(ISERROR(TblImps[[#This Row],[algorithm]]),0,TblImps[[#This Row],[algorithm]]*1)</f>
        <v>0</v>
      </c>
      <c r="N98" s="97">
        <f ca="1">TblImps[[#This Row],[Land]]</f>
        <v>250</v>
      </c>
      <c r="O98" s="308" t="s">
        <v>4</v>
      </c>
      <c r="P98" s="309"/>
      <c r="Q98" s="308" t="s">
        <v>212</v>
      </c>
      <c r="R98" s="308" t="s">
        <v>7</v>
      </c>
      <c r="S98" s="309"/>
      <c r="T98" s="308" t="s">
        <v>212</v>
      </c>
      <c r="U98" s="308" t="s">
        <v>3</v>
      </c>
      <c r="V98" s="309"/>
      <c r="W98" s="308" t="s">
        <v>212</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45370.666666666439</v>
      </c>
      <c r="BZ98" s="317">
        <f ca="1">OFFSET(TblImps[[#This Row],[Servertime]],-1,0)+1/24</f>
        <v>45370.916666666439</v>
      </c>
      <c r="CA98" s="57"/>
      <c r="CB98" s="315"/>
      <c r="CC98" s="315"/>
    </row>
    <row r="99" spans="1:82" x14ac:dyDescent="0.2">
      <c r="A99" s="225">
        <f ca="1">TblConstr[[#This Row],[Land]]</f>
        <v>250</v>
      </c>
      <c r="B99" s="145"/>
      <c r="C99" s="97">
        <f ca="1">TblProd[[#This Row],[Platinum]]</f>
        <v>642048</v>
      </c>
      <c r="D99" s="97">
        <f ca="1">TblProd[[#This Row],[Lumber]]</f>
        <v>67282</v>
      </c>
      <c r="E99" s="97">
        <f ca="1">TblProd[[#This Row],[Ore]]</f>
        <v>0</v>
      </c>
      <c r="F99" s="97">
        <f ca="1">TblProd[[#This Row],[Gems]]</f>
        <v>0</v>
      </c>
      <c r="G99" s="157"/>
      <c r="H99" s="97">
        <f ca="1">TblMili[[#This Row],[Draftees]]</f>
        <v>626</v>
      </c>
      <c r="I99" s="183">
        <f ca="1">TblPop[[#This Row],[Employment]]</f>
        <v>1</v>
      </c>
      <c r="J99" s="183">
        <f ca="1">TblPop[[#This Row],[Total]]/TblPop[[#This Row],[Net max]]</f>
        <v>1</v>
      </c>
      <c r="K99" s="306">
        <f>TblRezone[[#This Row],[Hour]]</f>
        <v>96</v>
      </c>
      <c r="L99" s="307">
        <f ca="1">TblImps[[#This Row],[Real time]]</f>
        <v>45370.708333333103</v>
      </c>
      <c r="M99" s="62">
        <f>IF(ISERROR(TblImps[[#This Row],[algorithm]]),0,TblImps[[#This Row],[algorithm]]*1)</f>
        <v>0</v>
      </c>
      <c r="N99" s="97">
        <f ca="1">TblImps[[#This Row],[Land]]</f>
        <v>250</v>
      </c>
      <c r="O99" s="308" t="s">
        <v>4</v>
      </c>
      <c r="P99" s="309"/>
      <c r="Q99" s="308" t="s">
        <v>212</v>
      </c>
      <c r="R99" s="308" t="s">
        <v>7</v>
      </c>
      <c r="S99" s="309"/>
      <c r="T99" s="308" t="s">
        <v>212</v>
      </c>
      <c r="U99" s="308" t="s">
        <v>3</v>
      </c>
      <c r="V99" s="309"/>
      <c r="W99" s="308" t="s">
        <v>212</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45370.708333333103</v>
      </c>
      <c r="BZ99" s="317">
        <f ca="1">OFFSET(TblImps[[#This Row],[Servertime]],-1,0)+1/24</f>
        <v>45370.958333333103</v>
      </c>
      <c r="CA99" s="57"/>
      <c r="CB99" s="315"/>
      <c r="CC99" s="315"/>
    </row>
    <row r="100" spans="1:82" x14ac:dyDescent="0.2">
      <c r="A100" s="225">
        <f ca="1">TblConstr[[#This Row],[Land]]</f>
        <v>250</v>
      </c>
      <c r="B100" s="145"/>
      <c r="C100" s="97">
        <f ca="1">TblProd[[#This Row],[Platinum]]</f>
        <v>647534</v>
      </c>
      <c r="D100" s="97">
        <f ca="1">TblProd[[#This Row],[Lumber]]</f>
        <v>67609</v>
      </c>
      <c r="E100" s="97">
        <f ca="1">TblProd[[#This Row],[Ore]]</f>
        <v>0</v>
      </c>
      <c r="F100" s="97">
        <f ca="1">TblProd[[#This Row],[Gems]]</f>
        <v>0</v>
      </c>
      <c r="G100" s="157"/>
      <c r="H100" s="97">
        <f ca="1">TblMili[[#This Row],[Draftees]]</f>
        <v>626</v>
      </c>
      <c r="I100" s="183">
        <f ca="1">TblPop[[#This Row],[Employment]]</f>
        <v>1</v>
      </c>
      <c r="J100" s="183">
        <f ca="1">TblPop[[#This Row],[Total]]/TblPop[[#This Row],[Net max]]</f>
        <v>1</v>
      </c>
      <c r="K100" s="306">
        <f>TblRezone[[#This Row],[Hour]]</f>
        <v>97</v>
      </c>
      <c r="L100" s="307">
        <f ca="1">TblImps[[#This Row],[Real time]]</f>
        <v>45370.749999999767</v>
      </c>
      <c r="M100" s="62">
        <f>IF(ISERROR(TblImps[[#This Row],[algorithm]]),0,TblImps[[#This Row],[algorithm]]*1)</f>
        <v>0</v>
      </c>
      <c r="N100" s="97">
        <f ca="1">TblImps[[#This Row],[Land]]</f>
        <v>250</v>
      </c>
      <c r="O100" s="308" t="s">
        <v>4</v>
      </c>
      <c r="P100" s="309"/>
      <c r="Q100" s="308" t="s">
        <v>212</v>
      </c>
      <c r="R100" s="308" t="s">
        <v>7</v>
      </c>
      <c r="S100" s="309"/>
      <c r="T100" s="308" t="s">
        <v>212</v>
      </c>
      <c r="U100" s="308" t="s">
        <v>3</v>
      </c>
      <c r="V100" s="309"/>
      <c r="W100" s="308" t="s">
        <v>212</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45370.749999999767</v>
      </c>
      <c r="BZ100" s="317">
        <f ca="1">OFFSET(TblImps[[#This Row],[Servertime]],-1,0)+1/24</f>
        <v>45370.999999999767</v>
      </c>
      <c r="CA100" s="57"/>
      <c r="CB100" s="315"/>
      <c r="CC100" s="315"/>
    </row>
    <row r="101" spans="1:82" x14ac:dyDescent="0.2">
      <c r="A101" s="225">
        <f ca="1">TblConstr[[#This Row],[Land]]</f>
        <v>250</v>
      </c>
      <c r="B101" s="145"/>
      <c r="C101" s="97">
        <f ca="1">TblProd[[#This Row],[Platinum]]</f>
        <v>653020</v>
      </c>
      <c r="D101" s="97">
        <f ca="1">TblProd[[#This Row],[Lumber]]</f>
        <v>67933</v>
      </c>
      <c r="E101" s="97">
        <f ca="1">TblProd[[#This Row],[Ore]]</f>
        <v>0</v>
      </c>
      <c r="F101" s="97">
        <f ca="1">TblProd[[#This Row],[Gems]]</f>
        <v>0</v>
      </c>
      <c r="G101" s="157"/>
      <c r="H101" s="97">
        <f ca="1">TblMili[[#This Row],[Draftees]]</f>
        <v>626</v>
      </c>
      <c r="I101" s="183">
        <f ca="1">TblPop[[#This Row],[Employment]]</f>
        <v>1</v>
      </c>
      <c r="J101" s="183">
        <f ca="1">TblPop[[#This Row],[Total]]/TblPop[[#This Row],[Net max]]</f>
        <v>1</v>
      </c>
      <c r="K101" s="306">
        <f>TblRezone[[#This Row],[Hour]]</f>
        <v>98</v>
      </c>
      <c r="L101" s="307">
        <f ca="1">TblImps[[#This Row],[Real time]]</f>
        <v>45370.791666666431</v>
      </c>
      <c r="M101" s="62">
        <f>IF(ISERROR(TblImps[[#This Row],[algorithm]]),0,TblImps[[#This Row],[algorithm]]*1)</f>
        <v>0</v>
      </c>
      <c r="N101" s="97">
        <f ca="1">TblImps[[#This Row],[Land]]</f>
        <v>250</v>
      </c>
      <c r="O101" s="308" t="s">
        <v>4</v>
      </c>
      <c r="P101" s="309"/>
      <c r="Q101" s="308" t="s">
        <v>212</v>
      </c>
      <c r="R101" s="308" t="s">
        <v>7</v>
      </c>
      <c r="S101" s="309"/>
      <c r="T101" s="308" t="s">
        <v>212</v>
      </c>
      <c r="U101" s="308" t="s">
        <v>3</v>
      </c>
      <c r="V101" s="309"/>
      <c r="W101" s="308" t="s">
        <v>212</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45370.791666666431</v>
      </c>
      <c r="BZ101" s="317">
        <f ca="1">OFFSET(TblImps[[#This Row],[Servertime]],-1,0)+1/24</f>
        <v>45371.041666666431</v>
      </c>
      <c r="CA101" s="57"/>
      <c r="CB101" s="315"/>
      <c r="CC101" s="315"/>
    </row>
    <row r="102" spans="1:82" x14ac:dyDescent="0.2">
      <c r="A102" s="225">
        <f ca="1">TblConstr[[#This Row],[Land]]</f>
        <v>250</v>
      </c>
      <c r="B102" s="145"/>
      <c r="C102" s="97">
        <f ca="1">TblProd[[#This Row],[Platinum]]</f>
        <v>658506</v>
      </c>
      <c r="D102" s="97">
        <f ca="1">TblProd[[#This Row],[Lumber]]</f>
        <v>68254</v>
      </c>
      <c r="E102" s="97">
        <f ca="1">TblProd[[#This Row],[Ore]]</f>
        <v>0</v>
      </c>
      <c r="F102" s="97">
        <f ca="1">TblProd[[#This Row],[Gems]]</f>
        <v>0</v>
      </c>
      <c r="G102" s="157"/>
      <c r="H102" s="97">
        <f ca="1">TblMili[[#This Row],[Draftees]]</f>
        <v>626</v>
      </c>
      <c r="I102" s="183">
        <f ca="1">TblPop[[#This Row],[Employment]]</f>
        <v>1</v>
      </c>
      <c r="J102" s="183">
        <f ca="1">TblPop[[#This Row],[Total]]/TblPop[[#This Row],[Net max]]</f>
        <v>1</v>
      </c>
      <c r="K102" s="306">
        <f>TblRezone[[#This Row],[Hour]]</f>
        <v>99</v>
      </c>
      <c r="L102" s="307">
        <f ca="1">TblImps[[#This Row],[Real time]]</f>
        <v>45370.833333333096</v>
      </c>
      <c r="M102" s="62">
        <f>IF(ISERROR(TblImps[[#This Row],[algorithm]]),0,TblImps[[#This Row],[algorithm]]*1)</f>
        <v>0</v>
      </c>
      <c r="N102" s="97">
        <f ca="1">TblImps[[#This Row],[Land]]</f>
        <v>250</v>
      </c>
      <c r="O102" s="308" t="s">
        <v>4</v>
      </c>
      <c r="P102" s="309"/>
      <c r="Q102" s="308" t="s">
        <v>212</v>
      </c>
      <c r="R102" s="308" t="s">
        <v>7</v>
      </c>
      <c r="S102" s="309"/>
      <c r="T102" s="308" t="s">
        <v>212</v>
      </c>
      <c r="U102" s="308" t="s">
        <v>3</v>
      </c>
      <c r="V102" s="309"/>
      <c r="W102" s="308" t="s">
        <v>212</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45370.833333333096</v>
      </c>
      <c r="BZ102" s="317">
        <f ca="1">OFFSET(TblImps[[#This Row],[Servertime]],-1,0)+1/24</f>
        <v>45371.083333333096</v>
      </c>
      <c r="CA102" s="57"/>
      <c r="CB102" s="315"/>
      <c r="CC102" s="315"/>
      <c r="CD102" s="45" t="s">
        <v>4</v>
      </c>
    </row>
    <row r="103" spans="1:82" x14ac:dyDescent="0.2">
      <c r="A103" s="225">
        <f ca="1">TblConstr[[#This Row],[Land]]</f>
        <v>250</v>
      </c>
      <c r="B103" s="145"/>
      <c r="C103" s="97">
        <f ca="1">TblProd[[#This Row],[Platinum]]</f>
        <v>663992</v>
      </c>
      <c r="D103" s="97">
        <f ca="1">TblProd[[#This Row],[Lumber]]</f>
        <v>68571</v>
      </c>
      <c r="E103" s="97">
        <f ca="1">TblProd[[#This Row],[Ore]]</f>
        <v>0</v>
      </c>
      <c r="F103" s="97">
        <f ca="1">TblProd[[#This Row],[Gems]]</f>
        <v>0</v>
      </c>
      <c r="G103" s="157"/>
      <c r="H103" s="97">
        <f ca="1">TblMili[[#This Row],[Draftees]]</f>
        <v>626</v>
      </c>
      <c r="I103" s="183">
        <f ca="1">TblPop[[#This Row],[Employment]]</f>
        <v>1</v>
      </c>
      <c r="J103" s="183">
        <f ca="1">TblPop[[#This Row],[Total]]/TblPop[[#This Row],[Net max]]</f>
        <v>1</v>
      </c>
      <c r="K103" s="306">
        <f>TblRezone[[#This Row],[Hour]]</f>
        <v>100</v>
      </c>
      <c r="L103" s="307">
        <f ca="1">TblImps[[#This Row],[Real time]]</f>
        <v>45370.87499999976</v>
      </c>
      <c r="M103" s="62">
        <f>IF(ISERROR(TblImps[[#This Row],[algorithm]]),0,TblImps[[#This Row],[algorithm]]*1)</f>
        <v>0</v>
      </c>
      <c r="N103" s="97">
        <f ca="1">TblImps[[#This Row],[Land]]</f>
        <v>250</v>
      </c>
      <c r="O103" s="308" t="s">
        <v>4</v>
      </c>
      <c r="P103" s="309"/>
      <c r="Q103" s="308" t="s">
        <v>212</v>
      </c>
      <c r="R103" s="308" t="s">
        <v>7</v>
      </c>
      <c r="S103" s="309"/>
      <c r="T103" s="308" t="s">
        <v>212</v>
      </c>
      <c r="U103" s="308" t="s">
        <v>3</v>
      </c>
      <c r="V103" s="309"/>
      <c r="W103" s="308" t="s">
        <v>212</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45370.87499999976</v>
      </c>
      <c r="BZ103" s="317">
        <f ca="1">OFFSET(TblImps[[#This Row],[Servertime]],-1,0)+1/24</f>
        <v>45371.12499999976</v>
      </c>
      <c r="CA103" s="57"/>
      <c r="CB103" s="315"/>
      <c r="CC103" s="315"/>
      <c r="CD103" s="45" t="s">
        <v>7</v>
      </c>
    </row>
    <row r="104" spans="1:82" x14ac:dyDescent="0.2">
      <c r="A104" s="225">
        <f ca="1">TblConstr[[#This Row],[Land]]</f>
        <v>250</v>
      </c>
      <c r="B104" s="145"/>
      <c r="C104" s="97">
        <f ca="1">TblProd[[#This Row],[Platinum]]</f>
        <v>669478</v>
      </c>
      <c r="D104" s="97">
        <f ca="1">TblProd[[#This Row],[Lumber]]</f>
        <v>68885</v>
      </c>
      <c r="E104" s="97">
        <f ca="1">TblProd[[#This Row],[Ore]]</f>
        <v>0</v>
      </c>
      <c r="F104" s="97">
        <f ca="1">TblProd[[#This Row],[Gems]]</f>
        <v>0</v>
      </c>
      <c r="G104" s="157"/>
      <c r="H104" s="97">
        <f ca="1">TblMili[[#This Row],[Draftees]]</f>
        <v>626</v>
      </c>
      <c r="I104" s="183">
        <f ca="1">TblPop[[#This Row],[Employment]]</f>
        <v>1</v>
      </c>
      <c r="J104" s="183">
        <f ca="1">TblPop[[#This Row],[Total]]/TblPop[[#This Row],[Net max]]</f>
        <v>1</v>
      </c>
      <c r="K104" s="306">
        <f>TblRezone[[#This Row],[Hour]]</f>
        <v>101</v>
      </c>
      <c r="L104" s="307">
        <f ca="1">TblImps[[#This Row],[Real time]]</f>
        <v>45370.916666666424</v>
      </c>
      <c r="M104" s="62">
        <f>IF(ISERROR(TblImps[[#This Row],[algorithm]]),0,TblImps[[#This Row],[algorithm]]*1)</f>
        <v>0</v>
      </c>
      <c r="N104" s="97">
        <f ca="1">TblImps[[#This Row],[Land]]</f>
        <v>250</v>
      </c>
      <c r="O104" s="308" t="s">
        <v>4</v>
      </c>
      <c r="P104" s="309"/>
      <c r="Q104" s="308" t="s">
        <v>212</v>
      </c>
      <c r="R104" s="308" t="s">
        <v>7</v>
      </c>
      <c r="S104" s="309"/>
      <c r="T104" s="308" t="s">
        <v>212</v>
      </c>
      <c r="U104" s="308" t="s">
        <v>3</v>
      </c>
      <c r="V104" s="309"/>
      <c r="W104" s="308" t="s">
        <v>212</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45370.916666666424</v>
      </c>
      <c r="BZ104" s="317">
        <f ca="1">OFFSET(TblImps[[#This Row],[Servertime]],-1,0)+1/24</f>
        <v>45371.166666666424</v>
      </c>
      <c r="CA104" s="57"/>
      <c r="CB104" s="315"/>
      <c r="CC104" s="315"/>
      <c r="CD104" s="45" t="s">
        <v>3</v>
      </c>
    </row>
    <row r="105" spans="1:82" x14ac:dyDescent="0.2">
      <c r="A105" s="225">
        <f ca="1">TblConstr[[#This Row],[Land]]</f>
        <v>250</v>
      </c>
      <c r="B105" s="145"/>
      <c r="C105" s="97">
        <f ca="1">TblProd[[#This Row],[Platinum]]</f>
        <v>674964</v>
      </c>
      <c r="D105" s="97">
        <f ca="1">TblProd[[#This Row],[Lumber]]</f>
        <v>69196</v>
      </c>
      <c r="E105" s="97">
        <f ca="1">TblProd[[#This Row],[Ore]]</f>
        <v>0</v>
      </c>
      <c r="F105" s="97">
        <f ca="1">TblProd[[#This Row],[Gems]]</f>
        <v>0</v>
      </c>
      <c r="G105" s="157"/>
      <c r="H105" s="97">
        <f ca="1">TblMili[[#This Row],[Draftees]]</f>
        <v>626</v>
      </c>
      <c r="I105" s="183">
        <f ca="1">TblPop[[#This Row],[Employment]]</f>
        <v>1</v>
      </c>
      <c r="J105" s="183">
        <f ca="1">TblPop[[#This Row],[Total]]/TblPop[[#This Row],[Net max]]</f>
        <v>1</v>
      </c>
      <c r="K105" s="306">
        <f>TblRezone[[#This Row],[Hour]]</f>
        <v>102</v>
      </c>
      <c r="L105" s="307">
        <f ca="1">TblImps[[#This Row],[Real time]]</f>
        <v>45370.958333333088</v>
      </c>
      <c r="M105" s="62">
        <f>IF(ISERROR(TblImps[[#This Row],[algorithm]]),0,TblImps[[#This Row],[algorithm]]*1)</f>
        <v>0</v>
      </c>
      <c r="N105" s="97">
        <f ca="1">TblImps[[#This Row],[Land]]</f>
        <v>250</v>
      </c>
      <c r="O105" s="308" t="s">
        <v>4</v>
      </c>
      <c r="P105" s="309"/>
      <c r="Q105" s="308" t="s">
        <v>212</v>
      </c>
      <c r="R105" s="308" t="s">
        <v>7</v>
      </c>
      <c r="S105" s="309"/>
      <c r="T105" s="308" t="s">
        <v>212</v>
      </c>
      <c r="U105" s="308" t="s">
        <v>3</v>
      </c>
      <c r="V105" s="309"/>
      <c r="W105" s="308" t="s">
        <v>212</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45370.958333333088</v>
      </c>
      <c r="BZ105" s="317">
        <f ca="1">OFFSET(TblImps[[#This Row],[Servertime]],-1,0)+1/24</f>
        <v>45371.208333333088</v>
      </c>
      <c r="CA105" s="57"/>
      <c r="CB105" s="315"/>
      <c r="CC105" s="315"/>
      <c r="CD105" s="45" t="s">
        <v>2</v>
      </c>
    </row>
    <row r="106" spans="1:82" x14ac:dyDescent="0.2">
      <c r="A106" s="225">
        <f ca="1">TblConstr[[#This Row],[Land]]</f>
        <v>250</v>
      </c>
      <c r="B106" s="145"/>
      <c r="C106" s="97">
        <f ca="1">TblProd[[#This Row],[Platinum]]</f>
        <v>680450</v>
      </c>
      <c r="D106" s="97">
        <f ca="1">TblProd[[#This Row],[Lumber]]</f>
        <v>69504</v>
      </c>
      <c r="E106" s="97">
        <f ca="1">TblProd[[#This Row],[Ore]]</f>
        <v>0</v>
      </c>
      <c r="F106" s="97">
        <f ca="1">TblProd[[#This Row],[Gems]]</f>
        <v>0</v>
      </c>
      <c r="G106" s="157"/>
      <c r="H106" s="97">
        <f ca="1">TblMili[[#This Row],[Draftees]]</f>
        <v>626</v>
      </c>
      <c r="I106" s="183">
        <f ca="1">TblPop[[#This Row],[Employment]]</f>
        <v>1</v>
      </c>
      <c r="J106" s="183">
        <f ca="1">TblPop[[#This Row],[Total]]/TblPop[[#This Row],[Net max]]</f>
        <v>1</v>
      </c>
      <c r="K106" s="306">
        <f>TblRezone[[#This Row],[Hour]]</f>
        <v>103</v>
      </c>
      <c r="L106" s="307">
        <f ca="1">TblImps[[#This Row],[Real time]]</f>
        <v>45370.999999999753</v>
      </c>
      <c r="M106" s="62">
        <f>IF(ISERROR(TblImps[[#This Row],[algorithm]]),0,TblImps[[#This Row],[algorithm]]*1)</f>
        <v>0</v>
      </c>
      <c r="N106" s="97">
        <f ca="1">TblImps[[#This Row],[Land]]</f>
        <v>250</v>
      </c>
      <c r="O106" s="308" t="s">
        <v>4</v>
      </c>
      <c r="P106" s="309"/>
      <c r="Q106" s="308" t="s">
        <v>212</v>
      </c>
      <c r="R106" s="308" t="s">
        <v>7</v>
      </c>
      <c r="S106" s="309"/>
      <c r="T106" s="308" t="s">
        <v>212</v>
      </c>
      <c r="U106" s="308" t="s">
        <v>3</v>
      </c>
      <c r="V106" s="309"/>
      <c r="W106" s="308" t="s">
        <v>212</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45370.999999999753</v>
      </c>
      <c r="BZ106" s="317">
        <f ca="1">OFFSET(TblImps[[#This Row],[Servertime]],-1,0)+1/24</f>
        <v>45371.249999999753</v>
      </c>
      <c r="CA106" s="57"/>
      <c r="CB106" s="315"/>
      <c r="CC106" s="315"/>
    </row>
    <row r="107" spans="1:82" x14ac:dyDescent="0.2">
      <c r="A107" s="225">
        <f ca="1">TblConstr[[#This Row],[Land]]</f>
        <v>250</v>
      </c>
      <c r="B107" s="145"/>
      <c r="C107" s="97">
        <f ca="1">TblProd[[#This Row],[Platinum]]</f>
        <v>685936</v>
      </c>
      <c r="D107" s="97">
        <f ca="1">TblProd[[#This Row],[Lumber]]</f>
        <v>69809</v>
      </c>
      <c r="E107" s="97">
        <f ca="1">TblProd[[#This Row],[Ore]]</f>
        <v>0</v>
      </c>
      <c r="F107" s="97">
        <f ca="1">TblProd[[#This Row],[Gems]]</f>
        <v>0</v>
      </c>
      <c r="G107" s="157"/>
      <c r="H107" s="97">
        <f ca="1">TblMili[[#This Row],[Draftees]]</f>
        <v>626</v>
      </c>
      <c r="I107" s="183">
        <f ca="1">TblPop[[#This Row],[Employment]]</f>
        <v>1</v>
      </c>
      <c r="J107" s="183">
        <f ca="1">TblPop[[#This Row],[Total]]/TblPop[[#This Row],[Net max]]</f>
        <v>1</v>
      </c>
      <c r="K107" s="306">
        <f>TblRezone[[#This Row],[Hour]]</f>
        <v>104</v>
      </c>
      <c r="L107" s="307">
        <f ca="1">TblImps[[#This Row],[Real time]]</f>
        <v>45371.041666666417</v>
      </c>
      <c r="M107" s="62">
        <f>IF(ISERROR(TblImps[[#This Row],[algorithm]]),0,TblImps[[#This Row],[algorithm]]*1)</f>
        <v>0</v>
      </c>
      <c r="N107" s="97">
        <f ca="1">TblImps[[#This Row],[Land]]</f>
        <v>250</v>
      </c>
      <c r="O107" s="308" t="s">
        <v>4</v>
      </c>
      <c r="P107" s="309"/>
      <c r="Q107" s="308" t="s">
        <v>212</v>
      </c>
      <c r="R107" s="308" t="s">
        <v>7</v>
      </c>
      <c r="S107" s="309"/>
      <c r="T107" s="308" t="s">
        <v>212</v>
      </c>
      <c r="U107" s="308" t="s">
        <v>3</v>
      </c>
      <c r="V107" s="309"/>
      <c r="W107" s="308" t="s">
        <v>212</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45371.041666666417</v>
      </c>
      <c r="BZ107" s="317">
        <f ca="1">OFFSET(TblImps[[#This Row],[Servertime]],-1,0)+1/24</f>
        <v>45371.291666666417</v>
      </c>
      <c r="CA107" s="57"/>
      <c r="CB107" s="315"/>
      <c r="CC107" s="315"/>
      <c r="CD107" s="45" t="s">
        <v>210</v>
      </c>
    </row>
    <row r="108" spans="1:82" x14ac:dyDescent="0.2">
      <c r="A108" s="225">
        <f ca="1">TblConstr[[#This Row],[Land]]</f>
        <v>250</v>
      </c>
      <c r="B108" s="145"/>
      <c r="C108" s="97">
        <f ca="1">TblProd[[#This Row],[Platinum]]</f>
        <v>691422</v>
      </c>
      <c r="D108" s="97">
        <f ca="1">TblProd[[#This Row],[Lumber]]</f>
        <v>70111</v>
      </c>
      <c r="E108" s="97">
        <f ca="1">TblProd[[#This Row],[Ore]]</f>
        <v>0</v>
      </c>
      <c r="F108" s="97">
        <f ca="1">TblProd[[#This Row],[Gems]]</f>
        <v>0</v>
      </c>
      <c r="G108" s="157"/>
      <c r="H108" s="97">
        <f ca="1">TblMili[[#This Row],[Draftees]]</f>
        <v>626</v>
      </c>
      <c r="I108" s="183">
        <f ca="1">TblPop[[#This Row],[Employment]]</f>
        <v>1</v>
      </c>
      <c r="J108" s="183">
        <f ca="1">TblPop[[#This Row],[Total]]/TblPop[[#This Row],[Net max]]</f>
        <v>1</v>
      </c>
      <c r="K108" s="306">
        <f>TblRezone[[#This Row],[Hour]]</f>
        <v>105</v>
      </c>
      <c r="L108" s="307">
        <f ca="1">TblImps[[#This Row],[Real time]]</f>
        <v>45371.083333333081</v>
      </c>
      <c r="M108" s="62">
        <f>IF(ISERROR(TblImps[[#This Row],[algorithm]]),0,TblImps[[#This Row],[algorithm]]*1)</f>
        <v>0</v>
      </c>
      <c r="N108" s="97">
        <f ca="1">TblImps[[#This Row],[Land]]</f>
        <v>250</v>
      </c>
      <c r="O108" s="308" t="s">
        <v>4</v>
      </c>
      <c r="P108" s="309"/>
      <c r="Q108" s="308" t="s">
        <v>212</v>
      </c>
      <c r="R108" s="308" t="s">
        <v>7</v>
      </c>
      <c r="S108" s="309"/>
      <c r="T108" s="308" t="s">
        <v>212</v>
      </c>
      <c r="U108" s="308" t="s">
        <v>3</v>
      </c>
      <c r="V108" s="309"/>
      <c r="W108" s="308" t="s">
        <v>212</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45371.083333333081</v>
      </c>
      <c r="BZ108" s="317">
        <f ca="1">OFFSET(TblImps[[#This Row],[Servertime]],-1,0)+1/24</f>
        <v>45371.333333333081</v>
      </c>
      <c r="CA108" s="57"/>
      <c r="CB108" s="315"/>
      <c r="CC108" s="315"/>
      <c r="CD108" s="45" t="s">
        <v>212</v>
      </c>
    </row>
    <row r="109" spans="1:82" x14ac:dyDescent="0.2">
      <c r="A109" s="225">
        <f ca="1">TblConstr[[#This Row],[Land]]</f>
        <v>250</v>
      </c>
      <c r="B109" s="145"/>
      <c r="C109" s="97">
        <f ca="1">TblProd[[#This Row],[Platinum]]</f>
        <v>696908</v>
      </c>
      <c r="D109" s="97">
        <f ca="1">TblProd[[#This Row],[Lumber]]</f>
        <v>70410</v>
      </c>
      <c r="E109" s="97">
        <f ca="1">TblProd[[#This Row],[Ore]]</f>
        <v>0</v>
      </c>
      <c r="F109" s="97">
        <f ca="1">TblProd[[#This Row],[Gems]]</f>
        <v>0</v>
      </c>
      <c r="G109" s="157"/>
      <c r="H109" s="97">
        <f ca="1">TblMili[[#This Row],[Draftees]]</f>
        <v>626</v>
      </c>
      <c r="I109" s="183">
        <f ca="1">TblPop[[#This Row],[Employment]]</f>
        <v>1</v>
      </c>
      <c r="J109" s="183">
        <f ca="1">TblPop[[#This Row],[Total]]/TblPop[[#This Row],[Net max]]</f>
        <v>1</v>
      </c>
      <c r="K109" s="306">
        <f>TblRezone[[#This Row],[Hour]]</f>
        <v>106</v>
      </c>
      <c r="L109" s="307">
        <f ca="1">TblImps[[#This Row],[Real time]]</f>
        <v>45371.124999999745</v>
      </c>
      <c r="M109" s="62">
        <f>IF(ISERROR(TblImps[[#This Row],[algorithm]]),0,TblImps[[#This Row],[algorithm]]*1)</f>
        <v>0</v>
      </c>
      <c r="N109" s="97">
        <f ca="1">TblImps[[#This Row],[Land]]</f>
        <v>250</v>
      </c>
      <c r="O109" s="308" t="s">
        <v>4</v>
      </c>
      <c r="P109" s="309"/>
      <c r="Q109" s="308" t="s">
        <v>212</v>
      </c>
      <c r="R109" s="308" t="s">
        <v>7</v>
      </c>
      <c r="S109" s="309"/>
      <c r="T109" s="308" t="s">
        <v>212</v>
      </c>
      <c r="U109" s="308" t="s">
        <v>3</v>
      </c>
      <c r="V109" s="309"/>
      <c r="W109" s="308" t="s">
        <v>212</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45371.124999999745</v>
      </c>
      <c r="BZ109" s="317">
        <f ca="1">OFFSET(TblImps[[#This Row],[Servertime]],-1,0)+1/24</f>
        <v>45371.374999999745</v>
      </c>
      <c r="CA109" s="57"/>
      <c r="CB109" s="315"/>
      <c r="CC109" s="315"/>
      <c r="CD109" s="45" t="s">
        <v>213</v>
      </c>
    </row>
    <row r="110" spans="1:82" x14ac:dyDescent="0.2">
      <c r="A110" s="225">
        <f ca="1">TblConstr[[#This Row],[Land]]</f>
        <v>250</v>
      </c>
      <c r="B110" s="145"/>
      <c r="C110" s="97">
        <f ca="1">TblProd[[#This Row],[Platinum]]</f>
        <v>702394</v>
      </c>
      <c r="D110" s="97">
        <f ca="1">TblProd[[#This Row],[Lumber]]</f>
        <v>70706</v>
      </c>
      <c r="E110" s="97">
        <f ca="1">TblProd[[#This Row],[Ore]]</f>
        <v>0</v>
      </c>
      <c r="F110" s="97">
        <f ca="1">TblProd[[#This Row],[Gems]]</f>
        <v>0</v>
      </c>
      <c r="G110" s="157"/>
      <c r="H110" s="97">
        <f ca="1">TblMili[[#This Row],[Draftees]]</f>
        <v>626</v>
      </c>
      <c r="I110" s="183">
        <f ca="1">TblPop[[#This Row],[Employment]]</f>
        <v>1</v>
      </c>
      <c r="J110" s="183">
        <f ca="1">TblPop[[#This Row],[Total]]/TblPop[[#This Row],[Net max]]</f>
        <v>1</v>
      </c>
      <c r="K110" s="306">
        <f>TblRezone[[#This Row],[Hour]]</f>
        <v>107</v>
      </c>
      <c r="L110" s="307">
        <f ca="1">TblImps[[#This Row],[Real time]]</f>
        <v>45371.16666666641</v>
      </c>
      <c r="M110" s="62">
        <f>IF(ISERROR(TblImps[[#This Row],[algorithm]]),0,TblImps[[#This Row],[algorithm]]*1)</f>
        <v>0</v>
      </c>
      <c r="N110" s="97">
        <f ca="1">TblImps[[#This Row],[Land]]</f>
        <v>250</v>
      </c>
      <c r="O110" s="308" t="s">
        <v>4</v>
      </c>
      <c r="P110" s="309"/>
      <c r="Q110" s="308" t="s">
        <v>212</v>
      </c>
      <c r="R110" s="308" t="s">
        <v>7</v>
      </c>
      <c r="S110" s="309"/>
      <c r="T110" s="308" t="s">
        <v>212</v>
      </c>
      <c r="U110" s="308" t="s">
        <v>3</v>
      </c>
      <c r="V110" s="309"/>
      <c r="W110" s="308" t="s">
        <v>212</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45371.16666666641</v>
      </c>
      <c r="BZ110" s="317">
        <f ca="1">OFFSET(TblImps[[#This Row],[Servertime]],-1,0)+1/24</f>
        <v>45371.41666666641</v>
      </c>
      <c r="CA110" s="57"/>
      <c r="CB110" s="315"/>
      <c r="CC110" s="315"/>
      <c r="CD110" s="45" t="s">
        <v>214</v>
      </c>
    </row>
    <row r="111" spans="1:82" x14ac:dyDescent="0.2">
      <c r="A111" s="225">
        <f ca="1">TblConstr[[#This Row],[Land]]</f>
        <v>250</v>
      </c>
      <c r="B111" s="145"/>
      <c r="C111" s="97">
        <f ca="1">TblProd[[#This Row],[Platinum]]</f>
        <v>707880</v>
      </c>
      <c r="D111" s="97">
        <f ca="1">TblProd[[#This Row],[Lumber]]</f>
        <v>70999</v>
      </c>
      <c r="E111" s="97">
        <f ca="1">TblProd[[#This Row],[Ore]]</f>
        <v>0</v>
      </c>
      <c r="F111" s="97">
        <f ca="1">TblProd[[#This Row],[Gems]]</f>
        <v>0</v>
      </c>
      <c r="G111" s="157"/>
      <c r="H111" s="97">
        <f ca="1">TblMili[[#This Row],[Draftees]]</f>
        <v>626</v>
      </c>
      <c r="I111" s="183">
        <f ca="1">TblPop[[#This Row],[Employment]]</f>
        <v>1</v>
      </c>
      <c r="J111" s="183">
        <f ca="1">TblPop[[#This Row],[Total]]/TblPop[[#This Row],[Net max]]</f>
        <v>1</v>
      </c>
      <c r="K111" s="306">
        <f>TblRezone[[#This Row],[Hour]]</f>
        <v>108</v>
      </c>
      <c r="L111" s="307">
        <f ca="1">TblImps[[#This Row],[Real time]]</f>
        <v>45371.208333333074</v>
      </c>
      <c r="M111" s="62">
        <f>IF(ISERROR(TblImps[[#This Row],[algorithm]]),0,TblImps[[#This Row],[algorithm]]*1)</f>
        <v>0</v>
      </c>
      <c r="N111" s="97">
        <f ca="1">TblImps[[#This Row],[Land]]</f>
        <v>250</v>
      </c>
      <c r="O111" s="308" t="s">
        <v>4</v>
      </c>
      <c r="P111" s="309"/>
      <c r="Q111" s="308" t="s">
        <v>212</v>
      </c>
      <c r="R111" s="308" t="s">
        <v>7</v>
      </c>
      <c r="S111" s="309"/>
      <c r="T111" s="308" t="s">
        <v>212</v>
      </c>
      <c r="U111" s="308" t="s">
        <v>3</v>
      </c>
      <c r="V111" s="309"/>
      <c r="W111" s="308" t="s">
        <v>212</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45371.208333333074</v>
      </c>
      <c r="BZ111" s="317">
        <f ca="1">OFFSET(TblImps[[#This Row],[Servertime]],-1,0)+1/24</f>
        <v>45371.458333333074</v>
      </c>
      <c r="CA111" s="57"/>
      <c r="CB111" s="315"/>
      <c r="CC111" s="315"/>
      <c r="CD111" s="45" t="s">
        <v>215</v>
      </c>
    </row>
    <row r="112" spans="1:82" x14ac:dyDescent="0.2">
      <c r="A112" s="225">
        <f ca="1">TblConstr[[#This Row],[Land]]</f>
        <v>250</v>
      </c>
      <c r="B112" s="145"/>
      <c r="C112" s="97">
        <f ca="1">TblProd[[#This Row],[Platinum]]</f>
        <v>713366</v>
      </c>
      <c r="D112" s="97">
        <f ca="1">TblProd[[#This Row],[Lumber]]</f>
        <v>71289</v>
      </c>
      <c r="E112" s="97">
        <f ca="1">TblProd[[#This Row],[Ore]]</f>
        <v>0</v>
      </c>
      <c r="F112" s="97">
        <f ca="1">TblProd[[#This Row],[Gems]]</f>
        <v>0</v>
      </c>
      <c r="G112" s="157"/>
      <c r="H112" s="97">
        <f ca="1">TblMili[[#This Row],[Draftees]]</f>
        <v>626</v>
      </c>
      <c r="I112" s="183">
        <f ca="1">TblPop[[#This Row],[Employment]]</f>
        <v>1</v>
      </c>
      <c r="J112" s="183">
        <f ca="1">TblPop[[#This Row],[Total]]/TblPop[[#This Row],[Net max]]</f>
        <v>1</v>
      </c>
      <c r="K112" s="306">
        <f>TblRezone[[#This Row],[Hour]]</f>
        <v>109</v>
      </c>
      <c r="L112" s="307">
        <f ca="1">TblImps[[#This Row],[Real time]]</f>
        <v>45371.249999999738</v>
      </c>
      <c r="M112" s="62">
        <f>IF(ISERROR(TblImps[[#This Row],[algorithm]]),0,TblImps[[#This Row],[algorithm]]*1)</f>
        <v>0</v>
      </c>
      <c r="N112" s="97">
        <f ca="1">TblImps[[#This Row],[Land]]</f>
        <v>250</v>
      </c>
      <c r="O112" s="308" t="s">
        <v>4</v>
      </c>
      <c r="P112" s="309"/>
      <c r="Q112" s="308" t="s">
        <v>212</v>
      </c>
      <c r="R112" s="308" t="s">
        <v>7</v>
      </c>
      <c r="S112" s="309"/>
      <c r="T112" s="308" t="s">
        <v>212</v>
      </c>
      <c r="U112" s="308" t="s">
        <v>3</v>
      </c>
      <c r="V112" s="309"/>
      <c r="W112" s="308" t="s">
        <v>212</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45371.249999999738</v>
      </c>
      <c r="BZ112" s="317">
        <f ca="1">OFFSET(TblImps[[#This Row],[Servertime]],-1,0)+1/24</f>
        <v>45371.499999999738</v>
      </c>
      <c r="CA112" s="57"/>
      <c r="CB112" s="315"/>
      <c r="CC112" s="315"/>
      <c r="CD112" s="45" t="s">
        <v>216</v>
      </c>
    </row>
    <row r="113" spans="1:81" x14ac:dyDescent="0.2">
      <c r="A113" s="225">
        <f ca="1">TblConstr[[#This Row],[Land]]</f>
        <v>250</v>
      </c>
      <c r="B113" s="145"/>
      <c r="C113" s="97">
        <f ca="1">TblProd[[#This Row],[Platinum]]</f>
        <v>718852</v>
      </c>
      <c r="D113" s="97">
        <f ca="1">TblProd[[#This Row],[Lumber]]</f>
        <v>71576</v>
      </c>
      <c r="E113" s="97">
        <f ca="1">TblProd[[#This Row],[Ore]]</f>
        <v>0</v>
      </c>
      <c r="F113" s="97">
        <f ca="1">TblProd[[#This Row],[Gems]]</f>
        <v>0</v>
      </c>
      <c r="G113" s="157"/>
      <c r="H113" s="97">
        <f ca="1">TblMili[[#This Row],[Draftees]]</f>
        <v>626</v>
      </c>
      <c r="I113" s="183">
        <f ca="1">TblPop[[#This Row],[Employment]]</f>
        <v>1</v>
      </c>
      <c r="J113" s="183">
        <f ca="1">TblPop[[#This Row],[Total]]/TblPop[[#This Row],[Net max]]</f>
        <v>1</v>
      </c>
      <c r="K113" s="306">
        <f>TblRezone[[#This Row],[Hour]]</f>
        <v>110</v>
      </c>
      <c r="L113" s="307">
        <f ca="1">TblImps[[#This Row],[Real time]]</f>
        <v>45371.291666666402</v>
      </c>
      <c r="M113" s="62">
        <f>IF(ISERROR(TblImps[[#This Row],[algorithm]]),0,TblImps[[#This Row],[algorithm]]*1)</f>
        <v>0</v>
      </c>
      <c r="N113" s="97">
        <f ca="1">TblImps[[#This Row],[Land]]</f>
        <v>250</v>
      </c>
      <c r="O113" s="308" t="s">
        <v>4</v>
      </c>
      <c r="P113" s="309"/>
      <c r="Q113" s="308" t="s">
        <v>212</v>
      </c>
      <c r="R113" s="308" t="s">
        <v>7</v>
      </c>
      <c r="S113" s="309"/>
      <c r="T113" s="308" t="s">
        <v>212</v>
      </c>
      <c r="U113" s="308" t="s">
        <v>3</v>
      </c>
      <c r="V113" s="309"/>
      <c r="W113" s="308" t="s">
        <v>212</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45371.291666666402</v>
      </c>
      <c r="BZ113" s="317">
        <f ca="1">OFFSET(TblImps[[#This Row],[Servertime]],-1,0)+1/24</f>
        <v>45371.541666666402</v>
      </c>
      <c r="CA113" s="57"/>
      <c r="CB113" s="315"/>
      <c r="CC113" s="315"/>
    </row>
    <row r="114" spans="1:81" x14ac:dyDescent="0.2">
      <c r="A114" s="225">
        <f ca="1">TblConstr[[#This Row],[Land]]</f>
        <v>250</v>
      </c>
      <c r="B114" s="145"/>
      <c r="C114" s="97">
        <f ca="1">TblProd[[#This Row],[Platinum]]</f>
        <v>724338</v>
      </c>
      <c r="D114" s="97">
        <f ca="1">TblProd[[#This Row],[Lumber]]</f>
        <v>71860</v>
      </c>
      <c r="E114" s="97">
        <f ca="1">TblProd[[#This Row],[Ore]]</f>
        <v>0</v>
      </c>
      <c r="F114" s="97">
        <f ca="1">TblProd[[#This Row],[Gems]]</f>
        <v>0</v>
      </c>
      <c r="G114" s="157"/>
      <c r="H114" s="97">
        <f ca="1">TblMili[[#This Row],[Draftees]]</f>
        <v>626</v>
      </c>
      <c r="I114" s="183">
        <f ca="1">TblPop[[#This Row],[Employment]]</f>
        <v>1</v>
      </c>
      <c r="J114" s="183">
        <f ca="1">TblPop[[#This Row],[Total]]/TblPop[[#This Row],[Net max]]</f>
        <v>1</v>
      </c>
      <c r="K114" s="306">
        <f>TblRezone[[#This Row],[Hour]]</f>
        <v>111</v>
      </c>
      <c r="L114" s="307">
        <f ca="1">TblImps[[#This Row],[Real time]]</f>
        <v>45371.333333333067</v>
      </c>
      <c r="M114" s="62">
        <f>IF(ISERROR(TblImps[[#This Row],[algorithm]]),0,TblImps[[#This Row],[algorithm]]*1)</f>
        <v>0</v>
      </c>
      <c r="N114" s="97">
        <f ca="1">TblImps[[#This Row],[Land]]</f>
        <v>250</v>
      </c>
      <c r="O114" s="308" t="s">
        <v>4</v>
      </c>
      <c r="P114" s="309"/>
      <c r="Q114" s="308" t="s">
        <v>212</v>
      </c>
      <c r="R114" s="308" t="s">
        <v>7</v>
      </c>
      <c r="S114" s="309"/>
      <c r="T114" s="308" t="s">
        <v>212</v>
      </c>
      <c r="U114" s="308" t="s">
        <v>3</v>
      </c>
      <c r="V114" s="309"/>
      <c r="W114" s="308" t="s">
        <v>212</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45371.333333333067</v>
      </c>
      <c r="BZ114" s="317">
        <f ca="1">OFFSET(TblImps[[#This Row],[Servertime]],-1,0)+1/24</f>
        <v>45371.583333333067</v>
      </c>
      <c r="CA114" s="320"/>
      <c r="CB114" s="315"/>
      <c r="CC114" s="315"/>
    </row>
    <row r="115" spans="1:81" x14ac:dyDescent="0.2">
      <c r="A115" s="225">
        <f ca="1">TblConstr[[#This Row],[Land]]</f>
        <v>250</v>
      </c>
      <c r="B115" s="145"/>
      <c r="C115" s="97">
        <f ca="1">TblProd[[#This Row],[Platinum]]</f>
        <v>729824</v>
      </c>
      <c r="D115" s="97">
        <f ca="1">TblProd[[#This Row],[Lumber]]</f>
        <v>72141</v>
      </c>
      <c r="E115" s="97">
        <f ca="1">TblProd[[#This Row],[Ore]]</f>
        <v>0</v>
      </c>
      <c r="F115" s="97">
        <f ca="1">TblProd[[#This Row],[Gems]]</f>
        <v>0</v>
      </c>
      <c r="G115" s="157"/>
      <c r="H115" s="97">
        <f ca="1">TblMili[[#This Row],[Draftees]]</f>
        <v>626</v>
      </c>
      <c r="I115" s="183">
        <f ca="1">TblPop[[#This Row],[Employment]]</f>
        <v>1</v>
      </c>
      <c r="J115" s="183">
        <f ca="1">TblPop[[#This Row],[Total]]/TblPop[[#This Row],[Net max]]</f>
        <v>1</v>
      </c>
      <c r="K115" s="306">
        <f>TblRezone[[#This Row],[Hour]]</f>
        <v>112</v>
      </c>
      <c r="L115" s="307">
        <f ca="1">TblImps[[#This Row],[Real time]]</f>
        <v>45371.374999999731</v>
      </c>
      <c r="M115" s="62">
        <f>IF(ISERROR(TblImps[[#This Row],[algorithm]]),0,TblImps[[#This Row],[algorithm]]*1)</f>
        <v>0</v>
      </c>
      <c r="N115" s="97">
        <f ca="1">TblImps[[#This Row],[Land]]</f>
        <v>250</v>
      </c>
      <c r="O115" s="308" t="s">
        <v>4</v>
      </c>
      <c r="P115" s="309"/>
      <c r="Q115" s="308" t="s">
        <v>212</v>
      </c>
      <c r="R115" s="308" t="s">
        <v>7</v>
      </c>
      <c r="S115" s="309"/>
      <c r="T115" s="308" t="s">
        <v>212</v>
      </c>
      <c r="U115" s="308" t="s">
        <v>3</v>
      </c>
      <c r="V115" s="309"/>
      <c r="W115" s="308" t="s">
        <v>212</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45371.374999999731</v>
      </c>
      <c r="BZ115" s="317">
        <f ca="1">OFFSET(TblImps[[#This Row],[Servertime]],-1,0)+1/24</f>
        <v>45371.624999999731</v>
      </c>
      <c r="CA115" s="57"/>
      <c r="CB115" s="315"/>
      <c r="CC115" s="315"/>
    </row>
    <row r="116" spans="1:81" x14ac:dyDescent="0.2">
      <c r="A116" s="225">
        <f ca="1">TblConstr[[#This Row],[Land]]</f>
        <v>250</v>
      </c>
      <c r="B116" s="145"/>
      <c r="C116" s="97">
        <f ca="1">TblProd[[#This Row],[Platinum]]</f>
        <v>735310</v>
      </c>
      <c r="D116" s="97">
        <f ca="1">TblProd[[#This Row],[Lumber]]</f>
        <v>72420</v>
      </c>
      <c r="E116" s="97">
        <f ca="1">TblProd[[#This Row],[Ore]]</f>
        <v>0</v>
      </c>
      <c r="F116" s="97">
        <f ca="1">TblProd[[#This Row],[Gems]]</f>
        <v>0</v>
      </c>
      <c r="G116" s="157"/>
      <c r="H116" s="97">
        <f ca="1">TblMili[[#This Row],[Draftees]]</f>
        <v>626</v>
      </c>
      <c r="I116" s="183">
        <f ca="1">TblPop[[#This Row],[Employment]]</f>
        <v>1</v>
      </c>
      <c r="J116" s="183">
        <f ca="1">TblPop[[#This Row],[Total]]/TblPop[[#This Row],[Net max]]</f>
        <v>1</v>
      </c>
      <c r="K116" s="306">
        <f>TblRezone[[#This Row],[Hour]]</f>
        <v>113</v>
      </c>
      <c r="L116" s="307">
        <f ca="1">TblImps[[#This Row],[Real time]]</f>
        <v>45371.416666666395</v>
      </c>
      <c r="M116" s="62">
        <f>IF(ISERROR(TblImps[[#This Row],[algorithm]]),0,TblImps[[#This Row],[algorithm]]*1)</f>
        <v>0</v>
      </c>
      <c r="N116" s="97">
        <f ca="1">TblImps[[#This Row],[Land]]</f>
        <v>250</v>
      </c>
      <c r="O116" s="308" t="s">
        <v>4</v>
      </c>
      <c r="P116" s="309"/>
      <c r="Q116" s="308" t="s">
        <v>212</v>
      </c>
      <c r="R116" s="308" t="s">
        <v>7</v>
      </c>
      <c r="S116" s="309"/>
      <c r="T116" s="308" t="s">
        <v>212</v>
      </c>
      <c r="U116" s="308" t="s">
        <v>3</v>
      </c>
      <c r="V116" s="309"/>
      <c r="W116" s="308" t="s">
        <v>212</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45371.416666666395</v>
      </c>
      <c r="BZ116" s="317">
        <f ca="1">OFFSET(TblImps[[#This Row],[Servertime]],-1,0)+1/24</f>
        <v>45371.666666666395</v>
      </c>
      <c r="CA116" s="57"/>
      <c r="CB116" s="315"/>
      <c r="CC116" s="315"/>
    </row>
    <row r="117" spans="1:81" x14ac:dyDescent="0.2">
      <c r="A117" s="225">
        <f ca="1">TblConstr[[#This Row],[Land]]</f>
        <v>250</v>
      </c>
      <c r="B117" s="145"/>
      <c r="C117" s="97">
        <f ca="1">TblProd[[#This Row],[Platinum]]</f>
        <v>740796</v>
      </c>
      <c r="D117" s="97">
        <f ca="1">TblProd[[#This Row],[Lumber]]</f>
        <v>72696</v>
      </c>
      <c r="E117" s="97">
        <f ca="1">TblProd[[#This Row],[Ore]]</f>
        <v>0</v>
      </c>
      <c r="F117" s="97">
        <f ca="1">TblProd[[#This Row],[Gems]]</f>
        <v>0</v>
      </c>
      <c r="G117" s="157"/>
      <c r="H117" s="97">
        <f ca="1">TblMili[[#This Row],[Draftees]]</f>
        <v>626</v>
      </c>
      <c r="I117" s="183">
        <f ca="1">TblPop[[#This Row],[Employment]]</f>
        <v>1</v>
      </c>
      <c r="J117" s="183">
        <f ca="1">TblPop[[#This Row],[Total]]/TblPop[[#This Row],[Net max]]</f>
        <v>1</v>
      </c>
      <c r="K117" s="306">
        <f>TblRezone[[#This Row],[Hour]]</f>
        <v>114</v>
      </c>
      <c r="L117" s="307">
        <f ca="1">TblImps[[#This Row],[Real time]]</f>
        <v>45371.458333333059</v>
      </c>
      <c r="M117" s="62">
        <f>IF(ISERROR(TblImps[[#This Row],[algorithm]]),0,TblImps[[#This Row],[algorithm]]*1)</f>
        <v>0</v>
      </c>
      <c r="N117" s="97">
        <f ca="1">TblImps[[#This Row],[Land]]</f>
        <v>250</v>
      </c>
      <c r="O117" s="308" t="s">
        <v>4</v>
      </c>
      <c r="P117" s="309"/>
      <c r="Q117" s="308" t="s">
        <v>212</v>
      </c>
      <c r="R117" s="308" t="s">
        <v>7</v>
      </c>
      <c r="S117" s="309"/>
      <c r="T117" s="308" t="s">
        <v>212</v>
      </c>
      <c r="U117" s="308" t="s">
        <v>3</v>
      </c>
      <c r="V117" s="309"/>
      <c r="W117" s="308" t="s">
        <v>212</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45371.458333333059</v>
      </c>
      <c r="BZ117" s="317">
        <f ca="1">OFFSET(TblImps[[#This Row],[Servertime]],-1,0)+1/24</f>
        <v>45371.708333333059</v>
      </c>
      <c r="CA117" s="57"/>
      <c r="CB117" s="315"/>
      <c r="CC117" s="315"/>
    </row>
    <row r="118" spans="1:81" x14ac:dyDescent="0.2">
      <c r="A118" s="225">
        <f ca="1">TblConstr[[#This Row],[Land]]</f>
        <v>250</v>
      </c>
      <c r="B118" s="145"/>
      <c r="C118" s="97">
        <f ca="1">TblProd[[#This Row],[Platinum]]</f>
        <v>746282</v>
      </c>
      <c r="D118" s="97">
        <f ca="1">TblProd[[#This Row],[Lumber]]</f>
        <v>72969</v>
      </c>
      <c r="E118" s="97">
        <f ca="1">TblProd[[#This Row],[Ore]]</f>
        <v>0</v>
      </c>
      <c r="F118" s="97">
        <f ca="1">TblProd[[#This Row],[Gems]]</f>
        <v>0</v>
      </c>
      <c r="G118" s="157"/>
      <c r="H118" s="97">
        <f ca="1">TblMili[[#This Row],[Draftees]]</f>
        <v>626</v>
      </c>
      <c r="I118" s="183">
        <f ca="1">TblPop[[#This Row],[Employment]]</f>
        <v>1</v>
      </c>
      <c r="J118" s="183">
        <f ca="1">TblPop[[#This Row],[Total]]/TblPop[[#This Row],[Net max]]</f>
        <v>1</v>
      </c>
      <c r="K118" s="306">
        <f>TblRezone[[#This Row],[Hour]]</f>
        <v>115</v>
      </c>
      <c r="L118" s="307">
        <f ca="1">TblImps[[#This Row],[Real time]]</f>
        <v>45371.499999999724</v>
      </c>
      <c r="M118" s="62">
        <f>IF(ISERROR(TblImps[[#This Row],[algorithm]]),0,TblImps[[#This Row],[algorithm]]*1)</f>
        <v>0</v>
      </c>
      <c r="N118" s="97">
        <f ca="1">TblImps[[#This Row],[Land]]</f>
        <v>250</v>
      </c>
      <c r="O118" s="308" t="s">
        <v>4</v>
      </c>
      <c r="P118" s="309"/>
      <c r="Q118" s="308" t="s">
        <v>212</v>
      </c>
      <c r="R118" s="308" t="s">
        <v>7</v>
      </c>
      <c r="S118" s="309"/>
      <c r="T118" s="308" t="s">
        <v>212</v>
      </c>
      <c r="U118" s="308" t="s">
        <v>3</v>
      </c>
      <c r="V118" s="309"/>
      <c r="W118" s="308" t="s">
        <v>212</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45371.499999999724</v>
      </c>
      <c r="BZ118" s="317">
        <f ca="1">OFFSET(TblImps[[#This Row],[Servertime]],-1,0)+1/24</f>
        <v>45371.749999999724</v>
      </c>
      <c r="CA118" s="57"/>
      <c r="CB118" s="315"/>
      <c r="CC118" s="315"/>
    </row>
    <row r="119" spans="1:81" x14ac:dyDescent="0.2">
      <c r="A119" s="225">
        <f ca="1">TblConstr[[#This Row],[Land]]</f>
        <v>250</v>
      </c>
      <c r="B119" s="145"/>
      <c r="C119" s="97">
        <f ca="1">TblProd[[#This Row],[Platinum]]</f>
        <v>751768</v>
      </c>
      <c r="D119" s="97">
        <f ca="1">TblProd[[#This Row],[Lumber]]</f>
        <v>73239</v>
      </c>
      <c r="E119" s="97">
        <f ca="1">TblProd[[#This Row],[Ore]]</f>
        <v>0</v>
      </c>
      <c r="F119" s="97">
        <f ca="1">TblProd[[#This Row],[Gems]]</f>
        <v>0</v>
      </c>
      <c r="G119" s="157"/>
      <c r="H119" s="97">
        <f ca="1">TblMili[[#This Row],[Draftees]]</f>
        <v>626</v>
      </c>
      <c r="I119" s="183">
        <f ca="1">TblPop[[#This Row],[Employment]]</f>
        <v>1</v>
      </c>
      <c r="J119" s="183">
        <f ca="1">TblPop[[#This Row],[Total]]/TblPop[[#This Row],[Net max]]</f>
        <v>1</v>
      </c>
      <c r="K119" s="306">
        <f>TblRezone[[#This Row],[Hour]]</f>
        <v>116</v>
      </c>
      <c r="L119" s="307">
        <f ca="1">TblImps[[#This Row],[Real time]]</f>
        <v>45371.541666666388</v>
      </c>
      <c r="M119" s="62">
        <f>IF(ISERROR(TblImps[[#This Row],[algorithm]]),0,TblImps[[#This Row],[algorithm]]*1)</f>
        <v>0</v>
      </c>
      <c r="N119" s="97">
        <f ca="1">TblImps[[#This Row],[Land]]</f>
        <v>250</v>
      </c>
      <c r="O119" s="308" t="s">
        <v>4</v>
      </c>
      <c r="P119" s="309"/>
      <c r="Q119" s="308" t="s">
        <v>212</v>
      </c>
      <c r="R119" s="308" t="s">
        <v>7</v>
      </c>
      <c r="S119" s="309"/>
      <c r="T119" s="308" t="s">
        <v>212</v>
      </c>
      <c r="U119" s="308" t="s">
        <v>3</v>
      </c>
      <c r="V119" s="309"/>
      <c r="W119" s="308" t="s">
        <v>212</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45371.541666666388</v>
      </c>
      <c r="BZ119" s="317">
        <f ca="1">OFFSET(TblImps[[#This Row],[Servertime]],-1,0)+1/24</f>
        <v>45371.791666666388</v>
      </c>
      <c r="CA119" s="57"/>
      <c r="CB119" s="315"/>
      <c r="CC119" s="315"/>
    </row>
    <row r="120" spans="1:81" x14ac:dyDescent="0.2">
      <c r="A120" s="225">
        <f ca="1">TblConstr[[#This Row],[Land]]</f>
        <v>250</v>
      </c>
      <c r="B120" s="145"/>
      <c r="C120" s="97">
        <f ca="1">TblProd[[#This Row],[Platinum]]</f>
        <v>757254</v>
      </c>
      <c r="D120" s="97">
        <f ca="1">TblProd[[#This Row],[Lumber]]</f>
        <v>73507</v>
      </c>
      <c r="E120" s="97">
        <f ca="1">TblProd[[#This Row],[Ore]]</f>
        <v>0</v>
      </c>
      <c r="F120" s="97">
        <f ca="1">TblProd[[#This Row],[Gems]]</f>
        <v>0</v>
      </c>
      <c r="G120" s="157"/>
      <c r="H120" s="97">
        <f ca="1">TblMili[[#This Row],[Draftees]]</f>
        <v>626</v>
      </c>
      <c r="I120" s="183">
        <f ca="1">TblPop[[#This Row],[Employment]]</f>
        <v>1</v>
      </c>
      <c r="J120" s="183">
        <f ca="1">TblPop[[#This Row],[Total]]/TblPop[[#This Row],[Net max]]</f>
        <v>1</v>
      </c>
      <c r="K120" s="306">
        <f>TblRezone[[#This Row],[Hour]]</f>
        <v>117</v>
      </c>
      <c r="L120" s="307">
        <f ca="1">TblImps[[#This Row],[Real time]]</f>
        <v>45371.583333333052</v>
      </c>
      <c r="M120" s="62">
        <f>IF(ISERROR(TblImps[[#This Row],[algorithm]]),0,TblImps[[#This Row],[algorithm]]*1)</f>
        <v>0</v>
      </c>
      <c r="N120" s="97">
        <f ca="1">TblImps[[#This Row],[Land]]</f>
        <v>250</v>
      </c>
      <c r="O120" s="308" t="s">
        <v>4</v>
      </c>
      <c r="P120" s="309"/>
      <c r="Q120" s="308" t="s">
        <v>212</v>
      </c>
      <c r="R120" s="308" t="s">
        <v>7</v>
      </c>
      <c r="S120" s="309"/>
      <c r="T120" s="308" t="s">
        <v>212</v>
      </c>
      <c r="U120" s="308" t="s">
        <v>3</v>
      </c>
      <c r="V120" s="309"/>
      <c r="W120" s="308" t="s">
        <v>212</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45371.583333333052</v>
      </c>
      <c r="BZ120" s="317">
        <f ca="1">OFFSET(TblImps[[#This Row],[Servertime]],-1,0)+1/24</f>
        <v>45371.833333333052</v>
      </c>
      <c r="CA120" s="57"/>
      <c r="CB120" s="315"/>
      <c r="CC120" s="315"/>
    </row>
    <row r="121" spans="1:81" x14ac:dyDescent="0.2">
      <c r="A121" s="225">
        <f ca="1">TblConstr[[#This Row],[Land]]</f>
        <v>250</v>
      </c>
      <c r="B121" s="145"/>
      <c r="C121" s="97">
        <f ca="1">TblProd[[#This Row],[Platinum]]</f>
        <v>762740</v>
      </c>
      <c r="D121" s="97">
        <f ca="1">TblProd[[#This Row],[Lumber]]</f>
        <v>73772</v>
      </c>
      <c r="E121" s="97">
        <f ca="1">TblProd[[#This Row],[Ore]]</f>
        <v>0</v>
      </c>
      <c r="F121" s="97">
        <f ca="1">TblProd[[#This Row],[Gems]]</f>
        <v>0</v>
      </c>
      <c r="G121" s="157"/>
      <c r="H121" s="97">
        <f ca="1">TblMili[[#This Row],[Draftees]]</f>
        <v>626</v>
      </c>
      <c r="I121" s="183">
        <f ca="1">TblPop[[#This Row],[Employment]]</f>
        <v>1</v>
      </c>
      <c r="J121" s="183">
        <f ca="1">TblPop[[#This Row],[Total]]/TblPop[[#This Row],[Net max]]</f>
        <v>1</v>
      </c>
      <c r="K121" s="306">
        <f>TblRezone[[#This Row],[Hour]]</f>
        <v>118</v>
      </c>
      <c r="L121" s="307">
        <f ca="1">TblImps[[#This Row],[Real time]]</f>
        <v>45371.624999999716</v>
      </c>
      <c r="M121" s="62">
        <f>IF(ISERROR(TblImps[[#This Row],[algorithm]]),0,TblImps[[#This Row],[algorithm]]*1)</f>
        <v>0</v>
      </c>
      <c r="N121" s="97">
        <f ca="1">TblImps[[#This Row],[Land]]</f>
        <v>250</v>
      </c>
      <c r="O121" s="308" t="s">
        <v>4</v>
      </c>
      <c r="P121" s="309"/>
      <c r="Q121" s="308" t="s">
        <v>212</v>
      </c>
      <c r="R121" s="308" t="s">
        <v>7</v>
      </c>
      <c r="S121" s="309"/>
      <c r="T121" s="308" t="s">
        <v>212</v>
      </c>
      <c r="U121" s="308" t="s">
        <v>3</v>
      </c>
      <c r="V121" s="309"/>
      <c r="W121" s="308" t="s">
        <v>212</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45371.624999999716</v>
      </c>
      <c r="BZ121" s="317">
        <f ca="1">OFFSET(TblImps[[#This Row],[Servertime]],-1,0)+1/24</f>
        <v>45371.874999999716</v>
      </c>
      <c r="CA121" s="57"/>
      <c r="CB121" s="315"/>
      <c r="CC121" s="315"/>
    </row>
    <row r="122" spans="1:81" x14ac:dyDescent="0.2">
      <c r="A122" s="225">
        <f ca="1">TblConstr[[#This Row],[Land]]</f>
        <v>250</v>
      </c>
      <c r="B122" s="145"/>
      <c r="C122" s="97">
        <f ca="1">TblProd[[#This Row],[Platinum]]</f>
        <v>768226</v>
      </c>
      <c r="D122" s="97">
        <f ca="1">TblProd[[#This Row],[Lumber]]</f>
        <v>74034</v>
      </c>
      <c r="E122" s="97">
        <f ca="1">TblProd[[#This Row],[Ore]]</f>
        <v>0</v>
      </c>
      <c r="F122" s="97">
        <f ca="1">TblProd[[#This Row],[Gems]]</f>
        <v>0</v>
      </c>
      <c r="G122" s="157"/>
      <c r="H122" s="97">
        <f ca="1">TblMili[[#This Row],[Draftees]]</f>
        <v>626</v>
      </c>
      <c r="I122" s="183">
        <f ca="1">TblPop[[#This Row],[Employment]]</f>
        <v>1</v>
      </c>
      <c r="J122" s="183">
        <f ca="1">TblPop[[#This Row],[Total]]/TblPop[[#This Row],[Net max]]</f>
        <v>1</v>
      </c>
      <c r="K122" s="306">
        <f>TblRezone[[#This Row],[Hour]]</f>
        <v>119</v>
      </c>
      <c r="L122" s="307">
        <f ca="1">TblImps[[#This Row],[Real time]]</f>
        <v>45371.66666666638</v>
      </c>
      <c r="M122" s="62">
        <f>IF(ISERROR(TblImps[[#This Row],[algorithm]]),0,TblImps[[#This Row],[algorithm]]*1)</f>
        <v>0</v>
      </c>
      <c r="N122" s="97">
        <f ca="1">TblImps[[#This Row],[Land]]</f>
        <v>250</v>
      </c>
      <c r="O122" s="308" t="s">
        <v>4</v>
      </c>
      <c r="P122" s="309"/>
      <c r="Q122" s="308" t="s">
        <v>212</v>
      </c>
      <c r="R122" s="308" t="s">
        <v>7</v>
      </c>
      <c r="S122" s="309"/>
      <c r="T122" s="308" t="s">
        <v>212</v>
      </c>
      <c r="U122" s="308" t="s">
        <v>3</v>
      </c>
      <c r="V122" s="309"/>
      <c r="W122" s="308" t="s">
        <v>212</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45371.66666666638</v>
      </c>
      <c r="BZ122" s="317">
        <f ca="1">OFFSET(TblImps[[#This Row],[Servertime]],-1,0)+1/24</f>
        <v>45371.91666666638</v>
      </c>
      <c r="CA122" s="57"/>
      <c r="CB122" s="315"/>
      <c r="CC122" s="315"/>
    </row>
    <row r="123" spans="1:81" x14ac:dyDescent="0.2">
      <c r="A123" s="225">
        <f ca="1">TblConstr[[#This Row],[Land]]</f>
        <v>250</v>
      </c>
      <c r="B123" s="145"/>
      <c r="C123" s="97">
        <f ca="1">TblProd[[#This Row],[Platinum]]</f>
        <v>773712</v>
      </c>
      <c r="D123" s="97">
        <f ca="1">TblProd[[#This Row],[Lumber]]</f>
        <v>74294</v>
      </c>
      <c r="E123" s="97">
        <f ca="1">TblProd[[#This Row],[Ore]]</f>
        <v>0</v>
      </c>
      <c r="F123" s="97">
        <f ca="1">TblProd[[#This Row],[Gems]]</f>
        <v>0</v>
      </c>
      <c r="G123" s="157"/>
      <c r="H123" s="97">
        <f ca="1">TblMili[[#This Row],[Draftees]]</f>
        <v>626</v>
      </c>
      <c r="I123" s="183">
        <f ca="1">TblPop[[#This Row],[Employment]]</f>
        <v>1</v>
      </c>
      <c r="J123" s="183">
        <f ca="1">TblPop[[#This Row],[Total]]/TblPop[[#This Row],[Net max]]</f>
        <v>1</v>
      </c>
      <c r="K123" s="306">
        <f>TblRezone[[#This Row],[Hour]]</f>
        <v>120</v>
      </c>
      <c r="L123" s="307">
        <f ca="1">TblImps[[#This Row],[Real time]]</f>
        <v>45371.708333333045</v>
      </c>
      <c r="M123" s="62">
        <f>IF(ISERROR(TblImps[[#This Row],[algorithm]]),0,TblImps[[#This Row],[algorithm]]*1)</f>
        <v>0</v>
      </c>
      <c r="N123" s="97">
        <f ca="1">TblImps[[#This Row],[Land]]</f>
        <v>250</v>
      </c>
      <c r="O123" s="308" t="s">
        <v>4</v>
      </c>
      <c r="P123" s="309"/>
      <c r="Q123" s="308" t="s">
        <v>212</v>
      </c>
      <c r="R123" s="308" t="s">
        <v>7</v>
      </c>
      <c r="S123" s="309"/>
      <c r="T123" s="308" t="s">
        <v>212</v>
      </c>
      <c r="U123" s="308" t="s">
        <v>3</v>
      </c>
      <c r="V123" s="309"/>
      <c r="W123" s="308" t="s">
        <v>212</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45371.708333333045</v>
      </c>
      <c r="BZ123" s="317">
        <f ca="1">OFFSET(TblImps[[#This Row],[Servertime]],-1,0)+1/24</f>
        <v>45371.958333333045</v>
      </c>
      <c r="CA123" s="57"/>
      <c r="CB123" s="315"/>
      <c r="CC123" s="315"/>
    </row>
    <row r="124" spans="1:81" x14ac:dyDescent="0.2">
      <c r="A124" s="225">
        <f ca="1">TblConstr[[#This Row],[Land]]</f>
        <v>250</v>
      </c>
      <c r="B124" s="145"/>
      <c r="C124" s="97">
        <f ca="1">TblProd[[#This Row],[Platinum]]</f>
        <v>779198</v>
      </c>
      <c r="D124" s="97">
        <f ca="1">TblProd[[#This Row],[Lumber]]</f>
        <v>74551</v>
      </c>
      <c r="E124" s="97">
        <f ca="1">TblProd[[#This Row],[Ore]]</f>
        <v>0</v>
      </c>
      <c r="F124" s="97">
        <f ca="1">TblProd[[#This Row],[Gems]]</f>
        <v>0</v>
      </c>
      <c r="G124" s="157"/>
      <c r="H124" s="97">
        <f ca="1">TblMili[[#This Row],[Draftees]]</f>
        <v>626</v>
      </c>
      <c r="I124" s="183">
        <f ca="1">TblPop[[#This Row],[Employment]]</f>
        <v>1</v>
      </c>
      <c r="J124" s="183">
        <f ca="1">TblPop[[#This Row],[Total]]/TblPop[[#This Row],[Net max]]</f>
        <v>1</v>
      </c>
      <c r="K124" s="306">
        <f>TblRezone[[#This Row],[Hour]]</f>
        <v>121</v>
      </c>
      <c r="L124" s="307">
        <f ca="1">TblImps[[#This Row],[Real time]]</f>
        <v>45371.749999999709</v>
      </c>
      <c r="M124" s="62">
        <f>IF(ISERROR(TblImps[[#This Row],[algorithm]]),0,TblImps[[#This Row],[algorithm]]*1)</f>
        <v>0</v>
      </c>
      <c r="N124" s="97">
        <f ca="1">TblImps[[#This Row],[Land]]</f>
        <v>250</v>
      </c>
      <c r="O124" s="308" t="s">
        <v>4</v>
      </c>
      <c r="P124" s="309"/>
      <c r="Q124" s="308" t="s">
        <v>212</v>
      </c>
      <c r="R124" s="308" t="s">
        <v>7</v>
      </c>
      <c r="S124" s="309"/>
      <c r="T124" s="308" t="s">
        <v>212</v>
      </c>
      <c r="U124" s="308" t="s">
        <v>3</v>
      </c>
      <c r="V124" s="309"/>
      <c r="W124" s="308" t="s">
        <v>212</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45371.749999999709</v>
      </c>
      <c r="BZ124" s="317">
        <f ca="1">OFFSET(TblImps[[#This Row],[Servertime]],-1,0)+1/24</f>
        <v>45371.999999999709</v>
      </c>
      <c r="CA124" s="57"/>
      <c r="CB124" s="315"/>
      <c r="CC124" s="315"/>
    </row>
    <row r="125" spans="1:81" x14ac:dyDescent="0.2">
      <c r="A125" s="225">
        <f ca="1">TblConstr[[#This Row],[Land]]</f>
        <v>250</v>
      </c>
      <c r="B125" s="145"/>
      <c r="C125" s="97">
        <f ca="1">TblProd[[#This Row],[Platinum]]</f>
        <v>784684</v>
      </c>
      <c r="D125" s="97">
        <f ca="1">TblProd[[#This Row],[Lumber]]</f>
        <v>74805</v>
      </c>
      <c r="E125" s="97">
        <f ca="1">TblProd[[#This Row],[Ore]]</f>
        <v>0</v>
      </c>
      <c r="F125" s="97">
        <f ca="1">TblProd[[#This Row],[Gems]]</f>
        <v>0</v>
      </c>
      <c r="G125" s="157"/>
      <c r="H125" s="97">
        <f ca="1">TblMili[[#This Row],[Draftees]]</f>
        <v>626</v>
      </c>
      <c r="I125" s="183">
        <f ca="1">TblPop[[#This Row],[Employment]]</f>
        <v>1</v>
      </c>
      <c r="J125" s="183">
        <f ca="1">TblPop[[#This Row],[Total]]/TblPop[[#This Row],[Net max]]</f>
        <v>1</v>
      </c>
      <c r="K125" s="306">
        <f>TblRezone[[#This Row],[Hour]]</f>
        <v>122</v>
      </c>
      <c r="L125" s="307">
        <f ca="1">TblImps[[#This Row],[Real time]]</f>
        <v>45371.791666666373</v>
      </c>
      <c r="M125" s="62">
        <f>IF(ISERROR(TblImps[[#This Row],[algorithm]]),0,TblImps[[#This Row],[algorithm]]*1)</f>
        <v>0</v>
      </c>
      <c r="N125" s="97">
        <f ca="1">TblImps[[#This Row],[Land]]</f>
        <v>250</v>
      </c>
      <c r="O125" s="308" t="s">
        <v>4</v>
      </c>
      <c r="P125" s="309"/>
      <c r="Q125" s="308" t="s">
        <v>212</v>
      </c>
      <c r="R125" s="308" t="s">
        <v>7</v>
      </c>
      <c r="S125" s="309"/>
      <c r="T125" s="308" t="s">
        <v>212</v>
      </c>
      <c r="U125" s="308" t="s">
        <v>3</v>
      </c>
      <c r="V125" s="309"/>
      <c r="W125" s="308" t="s">
        <v>212</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45371.791666666373</v>
      </c>
      <c r="BZ125" s="317">
        <f ca="1">OFFSET(TblImps[[#This Row],[Servertime]],-1,0)+1/24</f>
        <v>45372.041666666373</v>
      </c>
      <c r="CA125" s="57"/>
      <c r="CB125" s="315"/>
      <c r="CC125" s="315"/>
    </row>
    <row r="126" spans="1:81" x14ac:dyDescent="0.2">
      <c r="A126" s="225">
        <f ca="1">TblConstr[[#This Row],[Land]]</f>
        <v>250</v>
      </c>
      <c r="B126" s="145"/>
      <c r="C126" s="97">
        <f ca="1">TblProd[[#This Row],[Platinum]]</f>
        <v>790170</v>
      </c>
      <c r="D126" s="97">
        <f ca="1">TblProd[[#This Row],[Lumber]]</f>
        <v>75057</v>
      </c>
      <c r="E126" s="97">
        <f ca="1">TblProd[[#This Row],[Ore]]</f>
        <v>0</v>
      </c>
      <c r="F126" s="97">
        <f ca="1">TblProd[[#This Row],[Gems]]</f>
        <v>0</v>
      </c>
      <c r="G126" s="157"/>
      <c r="H126" s="97">
        <f ca="1">TblMili[[#This Row],[Draftees]]</f>
        <v>626</v>
      </c>
      <c r="I126" s="183">
        <f ca="1">TblPop[[#This Row],[Employment]]</f>
        <v>1</v>
      </c>
      <c r="J126" s="183">
        <f ca="1">TblPop[[#This Row],[Total]]/TblPop[[#This Row],[Net max]]</f>
        <v>1</v>
      </c>
      <c r="K126" s="306">
        <f>TblRezone[[#This Row],[Hour]]</f>
        <v>123</v>
      </c>
      <c r="L126" s="307">
        <f ca="1">TblImps[[#This Row],[Real time]]</f>
        <v>45371.833333333037</v>
      </c>
      <c r="M126" s="62">
        <f>IF(ISERROR(TblImps[[#This Row],[algorithm]]),0,TblImps[[#This Row],[algorithm]]*1)</f>
        <v>0</v>
      </c>
      <c r="N126" s="97">
        <f ca="1">TblImps[[#This Row],[Land]]</f>
        <v>250</v>
      </c>
      <c r="O126" s="308" t="s">
        <v>4</v>
      </c>
      <c r="P126" s="309"/>
      <c r="Q126" s="308" t="s">
        <v>212</v>
      </c>
      <c r="R126" s="308" t="s">
        <v>7</v>
      </c>
      <c r="S126" s="309"/>
      <c r="T126" s="308" t="s">
        <v>212</v>
      </c>
      <c r="U126" s="308" t="s">
        <v>3</v>
      </c>
      <c r="V126" s="309"/>
      <c r="W126" s="308" t="s">
        <v>212</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45371.833333333037</v>
      </c>
      <c r="BZ126" s="317">
        <f ca="1">OFFSET(TblImps[[#This Row],[Servertime]],-1,0)+1/24</f>
        <v>45372.083333333037</v>
      </c>
      <c r="CA126" s="57"/>
      <c r="CB126" s="315"/>
      <c r="CC126" s="315"/>
    </row>
    <row r="127" spans="1:81" x14ac:dyDescent="0.2">
      <c r="A127" s="225">
        <f ca="1">TblConstr[[#This Row],[Land]]</f>
        <v>250</v>
      </c>
      <c r="B127" s="145"/>
      <c r="C127" s="97">
        <f ca="1">TblProd[[#This Row],[Platinum]]</f>
        <v>795656</v>
      </c>
      <c r="D127" s="97">
        <f ca="1">TblProd[[#This Row],[Lumber]]</f>
        <v>75306</v>
      </c>
      <c r="E127" s="97">
        <f ca="1">TblProd[[#This Row],[Ore]]</f>
        <v>0</v>
      </c>
      <c r="F127" s="97">
        <f ca="1">TblProd[[#This Row],[Gems]]</f>
        <v>0</v>
      </c>
      <c r="G127" s="157"/>
      <c r="H127" s="97">
        <f ca="1">TblMili[[#This Row],[Draftees]]</f>
        <v>626</v>
      </c>
      <c r="I127" s="183">
        <f ca="1">TblPop[[#This Row],[Employment]]</f>
        <v>1</v>
      </c>
      <c r="J127" s="183">
        <f ca="1">TblPop[[#This Row],[Total]]/TblPop[[#This Row],[Net max]]</f>
        <v>1</v>
      </c>
      <c r="K127" s="306">
        <f>TblRezone[[#This Row],[Hour]]</f>
        <v>124</v>
      </c>
      <c r="L127" s="307">
        <f ca="1">TblImps[[#This Row],[Real time]]</f>
        <v>45371.874999999702</v>
      </c>
      <c r="M127" s="62">
        <f>IF(ISERROR(TblImps[[#This Row],[algorithm]]),0,TblImps[[#This Row],[algorithm]]*1)</f>
        <v>0</v>
      </c>
      <c r="N127" s="97">
        <f ca="1">TblImps[[#This Row],[Land]]</f>
        <v>250</v>
      </c>
      <c r="O127" s="308" t="s">
        <v>4</v>
      </c>
      <c r="P127" s="309"/>
      <c r="Q127" s="308" t="s">
        <v>212</v>
      </c>
      <c r="R127" s="308" t="s">
        <v>7</v>
      </c>
      <c r="S127" s="309"/>
      <c r="T127" s="308" t="s">
        <v>212</v>
      </c>
      <c r="U127" s="308" t="s">
        <v>3</v>
      </c>
      <c r="V127" s="309"/>
      <c r="W127" s="308" t="s">
        <v>212</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45371.874999999702</v>
      </c>
      <c r="BZ127" s="317">
        <f ca="1">OFFSET(TblImps[[#This Row],[Servertime]],-1,0)+1/24</f>
        <v>45372.124999999702</v>
      </c>
      <c r="CA127" s="57"/>
      <c r="CB127" s="315"/>
      <c r="CC127" s="315"/>
    </row>
    <row r="128" spans="1:81" x14ac:dyDescent="0.2">
      <c r="A128" s="225">
        <f ca="1">TblConstr[[#This Row],[Land]]</f>
        <v>250</v>
      </c>
      <c r="B128" s="145"/>
      <c r="C128" s="97">
        <f ca="1">TblProd[[#This Row],[Platinum]]</f>
        <v>801142</v>
      </c>
      <c r="D128" s="97">
        <f ca="1">TblProd[[#This Row],[Lumber]]</f>
        <v>75553</v>
      </c>
      <c r="E128" s="97">
        <f ca="1">TblProd[[#This Row],[Ore]]</f>
        <v>0</v>
      </c>
      <c r="F128" s="97">
        <f ca="1">TblProd[[#This Row],[Gems]]</f>
        <v>0</v>
      </c>
      <c r="G128" s="157"/>
      <c r="H128" s="97">
        <f ca="1">TblMili[[#This Row],[Draftees]]</f>
        <v>626</v>
      </c>
      <c r="I128" s="183">
        <f ca="1">TblPop[[#This Row],[Employment]]</f>
        <v>1</v>
      </c>
      <c r="J128" s="183">
        <f ca="1">TblPop[[#This Row],[Total]]/TblPop[[#This Row],[Net max]]</f>
        <v>1</v>
      </c>
      <c r="K128" s="306">
        <f>TblRezone[[#This Row],[Hour]]</f>
        <v>125</v>
      </c>
      <c r="L128" s="307">
        <f ca="1">TblImps[[#This Row],[Real time]]</f>
        <v>45371.916666666366</v>
      </c>
      <c r="M128" s="62">
        <f>IF(ISERROR(TblImps[[#This Row],[algorithm]]),0,TblImps[[#This Row],[algorithm]]*1)</f>
        <v>0</v>
      </c>
      <c r="N128" s="97">
        <f ca="1">TblImps[[#This Row],[Land]]</f>
        <v>250</v>
      </c>
      <c r="O128" s="308" t="s">
        <v>4</v>
      </c>
      <c r="P128" s="309"/>
      <c r="Q128" s="308" t="s">
        <v>212</v>
      </c>
      <c r="R128" s="308" t="s">
        <v>7</v>
      </c>
      <c r="S128" s="309"/>
      <c r="T128" s="308" t="s">
        <v>212</v>
      </c>
      <c r="U128" s="308" t="s">
        <v>3</v>
      </c>
      <c r="V128" s="309"/>
      <c r="W128" s="308" t="s">
        <v>212</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45371.916666666366</v>
      </c>
      <c r="BZ128" s="317">
        <f ca="1">OFFSET(TblImps[[#This Row],[Servertime]],-1,0)+1/24</f>
        <v>45372.166666666366</v>
      </c>
      <c r="CA128" s="57"/>
      <c r="CB128" s="315"/>
      <c r="CC128" s="315"/>
    </row>
    <row r="129" spans="1:81" x14ac:dyDescent="0.2">
      <c r="A129" s="225">
        <f ca="1">TblConstr[[#This Row],[Land]]</f>
        <v>250</v>
      </c>
      <c r="B129" s="145"/>
      <c r="C129" s="97">
        <f ca="1">TblProd[[#This Row],[Platinum]]</f>
        <v>806628</v>
      </c>
      <c r="D129" s="97">
        <f ca="1">TblProd[[#This Row],[Lumber]]</f>
        <v>75797</v>
      </c>
      <c r="E129" s="97">
        <f ca="1">TblProd[[#This Row],[Ore]]</f>
        <v>0</v>
      </c>
      <c r="F129" s="97">
        <f ca="1">TblProd[[#This Row],[Gems]]</f>
        <v>0</v>
      </c>
      <c r="G129" s="157"/>
      <c r="H129" s="97">
        <f ca="1">TblMili[[#This Row],[Draftees]]</f>
        <v>626</v>
      </c>
      <c r="I129" s="183">
        <f ca="1">TblPop[[#This Row],[Employment]]</f>
        <v>1</v>
      </c>
      <c r="J129" s="183">
        <f ca="1">TblPop[[#This Row],[Total]]/TblPop[[#This Row],[Net max]]</f>
        <v>1</v>
      </c>
      <c r="K129" s="306">
        <f>TblRezone[[#This Row],[Hour]]</f>
        <v>126</v>
      </c>
      <c r="L129" s="307">
        <f ca="1">TblImps[[#This Row],[Real time]]</f>
        <v>45371.95833333303</v>
      </c>
      <c r="M129" s="62">
        <f>IF(ISERROR(TblImps[[#This Row],[algorithm]]),0,TblImps[[#This Row],[algorithm]]*1)</f>
        <v>0</v>
      </c>
      <c r="N129" s="97">
        <f ca="1">TblImps[[#This Row],[Land]]</f>
        <v>250</v>
      </c>
      <c r="O129" s="308" t="s">
        <v>4</v>
      </c>
      <c r="P129" s="309"/>
      <c r="Q129" s="308" t="s">
        <v>212</v>
      </c>
      <c r="R129" s="308" t="s">
        <v>7</v>
      </c>
      <c r="S129" s="309"/>
      <c r="T129" s="308" t="s">
        <v>212</v>
      </c>
      <c r="U129" s="308" t="s">
        <v>3</v>
      </c>
      <c r="V129" s="309"/>
      <c r="W129" s="308" t="s">
        <v>212</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45371.95833333303</v>
      </c>
      <c r="BZ129" s="317">
        <f ca="1">OFFSET(TblImps[[#This Row],[Servertime]],-1,0)+1/24</f>
        <v>45372.20833333303</v>
      </c>
      <c r="CA129" s="57"/>
      <c r="CB129" s="315"/>
      <c r="CC129" s="315"/>
    </row>
    <row r="130" spans="1:81" x14ac:dyDescent="0.2">
      <c r="A130" s="225">
        <f ca="1">TblConstr[[#This Row],[Land]]</f>
        <v>250</v>
      </c>
      <c r="B130" s="145"/>
      <c r="C130" s="97">
        <f ca="1">TblProd[[#This Row],[Platinum]]</f>
        <v>812114</v>
      </c>
      <c r="D130" s="97">
        <f ca="1">TblProd[[#This Row],[Lumber]]</f>
        <v>76039</v>
      </c>
      <c r="E130" s="97">
        <f ca="1">TblProd[[#This Row],[Ore]]</f>
        <v>0</v>
      </c>
      <c r="F130" s="97">
        <f ca="1">TblProd[[#This Row],[Gems]]</f>
        <v>0</v>
      </c>
      <c r="G130" s="157"/>
      <c r="H130" s="97">
        <f ca="1">TblMili[[#This Row],[Draftees]]</f>
        <v>626</v>
      </c>
      <c r="I130" s="183">
        <f ca="1">TblPop[[#This Row],[Employment]]</f>
        <v>1</v>
      </c>
      <c r="J130" s="183">
        <f ca="1">TblPop[[#This Row],[Total]]/TblPop[[#This Row],[Net max]]</f>
        <v>1</v>
      </c>
      <c r="K130" s="306">
        <f>TblRezone[[#This Row],[Hour]]</f>
        <v>127</v>
      </c>
      <c r="L130" s="307">
        <f ca="1">TblImps[[#This Row],[Real time]]</f>
        <v>45371.999999999694</v>
      </c>
      <c r="M130" s="62">
        <f>IF(ISERROR(TblImps[[#This Row],[algorithm]]),0,TblImps[[#This Row],[algorithm]]*1)</f>
        <v>0</v>
      </c>
      <c r="N130" s="97">
        <f ca="1">TblImps[[#This Row],[Land]]</f>
        <v>250</v>
      </c>
      <c r="O130" s="308" t="s">
        <v>4</v>
      </c>
      <c r="P130" s="309"/>
      <c r="Q130" s="308" t="s">
        <v>212</v>
      </c>
      <c r="R130" s="308" t="s">
        <v>7</v>
      </c>
      <c r="S130" s="309"/>
      <c r="T130" s="308" t="s">
        <v>212</v>
      </c>
      <c r="U130" s="308" t="s">
        <v>3</v>
      </c>
      <c r="V130" s="309"/>
      <c r="W130" s="308" t="s">
        <v>212</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45371.999999999694</v>
      </c>
      <c r="BZ130" s="317">
        <f ca="1">OFFSET(TblImps[[#This Row],[Servertime]],-1,0)+1/24</f>
        <v>45372.249999999694</v>
      </c>
      <c r="CA130" s="57"/>
      <c r="CB130" s="315"/>
      <c r="CC130" s="315"/>
    </row>
    <row r="131" spans="1:81" x14ac:dyDescent="0.2">
      <c r="A131" s="225">
        <f ca="1">TblConstr[[#This Row],[Land]]</f>
        <v>250</v>
      </c>
      <c r="B131" s="145"/>
      <c r="C131" s="97">
        <f ca="1">TblProd[[#This Row],[Platinum]]</f>
        <v>817600</v>
      </c>
      <c r="D131" s="97">
        <f ca="1">TblProd[[#This Row],[Lumber]]</f>
        <v>76279</v>
      </c>
      <c r="E131" s="97">
        <f ca="1">TblProd[[#This Row],[Ore]]</f>
        <v>0</v>
      </c>
      <c r="F131" s="97">
        <f ca="1">TblProd[[#This Row],[Gems]]</f>
        <v>0</v>
      </c>
      <c r="G131" s="157"/>
      <c r="H131" s="97">
        <f ca="1">TblMili[[#This Row],[Draftees]]</f>
        <v>626</v>
      </c>
      <c r="I131" s="183">
        <f ca="1">TblPop[[#This Row],[Employment]]</f>
        <v>1</v>
      </c>
      <c r="J131" s="183">
        <f ca="1">TblPop[[#This Row],[Total]]/TblPop[[#This Row],[Net max]]</f>
        <v>1</v>
      </c>
      <c r="K131" s="306">
        <f>TblRezone[[#This Row],[Hour]]</f>
        <v>128</v>
      </c>
      <c r="L131" s="307">
        <f ca="1">TblImps[[#This Row],[Real time]]</f>
        <v>45372.041666666359</v>
      </c>
      <c r="M131" s="62">
        <f>IF(ISERROR(TblImps[[#This Row],[algorithm]]),0,TblImps[[#This Row],[algorithm]]*1)</f>
        <v>0</v>
      </c>
      <c r="N131" s="97">
        <f ca="1">TblImps[[#This Row],[Land]]</f>
        <v>250</v>
      </c>
      <c r="O131" s="308" t="s">
        <v>4</v>
      </c>
      <c r="P131" s="309"/>
      <c r="Q131" s="308" t="s">
        <v>212</v>
      </c>
      <c r="R131" s="308" t="s">
        <v>7</v>
      </c>
      <c r="S131" s="309"/>
      <c r="T131" s="308" t="s">
        <v>212</v>
      </c>
      <c r="U131" s="308" t="s">
        <v>3</v>
      </c>
      <c r="V131" s="309"/>
      <c r="W131" s="308" t="s">
        <v>212</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45372.041666666359</v>
      </c>
      <c r="BZ131" s="317">
        <f ca="1">OFFSET(TblImps[[#This Row],[Servertime]],-1,0)+1/24</f>
        <v>45372.291666666359</v>
      </c>
      <c r="CA131" s="57"/>
      <c r="CB131" s="315"/>
      <c r="CC131" s="315"/>
    </row>
    <row r="132" spans="1:81" x14ac:dyDescent="0.2">
      <c r="A132" s="225">
        <f ca="1">TblConstr[[#This Row],[Land]]</f>
        <v>250</v>
      </c>
      <c r="B132" s="145"/>
      <c r="C132" s="97">
        <f ca="1">TblProd[[#This Row],[Platinum]]</f>
        <v>823086</v>
      </c>
      <c r="D132" s="97">
        <f ca="1">TblProd[[#This Row],[Lumber]]</f>
        <v>76516</v>
      </c>
      <c r="E132" s="97">
        <f ca="1">TblProd[[#This Row],[Ore]]</f>
        <v>0</v>
      </c>
      <c r="F132" s="97">
        <f ca="1">TblProd[[#This Row],[Gems]]</f>
        <v>0</v>
      </c>
      <c r="G132" s="157"/>
      <c r="H132" s="97">
        <f ca="1">TblMili[[#This Row],[Draftees]]</f>
        <v>626</v>
      </c>
      <c r="I132" s="183">
        <f ca="1">TblPop[[#This Row],[Employment]]</f>
        <v>1</v>
      </c>
      <c r="J132" s="183">
        <f ca="1">TblPop[[#This Row],[Total]]/TblPop[[#This Row],[Net max]]</f>
        <v>1</v>
      </c>
      <c r="K132" s="306">
        <f>TblRezone[[#This Row],[Hour]]</f>
        <v>129</v>
      </c>
      <c r="L132" s="307">
        <f ca="1">TblImps[[#This Row],[Real time]]</f>
        <v>45372.083333333023</v>
      </c>
      <c r="M132" s="62">
        <f>IF(ISERROR(TblImps[[#This Row],[algorithm]]),0,TblImps[[#This Row],[algorithm]]*1)</f>
        <v>0</v>
      </c>
      <c r="N132" s="97">
        <f ca="1">TblImps[[#This Row],[Land]]</f>
        <v>250</v>
      </c>
      <c r="O132" s="308" t="s">
        <v>4</v>
      </c>
      <c r="P132" s="309"/>
      <c r="Q132" s="308" t="s">
        <v>212</v>
      </c>
      <c r="R132" s="308" t="s">
        <v>7</v>
      </c>
      <c r="S132" s="309"/>
      <c r="T132" s="308" t="s">
        <v>212</v>
      </c>
      <c r="U132" s="308" t="s">
        <v>3</v>
      </c>
      <c r="V132" s="309"/>
      <c r="W132" s="308" t="s">
        <v>212</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45372.083333333023</v>
      </c>
      <c r="BZ132" s="317">
        <f ca="1">OFFSET(TblImps[[#This Row],[Servertime]],-1,0)+1/24</f>
        <v>45372.333333333023</v>
      </c>
      <c r="CA132" s="57"/>
      <c r="CB132" s="315"/>
      <c r="CC132" s="315"/>
    </row>
    <row r="133" spans="1:81" x14ac:dyDescent="0.2">
      <c r="A133" s="225">
        <f ca="1">TblConstr[[#This Row],[Land]]</f>
        <v>250</v>
      </c>
      <c r="B133" s="145"/>
      <c r="C133" s="97">
        <f ca="1">TblProd[[#This Row],[Platinum]]</f>
        <v>828572</v>
      </c>
      <c r="D133" s="97">
        <f ca="1">TblProd[[#This Row],[Lumber]]</f>
        <v>76751</v>
      </c>
      <c r="E133" s="97">
        <f ca="1">TblProd[[#This Row],[Ore]]</f>
        <v>0</v>
      </c>
      <c r="F133" s="97">
        <f ca="1">TblProd[[#This Row],[Gems]]</f>
        <v>0</v>
      </c>
      <c r="G133" s="157"/>
      <c r="H133" s="97">
        <f ca="1">TblMili[[#This Row],[Draftees]]</f>
        <v>626</v>
      </c>
      <c r="I133" s="183">
        <f ca="1">TblPop[[#This Row],[Employment]]</f>
        <v>1</v>
      </c>
      <c r="J133" s="183">
        <f ca="1">TblPop[[#This Row],[Total]]/TblPop[[#This Row],[Net max]]</f>
        <v>1</v>
      </c>
      <c r="K133" s="306">
        <f>TblRezone[[#This Row],[Hour]]</f>
        <v>130</v>
      </c>
      <c r="L133" s="307">
        <f ca="1">TblImps[[#This Row],[Real time]]</f>
        <v>45372.124999999687</v>
      </c>
      <c r="M133" s="62">
        <f>IF(ISERROR(TblImps[[#This Row],[algorithm]]),0,TblImps[[#This Row],[algorithm]]*1)</f>
        <v>0</v>
      </c>
      <c r="N133" s="97">
        <f ca="1">TblImps[[#This Row],[Land]]</f>
        <v>250</v>
      </c>
      <c r="O133" s="308" t="s">
        <v>4</v>
      </c>
      <c r="P133" s="309"/>
      <c r="Q133" s="308" t="s">
        <v>212</v>
      </c>
      <c r="R133" s="308" t="s">
        <v>7</v>
      </c>
      <c r="S133" s="309"/>
      <c r="T133" s="308" t="s">
        <v>212</v>
      </c>
      <c r="U133" s="308" t="s">
        <v>3</v>
      </c>
      <c r="V133" s="309"/>
      <c r="W133" s="308" t="s">
        <v>212</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45372.124999999687</v>
      </c>
      <c r="BZ133" s="317">
        <f ca="1">OFFSET(TblImps[[#This Row],[Servertime]],-1,0)+1/24</f>
        <v>45372.374999999687</v>
      </c>
      <c r="CA133" s="57"/>
      <c r="CB133" s="315"/>
      <c r="CC133" s="315"/>
    </row>
    <row r="134" spans="1:81" x14ac:dyDescent="0.2">
      <c r="A134" s="225">
        <f ca="1">TblConstr[[#This Row],[Land]]</f>
        <v>250</v>
      </c>
      <c r="B134" s="145"/>
      <c r="C134" s="97">
        <f ca="1">TblProd[[#This Row],[Platinum]]</f>
        <v>834058</v>
      </c>
      <c r="D134" s="97">
        <f ca="1">TblProd[[#This Row],[Lumber]]</f>
        <v>76983</v>
      </c>
      <c r="E134" s="97">
        <f ca="1">TblProd[[#This Row],[Ore]]</f>
        <v>0</v>
      </c>
      <c r="F134" s="97">
        <f ca="1">TblProd[[#This Row],[Gems]]</f>
        <v>0</v>
      </c>
      <c r="G134" s="157"/>
      <c r="H134" s="97">
        <f ca="1">TblMili[[#This Row],[Draftees]]</f>
        <v>626</v>
      </c>
      <c r="I134" s="183">
        <f ca="1">TblPop[[#This Row],[Employment]]</f>
        <v>1</v>
      </c>
      <c r="J134" s="183">
        <f ca="1">TblPop[[#This Row],[Total]]/TblPop[[#This Row],[Net max]]</f>
        <v>1</v>
      </c>
      <c r="K134" s="306">
        <f>TblRezone[[#This Row],[Hour]]</f>
        <v>131</v>
      </c>
      <c r="L134" s="307">
        <f ca="1">TblImps[[#This Row],[Real time]]</f>
        <v>45372.166666666351</v>
      </c>
      <c r="M134" s="62">
        <f>IF(ISERROR(TblImps[[#This Row],[algorithm]]),0,TblImps[[#This Row],[algorithm]]*1)</f>
        <v>0</v>
      </c>
      <c r="N134" s="97">
        <f ca="1">TblImps[[#This Row],[Land]]</f>
        <v>250</v>
      </c>
      <c r="O134" s="308" t="s">
        <v>4</v>
      </c>
      <c r="P134" s="309"/>
      <c r="Q134" s="308" t="s">
        <v>212</v>
      </c>
      <c r="R134" s="308" t="s">
        <v>7</v>
      </c>
      <c r="S134" s="309"/>
      <c r="T134" s="308" t="s">
        <v>212</v>
      </c>
      <c r="U134" s="308" t="s">
        <v>3</v>
      </c>
      <c r="V134" s="309"/>
      <c r="W134" s="308" t="s">
        <v>212</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45372.166666666351</v>
      </c>
      <c r="BZ134" s="317">
        <f ca="1">OFFSET(TblImps[[#This Row],[Servertime]],-1,0)+1/24</f>
        <v>45372.416666666351</v>
      </c>
      <c r="CA134" s="57"/>
      <c r="CB134" s="315"/>
      <c r="CC134" s="315"/>
    </row>
    <row r="135" spans="1:81" x14ac:dyDescent="0.2">
      <c r="A135" s="225">
        <f ca="1">TblConstr[[#This Row],[Land]]</f>
        <v>250</v>
      </c>
      <c r="B135" s="145"/>
      <c r="C135" s="97">
        <f ca="1">TblProd[[#This Row],[Platinum]]</f>
        <v>839544</v>
      </c>
      <c r="D135" s="97">
        <f ca="1">TblProd[[#This Row],[Lumber]]</f>
        <v>77213</v>
      </c>
      <c r="E135" s="97">
        <f ca="1">TblProd[[#This Row],[Ore]]</f>
        <v>0</v>
      </c>
      <c r="F135" s="97">
        <f ca="1">TblProd[[#This Row],[Gems]]</f>
        <v>0</v>
      </c>
      <c r="G135" s="157"/>
      <c r="H135" s="97">
        <f ca="1">TblMili[[#This Row],[Draftees]]</f>
        <v>626</v>
      </c>
      <c r="I135" s="183">
        <f ca="1">TblPop[[#This Row],[Employment]]</f>
        <v>1</v>
      </c>
      <c r="J135" s="183">
        <f ca="1">TblPop[[#This Row],[Total]]/TblPop[[#This Row],[Net max]]</f>
        <v>1</v>
      </c>
      <c r="K135" s="306">
        <f>TblRezone[[#This Row],[Hour]]</f>
        <v>132</v>
      </c>
      <c r="L135" s="307">
        <f ca="1">TblImps[[#This Row],[Real time]]</f>
        <v>45372.208333333016</v>
      </c>
      <c r="M135" s="62">
        <f>IF(ISERROR(TblImps[[#This Row],[algorithm]]),0,TblImps[[#This Row],[algorithm]]*1)</f>
        <v>0</v>
      </c>
      <c r="N135" s="97">
        <f ca="1">TblImps[[#This Row],[Land]]</f>
        <v>250</v>
      </c>
      <c r="O135" s="308" t="s">
        <v>4</v>
      </c>
      <c r="P135" s="309"/>
      <c r="Q135" s="308" t="s">
        <v>212</v>
      </c>
      <c r="R135" s="308" t="s">
        <v>7</v>
      </c>
      <c r="S135" s="309"/>
      <c r="T135" s="308" t="s">
        <v>212</v>
      </c>
      <c r="U135" s="308" t="s">
        <v>3</v>
      </c>
      <c r="V135" s="309"/>
      <c r="W135" s="308" t="s">
        <v>212</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45372.208333333016</v>
      </c>
      <c r="BZ135" s="317">
        <f ca="1">OFFSET(TblImps[[#This Row],[Servertime]],-1,0)+1/24</f>
        <v>45372.458333333016</v>
      </c>
      <c r="CA135" s="57"/>
      <c r="CB135" s="315"/>
      <c r="CC135" s="315"/>
    </row>
    <row r="136" spans="1:81" x14ac:dyDescent="0.2">
      <c r="A136" s="225">
        <f ca="1">TblConstr[[#This Row],[Land]]</f>
        <v>250</v>
      </c>
      <c r="B136" s="145"/>
      <c r="C136" s="97">
        <f ca="1">TblProd[[#This Row],[Platinum]]</f>
        <v>845030</v>
      </c>
      <c r="D136" s="97">
        <f ca="1">TblProd[[#This Row],[Lumber]]</f>
        <v>77441</v>
      </c>
      <c r="E136" s="97">
        <f ca="1">TblProd[[#This Row],[Ore]]</f>
        <v>0</v>
      </c>
      <c r="F136" s="97">
        <f ca="1">TblProd[[#This Row],[Gems]]</f>
        <v>0</v>
      </c>
      <c r="G136" s="157"/>
      <c r="H136" s="97">
        <f ca="1">TblMili[[#This Row],[Draftees]]</f>
        <v>626</v>
      </c>
      <c r="I136" s="183">
        <f ca="1">TblPop[[#This Row],[Employment]]</f>
        <v>0</v>
      </c>
      <c r="J136" s="183">
        <f ca="1">TblPop[[#This Row],[Total]]/TblPop[[#This Row],[Net max]]</f>
        <v>1</v>
      </c>
      <c r="K136" s="306">
        <f>TblRezone[[#This Row],[Hour]]</f>
        <v>133</v>
      </c>
      <c r="L136" s="307">
        <f ca="1">TblImps[[#This Row],[Real time]]</f>
        <v>45372.24999999968</v>
      </c>
      <c r="M136" s="62">
        <f>IF(ISERROR(TblImps[[#This Row],[algorithm]]),0,TblImps[[#This Row],[algorithm]]*1)</f>
        <v>0</v>
      </c>
      <c r="N136" s="97">
        <f ca="1">TblImps[[#This Row],[Land]]</f>
        <v>250</v>
      </c>
      <c r="O136" s="308" t="s">
        <v>4</v>
      </c>
      <c r="P136" s="309"/>
      <c r="Q136" s="308" t="s">
        <v>212</v>
      </c>
      <c r="R136" s="308" t="s">
        <v>7</v>
      </c>
      <c r="S136" s="309"/>
      <c r="T136" s="308" t="s">
        <v>212</v>
      </c>
      <c r="U136" s="308" t="s">
        <v>3</v>
      </c>
      <c r="V136" s="309"/>
      <c r="W136" s="308" t="s">
        <v>212</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45372.24999999968</v>
      </c>
      <c r="BZ136" s="317">
        <f ca="1">OFFSET(TblImps[[#This Row],[Servertime]],-1,0)+1/24</f>
        <v>45372.49999999968</v>
      </c>
      <c r="CA136" s="57"/>
      <c r="CB136" s="315"/>
      <c r="CC136" s="315"/>
    </row>
    <row r="1269" spans="2:23" x14ac:dyDescent="0.2">
      <c r="B1269" s="496" t="s">
        <v>317</v>
      </c>
      <c r="C1269" s="449"/>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473</v>
      </c>
      <c r="P16" s="39"/>
    </row>
    <row r="27" spans="8:9" ht="12.75" customHeight="1" x14ac:dyDescent="0.2"/>
    <row r="28" spans="8:9" x14ac:dyDescent="0.2">
      <c r="H28" s="28" t="s">
        <v>473</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258</v>
      </c>
      <c r="C2" s="41" t="s">
        <v>1007</v>
      </c>
      <c r="D2" s="41" t="s">
        <v>938</v>
      </c>
      <c r="E2" s="41" t="s">
        <v>1009</v>
      </c>
    </row>
    <row r="3" spans="2:5" ht="15.75" x14ac:dyDescent="0.25">
      <c r="B3" s="40" t="s">
        <v>986</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987</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989</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988</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990</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991</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992</v>
      </c>
      <c r="C9" s="42" t="s">
        <v>349</v>
      </c>
      <c r="D9" s="40">
        <f>_xlfn.IFNA(INDEX(TblConstr[],MATCH(Log!$I$28,TblConstr[Hour],0),MATCH(TblStats[[#This Row],[Abbr]],TblConstr[#Headers],0)),0)</f>
        <v>0</v>
      </c>
      <c r="E9" s="43" t="e">
        <f>TblStats[[#This Row],[Number]]/INDEX(TblConstr[[Hour]:[Land]],MATCH(Log!$I$28,TblConstr[Hour],0),6)</f>
        <v>#N/A</v>
      </c>
    </row>
    <row r="10" spans="2:5" ht="15.75" x14ac:dyDescent="0.25">
      <c r="B10" s="40" t="s">
        <v>993</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994</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995</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996</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997</v>
      </c>
      <c r="C14" s="42" t="s">
        <v>351</v>
      </c>
      <c r="D14" s="40">
        <f>_xlfn.IFNA(INDEX(TblConstr[],MATCH(Log!$I$28,TblConstr[Hour],0),MATCH(TblStats[[#This Row],[Abbr]],TblConstr[#Headers],0)),0)</f>
        <v>0</v>
      </c>
      <c r="E14" s="43" t="e">
        <f>TblStats[[#This Row],[Number]]/INDEX(TblConstr[[Hour]:[Land]],MATCH(Log!$I$28,TblConstr[Hour],0),6)</f>
        <v>#N/A</v>
      </c>
    </row>
    <row r="15" spans="2:5" ht="15.75" x14ac:dyDescent="0.25">
      <c r="B15" s="40" t="s">
        <v>998</v>
      </c>
      <c r="C15" s="42" t="s">
        <v>354</v>
      </c>
      <c r="D15" s="40">
        <f>_xlfn.IFNA(INDEX(TblConstr[],MATCH(Log!$I$28,TblConstr[Hour],0),MATCH(TblStats[[#This Row],[Abbr]],TblConstr[#Headers],0)),0)</f>
        <v>0</v>
      </c>
      <c r="E15" s="43" t="e">
        <f>TblStats[[#This Row],[Number]]/INDEX(TblConstr[[Hour]:[Land]],MATCH(Log!$I$28,TblConstr[Hour],0),6)</f>
        <v>#N/A</v>
      </c>
    </row>
    <row r="16" spans="2:5" ht="15.75" x14ac:dyDescent="0.25">
      <c r="B16" s="40" t="s">
        <v>999</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1000</v>
      </c>
      <c r="C17" s="42" t="s">
        <v>352</v>
      </c>
      <c r="D17" s="40">
        <f>_xlfn.IFNA(INDEX(TblConstr[],MATCH(Log!$I$28,TblConstr[Hour],0),MATCH(TblStats[[#This Row],[Abbr]],TblConstr[#Headers],0)),0)</f>
        <v>0</v>
      </c>
      <c r="E17" s="43" t="e">
        <f>TblStats[[#This Row],[Number]]/INDEX(TblConstr[[Hour]:[Land]],MATCH(Log!$I$28,TblConstr[Hour],0),6)</f>
        <v>#N/A</v>
      </c>
    </row>
    <row r="18" spans="2:12" ht="15.75" x14ac:dyDescent="0.25">
      <c r="B18" s="40" t="s">
        <v>1001</v>
      </c>
      <c r="C18" s="42" t="s">
        <v>298</v>
      </c>
      <c r="D18" s="40">
        <f>_xlfn.IFNA(INDEX(TblConstr[],MATCH(Log!$I$28,TblConstr[Hour],0),MATCH(TblStats[[#This Row],[Abbr]],TblConstr[#Headers],0)),0)</f>
        <v>0</v>
      </c>
      <c r="E18" s="43" t="e">
        <f>TblStats[[#This Row],[Number]]/INDEX(TblConstr[[Hour]:[Land]],MATCH(Log!$I$28,TblConstr[Hour],0),6)</f>
        <v>#N/A</v>
      </c>
    </row>
    <row r="19" spans="2:12" ht="15.75" x14ac:dyDescent="0.25">
      <c r="B19" s="40" t="s">
        <v>1002</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1003</v>
      </c>
      <c r="C20" s="42" t="s">
        <v>372</v>
      </c>
      <c r="D20" s="40">
        <f>_xlfn.IFNA(INDEX(TblConstr[],MATCH(Log!$I$28,TblConstr[Hour],0),MATCH(TblStats[[#This Row],[Abbr]],TblConstr[#Headers],0)),0)</f>
        <v>0</v>
      </c>
      <c r="E20" s="43" t="e">
        <f>TblStats[[#This Row],[Number]]/INDEX(TblConstr[[Hour]:[Land]],MATCH(Log!$I$28,TblConstr[Hour],0),6)</f>
        <v>#N/A</v>
      </c>
    </row>
    <row r="21" spans="2:12" ht="15.75" x14ac:dyDescent="0.25">
      <c r="B21" s="40" t="s">
        <v>1004</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1005</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1006</v>
      </c>
      <c r="C23" s="40" t="s">
        <v>1008</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985</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4"/>
  <sheetViews>
    <sheetView zoomScale="70" zoomScaleNormal="70" workbookViewId="0"/>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537</v>
      </c>
      <c r="B11" s="45">
        <v>25</v>
      </c>
      <c r="C11" s="45" t="s">
        <v>8</v>
      </c>
    </row>
    <row r="12" spans="1:6" x14ac:dyDescent="0.2">
      <c r="A12" s="329" t="s">
        <v>67</v>
      </c>
      <c r="B12" s="266">
        <v>1.75</v>
      </c>
      <c r="C12" s="45" t="s">
        <v>512</v>
      </c>
      <c r="D12" s="159">
        <v>0.35</v>
      </c>
      <c r="E12" s="45" t="s">
        <v>438</v>
      </c>
    </row>
    <row r="13" spans="1:6" x14ac:dyDescent="0.2">
      <c r="A13" s="329" t="s">
        <v>65</v>
      </c>
      <c r="B13" s="266">
        <v>1.75</v>
      </c>
      <c r="C13" s="45" t="s">
        <v>513</v>
      </c>
      <c r="D13" s="159">
        <v>0.35</v>
      </c>
      <c r="E13" s="45" t="s">
        <v>438</v>
      </c>
    </row>
    <row r="14" spans="1:6" x14ac:dyDescent="0.2">
      <c r="A14" s="329" t="s">
        <v>482</v>
      </c>
      <c r="B14" s="45">
        <v>0</v>
      </c>
      <c r="C14" s="45" t="s">
        <v>483</v>
      </c>
      <c r="D14" s="330"/>
      <c r="F14" s="159"/>
    </row>
    <row r="15" spans="1:6" x14ac:dyDescent="0.2">
      <c r="B15" s="45">
        <v>3.5</v>
      </c>
      <c r="C15" s="45" t="s">
        <v>484</v>
      </c>
      <c r="D15" s="331">
        <v>0.35</v>
      </c>
      <c r="E15" s="45" t="s">
        <v>438</v>
      </c>
      <c r="F15" s="159"/>
    </row>
    <row r="16" spans="1:6" x14ac:dyDescent="0.2">
      <c r="A16" s="329" t="s">
        <v>479</v>
      </c>
      <c r="B16" s="45">
        <v>0</v>
      </c>
      <c r="C16" s="45" t="s">
        <v>486</v>
      </c>
      <c r="D16" s="331">
        <v>0</v>
      </c>
      <c r="E16" s="45" t="s">
        <v>438</v>
      </c>
      <c r="F16" s="159"/>
    </row>
    <row r="17" spans="1:19" x14ac:dyDescent="0.2">
      <c r="B17" s="45">
        <v>3.5</v>
      </c>
      <c r="C17" s="45" t="s">
        <v>485</v>
      </c>
      <c r="D17" s="331">
        <v>0.35</v>
      </c>
      <c r="E17" s="45" t="s">
        <v>438</v>
      </c>
      <c r="F17" s="159"/>
    </row>
    <row r="18" spans="1:19" x14ac:dyDescent="0.2">
      <c r="B18" s="45">
        <v>15</v>
      </c>
      <c r="C18" s="45" t="s">
        <v>13</v>
      </c>
      <c r="D18" s="331"/>
      <c r="F18" s="159"/>
    </row>
    <row r="19" spans="1:19" x14ac:dyDescent="0.2">
      <c r="A19" s="329" t="s">
        <v>185</v>
      </c>
      <c r="B19" s="45">
        <v>2</v>
      </c>
      <c r="C19" s="45" t="s">
        <v>439</v>
      </c>
      <c r="D19" s="159">
        <v>0.36</v>
      </c>
      <c r="E19" s="45" t="s">
        <v>438</v>
      </c>
    </row>
    <row r="20" spans="1:19" x14ac:dyDescent="0.2">
      <c r="A20" s="329" t="s">
        <v>454</v>
      </c>
      <c r="B20" s="45">
        <v>2.6</v>
      </c>
      <c r="C20" s="45" t="s">
        <v>487</v>
      </c>
    </row>
    <row r="21" spans="1:19" x14ac:dyDescent="0.2">
      <c r="A21" s="329" t="s">
        <v>455</v>
      </c>
      <c r="B21" s="332">
        <v>5</v>
      </c>
      <c r="C21" s="45" t="s">
        <v>456</v>
      </c>
      <c r="D21" s="159">
        <v>0.5</v>
      </c>
      <c r="E21" s="45" t="s">
        <v>438</v>
      </c>
    </row>
    <row r="22" spans="1:19" x14ac:dyDescent="0.2">
      <c r="B22" s="332">
        <v>5</v>
      </c>
      <c r="C22" s="45" t="s">
        <v>457</v>
      </c>
      <c r="D22" s="159">
        <v>0.5</v>
      </c>
      <c r="E22" s="45" t="s">
        <v>438</v>
      </c>
    </row>
    <row r="23" spans="1:19" x14ac:dyDescent="0.2">
      <c r="A23" s="329" t="s">
        <v>1074</v>
      </c>
      <c r="B23" s="332"/>
      <c r="C23" s="45" t="s">
        <v>1075</v>
      </c>
      <c r="D23" s="159">
        <v>0.5</v>
      </c>
      <c r="E23" s="45" t="s">
        <v>438</v>
      </c>
    </row>
    <row r="24" spans="1:19" x14ac:dyDescent="0.2">
      <c r="A24" s="328" t="s">
        <v>80</v>
      </c>
    </row>
    <row r="25" spans="1:19" x14ac:dyDescent="0.2">
      <c r="A25" s="333" t="s">
        <v>72</v>
      </c>
      <c r="B25" s="333" t="s">
        <v>71</v>
      </c>
      <c r="C25" s="333" t="s">
        <v>70</v>
      </c>
      <c r="D25" s="333" t="s">
        <v>69</v>
      </c>
      <c r="E25" s="333" t="s">
        <v>68</v>
      </c>
      <c r="F25" s="334" t="s">
        <v>63</v>
      </c>
      <c r="G25" s="334" t="s">
        <v>349</v>
      </c>
      <c r="H25" s="335" t="s">
        <v>64</v>
      </c>
      <c r="I25" s="335" t="s">
        <v>65</v>
      </c>
      <c r="J25" s="336" t="s">
        <v>66</v>
      </c>
      <c r="K25" s="336" t="s">
        <v>67</v>
      </c>
      <c r="L25" s="336" t="s">
        <v>351</v>
      </c>
      <c r="M25" s="337" t="s">
        <v>354</v>
      </c>
      <c r="N25" s="338" t="s">
        <v>74</v>
      </c>
      <c r="O25" s="338" t="s">
        <v>352</v>
      </c>
      <c r="P25" s="338" t="s">
        <v>510</v>
      </c>
      <c r="Q25" s="339" t="s">
        <v>75</v>
      </c>
      <c r="R25" s="339" t="s">
        <v>372</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178</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235</v>
      </c>
      <c r="E32" s="5"/>
      <c r="F32" s="5"/>
      <c r="G32" s="5"/>
      <c r="H32" s="5"/>
      <c r="I32" s="5"/>
      <c r="J32" s="5"/>
      <c r="K32" s="5"/>
      <c r="L32" s="5" t="s">
        <v>396</v>
      </c>
      <c r="M32" s="5"/>
      <c r="N32" s="5"/>
      <c r="O32" s="5"/>
      <c r="P32" s="5"/>
      <c r="Q32" s="5"/>
      <c r="R32" s="5"/>
      <c r="S32" s="5"/>
    </row>
    <row r="33" spans="1:16" x14ac:dyDescent="0.2">
      <c r="A33" s="329" t="s">
        <v>21</v>
      </c>
      <c r="B33" s="45">
        <f>HLOOKUP(1,E33:J37,2)</f>
        <v>1300</v>
      </c>
      <c r="D33" s="45" t="s">
        <v>437</v>
      </c>
      <c r="E33" s="45">
        <v>1</v>
      </c>
      <c r="F33" s="45">
        <v>2</v>
      </c>
      <c r="G33" s="45">
        <v>3</v>
      </c>
      <c r="H33" s="45">
        <v>4</v>
      </c>
      <c r="I33" s="45">
        <v>5</v>
      </c>
      <c r="J33" s="45">
        <v>6</v>
      </c>
      <c r="L33" s="45" t="s">
        <v>386</v>
      </c>
      <c r="M33" s="159">
        <v>0.1</v>
      </c>
      <c r="N33" s="45" t="s">
        <v>397</v>
      </c>
    </row>
    <row r="34" spans="1:16" x14ac:dyDescent="0.2">
      <c r="A34" s="329" t="s">
        <v>24</v>
      </c>
      <c r="B34" s="45">
        <v>100</v>
      </c>
      <c r="D34" s="45" t="s">
        <v>21</v>
      </c>
      <c r="E34" s="97">
        <v>1300</v>
      </c>
      <c r="F34" s="97">
        <v>1390</v>
      </c>
      <c r="G34" s="97">
        <v>1480</v>
      </c>
      <c r="H34" s="97">
        <v>1570</v>
      </c>
      <c r="I34" s="97">
        <v>1660</v>
      </c>
      <c r="J34" s="97">
        <v>1750</v>
      </c>
      <c r="K34" s="97"/>
      <c r="M34" s="159">
        <v>0.05</v>
      </c>
      <c r="N34" s="45" t="s">
        <v>398</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399</v>
      </c>
    </row>
    <row r="36" spans="1:16" x14ac:dyDescent="0.2">
      <c r="A36" s="329" t="str">
        <f>Overview!$A23</f>
        <v>Archer</v>
      </c>
      <c r="B36" s="45">
        <v>150</v>
      </c>
      <c r="D36" s="45" t="s">
        <v>5</v>
      </c>
      <c r="E36" s="97">
        <v>15000</v>
      </c>
      <c r="F36" s="97">
        <v>16000</v>
      </c>
      <c r="G36" s="97">
        <v>17000</v>
      </c>
      <c r="H36" s="97">
        <v>18000</v>
      </c>
      <c r="I36" s="97">
        <v>19000</v>
      </c>
      <c r="J36" s="97">
        <v>20000</v>
      </c>
      <c r="L36" s="45" t="s">
        <v>177</v>
      </c>
      <c r="M36" s="159">
        <v>-0.05</v>
      </c>
      <c r="N36" s="45" t="s">
        <v>400</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401</v>
      </c>
    </row>
    <row r="38" spans="1:16" x14ac:dyDescent="0.2">
      <c r="A38" s="329" t="str">
        <f>Overview!$A25</f>
        <v>Cavalry</v>
      </c>
      <c r="B38" s="45">
        <v>0</v>
      </c>
      <c r="M38" s="159">
        <v>-0.1</v>
      </c>
      <c r="N38" s="45" t="s">
        <v>400</v>
      </c>
      <c r="O38" s="45">
        <v>-2</v>
      </c>
      <c r="P38" s="45" t="s">
        <v>401</v>
      </c>
    </row>
    <row r="39" spans="1:16" x14ac:dyDescent="0.2">
      <c r="A39" s="329" t="s">
        <v>25</v>
      </c>
      <c r="B39" s="45">
        <v>25</v>
      </c>
      <c r="D39" s="45" t="s">
        <v>371</v>
      </c>
      <c r="E39" s="97">
        <v>1</v>
      </c>
      <c r="F39" s="45">
        <v>2</v>
      </c>
      <c r="G39" s="45">
        <v>3</v>
      </c>
      <c r="H39" s="45">
        <v>4</v>
      </c>
      <c r="I39" s="45">
        <v>5</v>
      </c>
      <c r="J39" s="45">
        <v>6</v>
      </c>
      <c r="L39" s="45" t="s">
        <v>280</v>
      </c>
      <c r="M39" s="159">
        <v>-0.1</v>
      </c>
      <c r="N39" s="45" t="s">
        <v>402</v>
      </c>
    </row>
    <row r="40" spans="1:16" x14ac:dyDescent="0.2">
      <c r="A40" s="329" t="s">
        <v>1095</v>
      </c>
      <c r="B40" s="45">
        <v>0</v>
      </c>
      <c r="D40" s="45" t="s">
        <v>21</v>
      </c>
      <c r="E40" s="45">
        <v>1200</v>
      </c>
      <c r="F40" s="45">
        <v>1325</v>
      </c>
      <c r="G40" s="45">
        <v>1450</v>
      </c>
      <c r="H40" s="45">
        <v>1575</v>
      </c>
      <c r="I40" s="45">
        <v>1700</v>
      </c>
      <c r="J40" s="45">
        <v>1825</v>
      </c>
      <c r="M40" s="159">
        <v>-0.1</v>
      </c>
      <c r="N40" s="45" t="s">
        <v>403</v>
      </c>
    </row>
    <row r="41" spans="1:16" x14ac:dyDescent="0.2">
      <c r="A41" s="329" t="s">
        <v>26</v>
      </c>
      <c r="B41" s="45">
        <v>25</v>
      </c>
      <c r="D41" s="45" t="s">
        <v>2</v>
      </c>
      <c r="E41" s="45">
        <v>100000</v>
      </c>
      <c r="F41" s="45">
        <v>104750</v>
      </c>
      <c r="G41" s="45">
        <v>109500</v>
      </c>
      <c r="H41" s="45">
        <v>114250</v>
      </c>
      <c r="I41" s="45">
        <v>119000</v>
      </c>
      <c r="J41" s="45">
        <v>123750</v>
      </c>
      <c r="M41" s="159">
        <v>0.02</v>
      </c>
      <c r="N41" s="45" t="s">
        <v>404</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405</v>
      </c>
    </row>
    <row r="43" spans="1:16" x14ac:dyDescent="0.2">
      <c r="D43" s="45" t="s">
        <v>7</v>
      </c>
      <c r="E43" s="45">
        <v>15000</v>
      </c>
      <c r="F43" s="45">
        <v>15450</v>
      </c>
      <c r="G43" s="45">
        <v>15900</v>
      </c>
      <c r="H43" s="45">
        <v>16350</v>
      </c>
      <c r="I43" s="45">
        <v>16800</v>
      </c>
      <c r="J43" s="45">
        <v>17250</v>
      </c>
      <c r="M43" s="159">
        <v>-0.1</v>
      </c>
      <c r="N43" s="45" t="s">
        <v>406</v>
      </c>
    </row>
    <row r="44" spans="1:16" x14ac:dyDescent="0.2">
      <c r="A44" s="328" t="s">
        <v>78</v>
      </c>
      <c r="C44" s="97"/>
      <c r="M44" s="159">
        <v>0.05</v>
      </c>
      <c r="N44" s="45" t="s">
        <v>295</v>
      </c>
    </row>
    <row r="45" spans="1:16" x14ac:dyDescent="0.2">
      <c r="A45" s="329" t="s">
        <v>2</v>
      </c>
      <c r="B45" s="97">
        <f>HLOOKUP(1,E33:J37,3)</f>
        <v>100000</v>
      </c>
      <c r="C45" s="97"/>
      <c r="D45" s="45" t="s">
        <v>442</v>
      </c>
      <c r="L45" s="45" t="s">
        <v>73</v>
      </c>
      <c r="M45" s="159">
        <v>-0.1</v>
      </c>
      <c r="N45" s="45" t="s">
        <v>407</v>
      </c>
    </row>
    <row r="46" spans="1:16" x14ac:dyDescent="0.2">
      <c r="A46" s="329" t="s">
        <v>5</v>
      </c>
      <c r="B46" s="97">
        <f>HLOOKUP(1,E33:J37,4)</f>
        <v>15000</v>
      </c>
      <c r="C46" s="97"/>
      <c r="D46" s="45" t="s">
        <v>21</v>
      </c>
      <c r="E46" s="45">
        <v>100</v>
      </c>
      <c r="M46" s="159">
        <v>-0.2</v>
      </c>
      <c r="N46" s="45" t="s">
        <v>408</v>
      </c>
    </row>
    <row r="47" spans="1:16" x14ac:dyDescent="0.2">
      <c r="A47" s="329" t="s">
        <v>81</v>
      </c>
      <c r="B47" s="97">
        <f>HLOOKUP(1,E33:J37,5)</f>
        <v>15000</v>
      </c>
      <c r="C47" s="97"/>
      <c r="D47" s="45" t="s">
        <v>2</v>
      </c>
      <c r="E47" s="45">
        <v>5000</v>
      </c>
      <c r="M47" s="45">
        <v>1</v>
      </c>
      <c r="N47" s="45" t="s">
        <v>409</v>
      </c>
    </row>
    <row r="48" spans="1:16" x14ac:dyDescent="0.2">
      <c r="A48" s="329" t="s">
        <v>12</v>
      </c>
      <c r="B48" s="97">
        <v>0</v>
      </c>
      <c r="C48" s="97"/>
      <c r="D48" s="45" t="s">
        <v>5</v>
      </c>
      <c r="E48" s="45">
        <v>1500</v>
      </c>
      <c r="L48" s="45" t="s">
        <v>183</v>
      </c>
      <c r="M48" s="159">
        <v>-0.1</v>
      </c>
      <c r="N48" s="45" t="s">
        <v>410</v>
      </c>
    </row>
    <row r="49" spans="1:21" x14ac:dyDescent="0.2">
      <c r="A49" s="329" t="s">
        <v>3</v>
      </c>
      <c r="B49" s="97">
        <v>0</v>
      </c>
      <c r="C49" s="97"/>
      <c r="D49" s="45" t="s">
        <v>7</v>
      </c>
      <c r="E49" s="45">
        <v>2500</v>
      </c>
      <c r="M49" s="159">
        <v>-0.2</v>
      </c>
      <c r="N49" s="45" t="s">
        <v>411</v>
      </c>
    </row>
    <row r="50" spans="1:21" x14ac:dyDescent="0.2">
      <c r="A50" s="329" t="s">
        <v>4</v>
      </c>
      <c r="B50" s="97">
        <v>10000</v>
      </c>
      <c r="C50" s="97"/>
      <c r="D50" s="45" t="s">
        <v>3</v>
      </c>
      <c r="E50" s="45">
        <v>2500</v>
      </c>
      <c r="M50" s="45">
        <v>1</v>
      </c>
      <c r="N50" s="45" t="s">
        <v>412</v>
      </c>
    </row>
    <row r="51" spans="1:21" x14ac:dyDescent="0.2">
      <c r="A51" s="329" t="s">
        <v>82</v>
      </c>
      <c r="B51" s="97">
        <v>0</v>
      </c>
      <c r="D51" s="45" t="s">
        <v>12</v>
      </c>
      <c r="E51" s="45">
        <v>1000</v>
      </c>
      <c r="L51" s="45" t="s">
        <v>387</v>
      </c>
      <c r="M51" s="159">
        <v>-0.1</v>
      </c>
      <c r="N51" s="45" t="s">
        <v>413</v>
      </c>
    </row>
    <row r="52" spans="1:21" x14ac:dyDescent="0.2">
      <c r="D52" s="45" t="s">
        <v>443</v>
      </c>
      <c r="E52" s="45">
        <v>30</v>
      </c>
      <c r="L52" s="45" t="s">
        <v>388</v>
      </c>
      <c r="M52" s="159">
        <v>0.2</v>
      </c>
      <c r="N52" s="45" t="s">
        <v>414</v>
      </c>
      <c r="O52" s="159">
        <v>0.1</v>
      </c>
      <c r="P52" s="45" t="s">
        <v>398</v>
      </c>
    </row>
    <row r="53" spans="1:21" x14ac:dyDescent="0.2">
      <c r="A53" s="328" t="s">
        <v>86</v>
      </c>
      <c r="D53" s="45" t="s">
        <v>444</v>
      </c>
      <c r="E53" s="45">
        <v>30</v>
      </c>
      <c r="L53" s="45" t="s">
        <v>389</v>
      </c>
      <c r="M53" s="160">
        <v>0.06</v>
      </c>
      <c r="N53" s="45" t="s">
        <v>404</v>
      </c>
    </row>
    <row r="54" spans="1:21" x14ac:dyDescent="0.2">
      <c r="A54" s="329" t="s">
        <v>21</v>
      </c>
      <c r="B54" s="342">
        <v>0.03</v>
      </c>
      <c r="L54" s="45" t="s">
        <v>390</v>
      </c>
      <c r="M54" s="121">
        <v>0.125</v>
      </c>
      <c r="N54" s="45" t="s">
        <v>399</v>
      </c>
    </row>
    <row r="55" spans="1:21" x14ac:dyDescent="0.2">
      <c r="A55" s="329" t="s">
        <v>24</v>
      </c>
      <c r="B55" s="342">
        <v>0.01</v>
      </c>
      <c r="L55" s="45" t="s">
        <v>391</v>
      </c>
      <c r="M55" s="159">
        <v>-0.3</v>
      </c>
      <c r="N55" s="45" t="s">
        <v>415</v>
      </c>
    </row>
    <row r="56" spans="1:21" x14ac:dyDescent="0.2">
      <c r="A56" s="329" t="s">
        <v>14</v>
      </c>
      <c r="B56" s="342">
        <v>0.01</v>
      </c>
      <c r="L56" s="45" t="s">
        <v>392</v>
      </c>
      <c r="M56" s="159">
        <v>-0.2</v>
      </c>
      <c r="N56" s="45" t="s">
        <v>400</v>
      </c>
      <c r="O56" s="159">
        <v>0.15</v>
      </c>
      <c r="P56" s="45" t="s">
        <v>416</v>
      </c>
    </row>
    <row r="57" spans="1:21" x14ac:dyDescent="0.2">
      <c r="A57" s="329" t="s">
        <v>16</v>
      </c>
      <c r="B57" s="342">
        <v>0.01</v>
      </c>
      <c r="L57" s="45" t="s">
        <v>393</v>
      </c>
      <c r="M57" s="159">
        <v>-0.25</v>
      </c>
      <c r="N57" s="45" t="s">
        <v>417</v>
      </c>
    </row>
    <row r="58" spans="1:21" x14ac:dyDescent="0.2">
      <c r="A58" s="329" t="s">
        <v>15</v>
      </c>
      <c r="B58" s="342">
        <v>0.02</v>
      </c>
      <c r="L58" s="45" t="s">
        <v>394</v>
      </c>
      <c r="M58" s="159">
        <v>0.1</v>
      </c>
      <c r="N58" s="45" t="s">
        <v>295</v>
      </c>
      <c r="O58" s="159">
        <v>0.15</v>
      </c>
      <c r="P58" s="45" t="s">
        <v>418</v>
      </c>
    </row>
    <row r="59" spans="1:21" x14ac:dyDescent="0.2">
      <c r="L59" s="45" t="s">
        <v>395</v>
      </c>
      <c r="M59" s="45">
        <v>3</v>
      </c>
      <c r="N59" s="45" t="s">
        <v>419</v>
      </c>
    </row>
    <row r="60" spans="1:21" x14ac:dyDescent="0.2">
      <c r="A60" s="329" t="s">
        <v>87</v>
      </c>
      <c r="B60" s="45">
        <v>0.25</v>
      </c>
      <c r="C60" s="45" t="s">
        <v>88</v>
      </c>
      <c r="U60" s="160"/>
    </row>
    <row r="61" spans="1:21" x14ac:dyDescent="0.2">
      <c r="A61" s="329" t="s">
        <v>167</v>
      </c>
      <c r="B61" s="45">
        <v>2.7</v>
      </c>
      <c r="C61" s="45" t="s">
        <v>168</v>
      </c>
      <c r="T61" s="111"/>
      <c r="U61" s="160"/>
    </row>
    <row r="62" spans="1:21" x14ac:dyDescent="0.2">
      <c r="L62" s="45" t="s">
        <v>33</v>
      </c>
      <c r="M62" s="45">
        <v>6.4</v>
      </c>
      <c r="N62" s="45" t="s">
        <v>472</v>
      </c>
      <c r="U62" s="160"/>
    </row>
    <row r="63" spans="1:21" x14ac:dyDescent="0.2">
      <c r="A63" s="328" t="s">
        <v>170</v>
      </c>
    </row>
    <row r="64" spans="1:21" x14ac:dyDescent="0.2">
      <c r="A64" s="329" t="s">
        <v>346</v>
      </c>
      <c r="B64" s="45">
        <v>36</v>
      </c>
      <c r="C64" s="45" t="s">
        <v>347</v>
      </c>
      <c r="D64" s="45" t="s">
        <v>348</v>
      </c>
      <c r="L64" s="45" t="s">
        <v>471</v>
      </c>
      <c r="M64" s="45">
        <v>3780</v>
      </c>
      <c r="U64" s="159"/>
    </row>
    <row r="65" spans="1:21" x14ac:dyDescent="0.2">
      <c r="A65" s="329" t="s">
        <v>172</v>
      </c>
      <c r="B65" s="45">
        <v>30</v>
      </c>
      <c r="C65" s="45" t="s">
        <v>271</v>
      </c>
    </row>
    <row r="66" spans="1:21" x14ac:dyDescent="0.2">
      <c r="A66" s="329" t="s">
        <v>478</v>
      </c>
      <c r="B66" s="45">
        <v>15</v>
      </c>
      <c r="C66" s="45" t="s">
        <v>271</v>
      </c>
      <c r="L66" s="5" t="s">
        <v>629</v>
      </c>
      <c r="U66" s="159"/>
    </row>
    <row r="67" spans="1:21" x14ac:dyDescent="0.2">
      <c r="A67" s="329" t="s">
        <v>350</v>
      </c>
      <c r="B67" s="45">
        <v>15</v>
      </c>
      <c r="C67" s="45" t="s">
        <v>271</v>
      </c>
      <c r="L67" s="111" t="s">
        <v>539</v>
      </c>
      <c r="M67" s="434">
        <v>2.5000000000000001E-2</v>
      </c>
      <c r="N67" s="45" t="s">
        <v>634</v>
      </c>
      <c r="S67" s="45" t="s">
        <v>683</v>
      </c>
      <c r="U67" s="159"/>
    </row>
    <row r="68" spans="1:21" x14ac:dyDescent="0.2">
      <c r="A68" s="329" t="s">
        <v>171</v>
      </c>
      <c r="B68" s="45">
        <v>15</v>
      </c>
      <c r="C68" s="45" t="str">
        <f>C65</f>
        <v>peasants</v>
      </c>
      <c r="L68" s="111" t="s">
        <v>541</v>
      </c>
      <c r="M68" s="434">
        <v>0.05</v>
      </c>
      <c r="N68" s="45" t="s">
        <v>635</v>
      </c>
      <c r="S68" s="45" t="s">
        <v>684</v>
      </c>
    </row>
    <row r="69" spans="1:21" x14ac:dyDescent="0.2">
      <c r="A69" s="329" t="s">
        <v>272</v>
      </c>
      <c r="B69" s="45">
        <f>IF(OR(Overview!$B$14="Halfling",Overview!$B$14="Dwarf",Overview!$B$14="Gnome"),10,IF(race="Nomad",25,5))</f>
        <v>5</v>
      </c>
      <c r="L69" s="45" t="s">
        <v>542</v>
      </c>
      <c r="M69" s="2">
        <v>0.05</v>
      </c>
      <c r="N69" s="45" t="s">
        <v>636</v>
      </c>
      <c r="S69" s="45" t="s">
        <v>685</v>
      </c>
    </row>
    <row r="70" spans="1:21" x14ac:dyDescent="0.2">
      <c r="L70" s="45" t="s">
        <v>544</v>
      </c>
      <c r="M70" s="434">
        <v>7.4999999999999997E-2</v>
      </c>
      <c r="N70" s="45" t="s">
        <v>634</v>
      </c>
      <c r="S70" s="45" t="s">
        <v>686</v>
      </c>
      <c r="T70" s="111"/>
      <c r="U70" s="160"/>
    </row>
    <row r="71" spans="1:21" x14ac:dyDescent="0.2">
      <c r="A71" s="343" t="s">
        <v>273</v>
      </c>
      <c r="L71" s="45" t="s">
        <v>546</v>
      </c>
      <c r="M71" s="434">
        <v>0.02</v>
      </c>
      <c r="N71" s="45" t="s">
        <v>637</v>
      </c>
      <c r="S71" s="45" t="s">
        <v>687</v>
      </c>
      <c r="U71" s="160"/>
    </row>
    <row r="72" spans="1:21" x14ac:dyDescent="0.2">
      <c r="A72" s="329" t="str">
        <f>CONCATENATE("Your race is ",Overview!B14)</f>
        <v>Your race is Human</v>
      </c>
      <c r="L72" s="45" t="s">
        <v>547</v>
      </c>
      <c r="M72" s="2">
        <v>0.05</v>
      </c>
      <c r="N72" s="45" t="s">
        <v>672</v>
      </c>
      <c r="S72" s="111" t="s">
        <v>698</v>
      </c>
      <c r="T72" s="111"/>
      <c r="U72" s="159"/>
    </row>
    <row r="73" spans="1:21" x14ac:dyDescent="0.2">
      <c r="L73" s="45" t="s">
        <v>548</v>
      </c>
      <c r="M73" s="2">
        <v>0.1</v>
      </c>
      <c r="N73" s="45" t="s">
        <v>753</v>
      </c>
      <c r="S73" s="111" t="s">
        <v>727</v>
      </c>
      <c r="T73" s="111"/>
      <c r="U73" s="159"/>
    </row>
    <row r="74" spans="1:21" x14ac:dyDescent="0.2">
      <c r="A74" s="328" t="s">
        <v>203</v>
      </c>
      <c r="B74" s="45" t="s">
        <v>274</v>
      </c>
      <c r="F74" s="45" t="s">
        <v>208</v>
      </c>
      <c r="L74" s="45" t="s">
        <v>549</v>
      </c>
      <c r="M74" s="2">
        <v>-0.1</v>
      </c>
      <c r="N74" s="45" t="s">
        <v>670</v>
      </c>
      <c r="O74" s="45" t="s">
        <v>640</v>
      </c>
      <c r="S74" s="111" t="s">
        <v>690</v>
      </c>
      <c r="T74" s="111"/>
      <c r="U74" s="159"/>
    </row>
    <row r="75" spans="1:21" x14ac:dyDescent="0.2">
      <c r="A75" s="329" t="s">
        <v>198</v>
      </c>
      <c r="B75" s="45">
        <v>2</v>
      </c>
      <c r="C75" s="45" t="s">
        <v>204</v>
      </c>
      <c r="D75" s="342"/>
      <c r="F75" s="342">
        <v>0.1</v>
      </c>
      <c r="G75" s="45" t="s">
        <v>107</v>
      </c>
      <c r="L75" s="45" t="s">
        <v>550</v>
      </c>
      <c r="M75" s="2">
        <v>-0.05</v>
      </c>
      <c r="N75" s="45" t="s">
        <v>677</v>
      </c>
      <c r="O75" s="159">
        <v>-0.15</v>
      </c>
      <c r="P75" s="45" t="s">
        <v>655</v>
      </c>
      <c r="S75" s="111" t="s">
        <v>709</v>
      </c>
      <c r="T75" s="111"/>
      <c r="U75" s="160"/>
    </row>
    <row r="76" spans="1:21" x14ac:dyDescent="0.2">
      <c r="A76" s="329" t="s">
        <v>199</v>
      </c>
      <c r="B76" s="45">
        <v>2</v>
      </c>
      <c r="C76" s="45" t="s">
        <v>204</v>
      </c>
      <c r="D76" s="342"/>
      <c r="F76" s="342">
        <v>0.1</v>
      </c>
      <c r="G76" s="45" t="s">
        <v>110</v>
      </c>
      <c r="L76" s="45" t="s">
        <v>552</v>
      </c>
      <c r="M76" s="434">
        <v>-2.5000000000000001E-2</v>
      </c>
      <c r="N76" s="45" t="s">
        <v>641</v>
      </c>
      <c r="S76" s="111" t="s">
        <v>691</v>
      </c>
      <c r="T76" s="111"/>
      <c r="U76" s="159"/>
    </row>
    <row r="77" spans="1:21" x14ac:dyDescent="0.2">
      <c r="A77" s="329" t="s">
        <v>205</v>
      </c>
      <c r="B77" s="45">
        <v>2.5</v>
      </c>
      <c r="C77" s="45" t="s">
        <v>204</v>
      </c>
      <c r="D77" s="342"/>
      <c r="F77" s="342">
        <v>0.1</v>
      </c>
      <c r="G77" s="45" t="s">
        <v>32</v>
      </c>
      <c r="L77" s="45" t="s">
        <v>554</v>
      </c>
      <c r="M77" s="2">
        <v>-0.1</v>
      </c>
      <c r="N77" s="45" t="s">
        <v>754</v>
      </c>
      <c r="S77" s="111" t="s">
        <v>1067</v>
      </c>
      <c r="T77" s="111"/>
    </row>
    <row r="78" spans="1:21" x14ac:dyDescent="0.2">
      <c r="A78" s="329" t="s">
        <v>202</v>
      </c>
      <c r="B78" s="45">
        <v>2.5</v>
      </c>
      <c r="C78" s="45" t="s">
        <v>204</v>
      </c>
      <c r="D78" s="342"/>
      <c r="F78" s="342">
        <v>0.5</v>
      </c>
      <c r="G78" s="45" t="s">
        <v>209</v>
      </c>
      <c r="M78"/>
      <c r="S78" s="111"/>
      <c r="T78" s="111"/>
    </row>
    <row r="79" spans="1:21" x14ac:dyDescent="0.2">
      <c r="A79" s="329" t="s">
        <v>206</v>
      </c>
      <c r="B79" s="45">
        <v>2.5</v>
      </c>
      <c r="C79" s="45" t="s">
        <v>204</v>
      </c>
      <c r="D79" s="342"/>
      <c r="F79" s="342">
        <v>0.1</v>
      </c>
      <c r="G79" s="45" t="s">
        <v>106</v>
      </c>
      <c r="L79" s="45" t="s">
        <v>555</v>
      </c>
      <c r="M79" s="434">
        <v>-0.1</v>
      </c>
      <c r="N79" s="45" t="s">
        <v>643</v>
      </c>
      <c r="S79" s="111" t="s">
        <v>693</v>
      </c>
      <c r="T79" s="111"/>
      <c r="U79" s="160"/>
    </row>
    <row r="80" spans="1:21" x14ac:dyDescent="0.2">
      <c r="A80" s="329" t="s">
        <v>531</v>
      </c>
      <c r="B80" s="45">
        <v>5</v>
      </c>
      <c r="C80" s="45" t="s">
        <v>204</v>
      </c>
      <c r="D80" s="342"/>
      <c r="F80" s="342">
        <v>0.2</v>
      </c>
      <c r="G80" s="45" t="s">
        <v>110</v>
      </c>
      <c r="H80" s="45" t="s">
        <v>248</v>
      </c>
      <c r="L80" s="45" t="s">
        <v>556</v>
      </c>
      <c r="M80" s="2">
        <v>0.15</v>
      </c>
      <c r="N80" s="45" t="s">
        <v>644</v>
      </c>
      <c r="S80" s="111" t="s">
        <v>694</v>
      </c>
      <c r="T80" s="111"/>
      <c r="U80" s="159"/>
    </row>
    <row r="81" spans="1:23" x14ac:dyDescent="0.2">
      <c r="A81" s="329" t="s">
        <v>532</v>
      </c>
      <c r="B81" s="45">
        <v>5</v>
      </c>
      <c r="C81" s="45" t="s">
        <v>204</v>
      </c>
      <c r="D81" s="342"/>
      <c r="F81" s="342">
        <v>0.3</v>
      </c>
      <c r="G81" s="45" t="s">
        <v>533</v>
      </c>
      <c r="L81" s="45" t="s">
        <v>557</v>
      </c>
      <c r="M81" s="2">
        <v>-0.1</v>
      </c>
      <c r="N81" s="45" t="s">
        <v>645</v>
      </c>
      <c r="S81" s="111" t="s">
        <v>695</v>
      </c>
      <c r="T81" s="111"/>
      <c r="U81" s="159"/>
    </row>
    <row r="82" spans="1:23" x14ac:dyDescent="0.2">
      <c r="A82" s="329" t="s">
        <v>263</v>
      </c>
      <c r="B82" s="45">
        <f>B80</f>
        <v>5</v>
      </c>
      <c r="C82" s="45" t="str">
        <f>C80</f>
        <v>* Landsize</v>
      </c>
      <c r="D82" s="159"/>
      <c r="F82" s="342">
        <v>0.2</v>
      </c>
      <c r="G82" s="45" t="s">
        <v>32</v>
      </c>
      <c r="H82" s="45" t="s">
        <v>260</v>
      </c>
      <c r="L82" s="45" t="s">
        <v>559</v>
      </c>
      <c r="M82" s="2">
        <v>-0.2</v>
      </c>
      <c r="N82" s="45" t="s">
        <v>646</v>
      </c>
      <c r="O82" s="167">
        <v>0.1</v>
      </c>
      <c r="P82" s="5" t="s">
        <v>1103</v>
      </c>
      <c r="S82" s="111" t="s">
        <v>696</v>
      </c>
      <c r="T82" s="111"/>
      <c r="U82" s="159"/>
    </row>
    <row r="83" spans="1:23" x14ac:dyDescent="0.2">
      <c r="A83" s="329" t="s">
        <v>262</v>
      </c>
      <c r="B83" s="45">
        <f>B80</f>
        <v>5</v>
      </c>
      <c r="C83" s="45" t="str">
        <f>C80</f>
        <v>* Landsize</v>
      </c>
      <c r="D83" s="159"/>
      <c r="F83" s="342">
        <v>0.1</v>
      </c>
      <c r="G83" s="45" t="s">
        <v>31</v>
      </c>
      <c r="L83" s="45" t="s">
        <v>560</v>
      </c>
      <c r="M83" s="2">
        <v>0.01</v>
      </c>
      <c r="N83" s="45" t="s">
        <v>647</v>
      </c>
      <c r="O83" s="45" t="s">
        <v>640</v>
      </c>
      <c r="S83" s="111" t="s">
        <v>697</v>
      </c>
      <c r="T83" s="111"/>
      <c r="U83" s="159"/>
    </row>
    <row r="84" spans="1:23" x14ac:dyDescent="0.2">
      <c r="A84" s="329" t="s">
        <v>300</v>
      </c>
      <c r="B84" s="45">
        <v>5</v>
      </c>
      <c r="C84" s="45" t="str">
        <f t="shared" ref="C84:C90" si="0">C83</f>
        <v>* Landsize</v>
      </c>
      <c r="D84" s="159"/>
      <c r="F84" s="159">
        <v>0.2</v>
      </c>
      <c r="G84" s="45" t="s">
        <v>107</v>
      </c>
      <c r="H84" s="159">
        <v>0.1</v>
      </c>
      <c r="I84" s="45" t="s">
        <v>108</v>
      </c>
      <c r="L84" s="45" t="s">
        <v>561</v>
      </c>
      <c r="M84" s="29">
        <v>-2.5000000000000001E-2</v>
      </c>
      <c r="N84" s="45" t="s">
        <v>639</v>
      </c>
      <c r="O84" s="160">
        <v>-0.05</v>
      </c>
      <c r="P84" s="45" t="s">
        <v>755</v>
      </c>
      <c r="S84" s="111" t="s">
        <v>689</v>
      </c>
      <c r="T84" s="111"/>
    </row>
    <row r="85" spans="1:23" x14ac:dyDescent="0.2">
      <c r="A85" s="329" t="s">
        <v>337</v>
      </c>
      <c r="B85" s="45">
        <f>B84</f>
        <v>5</v>
      </c>
      <c r="C85" s="45" t="str">
        <f t="shared" si="0"/>
        <v>* Landsize</v>
      </c>
      <c r="D85" s="159"/>
      <c r="F85" s="159">
        <v>0.1</v>
      </c>
      <c r="G85" s="45" t="s">
        <v>31</v>
      </c>
      <c r="H85" s="159">
        <v>0.1</v>
      </c>
      <c r="I85" s="45" t="s">
        <v>32</v>
      </c>
      <c r="L85" s="45" t="s">
        <v>563</v>
      </c>
      <c r="M85">
        <v>1.25</v>
      </c>
      <c r="N85" s="45" t="s">
        <v>674</v>
      </c>
      <c r="S85" s="111" t="s">
        <v>716</v>
      </c>
      <c r="T85" s="111"/>
      <c r="U85" s="160"/>
    </row>
    <row r="86" spans="1:23" x14ac:dyDescent="0.2">
      <c r="A86" s="329" t="s">
        <v>336</v>
      </c>
      <c r="B86" s="45">
        <f>B85</f>
        <v>5</v>
      </c>
      <c r="C86" s="45" t="str">
        <f t="shared" si="0"/>
        <v>* Landsize</v>
      </c>
      <c r="D86" s="159"/>
      <c r="F86" s="159">
        <v>0.15</v>
      </c>
      <c r="G86" s="45" t="s">
        <v>32</v>
      </c>
      <c r="H86" s="159" t="s">
        <v>338</v>
      </c>
      <c r="L86" s="45" t="s">
        <v>565</v>
      </c>
      <c r="M86" s="2">
        <v>-0.15</v>
      </c>
      <c r="N86" s="45" t="s">
        <v>643</v>
      </c>
      <c r="S86" s="111" t="s">
        <v>700</v>
      </c>
      <c r="T86" s="111"/>
      <c r="U86" s="159"/>
    </row>
    <row r="87" spans="1:23" x14ac:dyDescent="0.2">
      <c r="A87" s="329" t="s">
        <v>343</v>
      </c>
      <c r="B87" s="45">
        <v>5</v>
      </c>
      <c r="C87" s="344" t="str">
        <f t="shared" si="0"/>
        <v>* Landsize</v>
      </c>
      <c r="D87" s="159"/>
      <c r="F87" s="262">
        <v>15</v>
      </c>
      <c r="G87" s="45" t="s">
        <v>344</v>
      </c>
      <c r="H87" s="159"/>
      <c r="L87" s="45" t="s">
        <v>566</v>
      </c>
      <c r="M87" s="434">
        <v>-2.5000000000000001E-2</v>
      </c>
      <c r="N87" s="45" t="s">
        <v>639</v>
      </c>
      <c r="O87" s="45">
        <v>-1</v>
      </c>
      <c r="P87" s="45" t="s">
        <v>671</v>
      </c>
      <c r="S87" s="111" t="s">
        <v>701</v>
      </c>
      <c r="T87" s="111"/>
      <c r="U87" s="159"/>
    </row>
    <row r="88" spans="1:23" x14ac:dyDescent="0.2">
      <c r="A88" s="329" t="s">
        <v>427</v>
      </c>
      <c r="B88" s="45">
        <v>5</v>
      </c>
      <c r="C88" s="45" t="str">
        <f t="shared" si="0"/>
        <v>* Landsize</v>
      </c>
      <c r="D88" s="159"/>
      <c r="F88" s="121">
        <v>0.05</v>
      </c>
      <c r="G88" s="45" t="s">
        <v>31</v>
      </c>
      <c r="L88" s="45" t="s">
        <v>567</v>
      </c>
      <c r="M88" s="434">
        <v>-2.5000000000000001E-2</v>
      </c>
      <c r="N88" s="45" t="s">
        <v>645</v>
      </c>
      <c r="S88" s="111" t="s">
        <v>702</v>
      </c>
      <c r="T88" s="111"/>
      <c r="U88" s="160"/>
    </row>
    <row r="89" spans="1:23" x14ac:dyDescent="0.2">
      <c r="A89" s="329" t="s">
        <v>1085</v>
      </c>
      <c r="B89" s="45">
        <v>5</v>
      </c>
      <c r="C89" s="45" t="str">
        <f t="shared" si="0"/>
        <v>* Landsize</v>
      </c>
      <c r="D89" s="121">
        <v>0.01</v>
      </c>
      <c r="E89" s="45" t="s">
        <v>360</v>
      </c>
      <c r="F89" s="159">
        <v>0.1</v>
      </c>
      <c r="G89" s="45" t="s">
        <v>1087</v>
      </c>
      <c r="M89"/>
      <c r="S89" s="111"/>
      <c r="T89" s="111"/>
    </row>
    <row r="90" spans="1:23" x14ac:dyDescent="0.2">
      <c r="A90" s="329" t="s">
        <v>1092</v>
      </c>
      <c r="B90" s="45">
        <v>5</v>
      </c>
      <c r="C90" s="45" t="str">
        <f t="shared" si="0"/>
        <v>* Landsize</v>
      </c>
      <c r="F90" s="159">
        <v>0.15</v>
      </c>
      <c r="G90" s="45" t="s">
        <v>106</v>
      </c>
      <c r="L90" s="45" t="s">
        <v>569</v>
      </c>
      <c r="M90" s="2">
        <v>0.05</v>
      </c>
      <c r="N90" s="45" t="s">
        <v>648</v>
      </c>
      <c r="S90" s="111" t="s">
        <v>703</v>
      </c>
      <c r="T90" s="111"/>
    </row>
    <row r="91" spans="1:23" x14ac:dyDescent="0.2">
      <c r="L91" s="45" t="s">
        <v>571</v>
      </c>
      <c r="M91" s="434">
        <v>2.5000000000000001E-2</v>
      </c>
      <c r="N91" s="45" t="s">
        <v>650</v>
      </c>
      <c r="S91" s="111" t="s">
        <v>704</v>
      </c>
      <c r="T91" s="111"/>
      <c r="U91" s="160"/>
    </row>
    <row r="92" spans="1:23" x14ac:dyDescent="0.2">
      <c r="A92" s="328" t="s">
        <v>82</v>
      </c>
      <c r="L92" s="45" t="s">
        <v>573</v>
      </c>
      <c r="M92" s="434">
        <v>7.4999999999999997E-2</v>
      </c>
      <c r="N92" s="45" t="s">
        <v>651</v>
      </c>
      <c r="O92" s="121">
        <v>0.25</v>
      </c>
      <c r="P92" s="45" t="s">
        <v>652</v>
      </c>
      <c r="S92" s="111" t="s">
        <v>705</v>
      </c>
      <c r="T92" s="111"/>
      <c r="U92" s="160"/>
      <c r="W92" s="159"/>
    </row>
    <row r="93" spans="1:23" x14ac:dyDescent="0.2">
      <c r="A93" s="329" t="s">
        <v>270</v>
      </c>
      <c r="B93" s="45">
        <f>IF(Overview!$B$14="Kobold",40,30)</f>
        <v>30</v>
      </c>
      <c r="C93" s="45" t="s">
        <v>241</v>
      </c>
      <c r="L93" s="45" t="s">
        <v>574</v>
      </c>
      <c r="M93" s="434">
        <v>0.1</v>
      </c>
      <c r="N93" s="45" t="s">
        <v>635</v>
      </c>
      <c r="O93" s="159">
        <v>0.05</v>
      </c>
      <c r="P93" s="45" t="s">
        <v>653</v>
      </c>
      <c r="S93" s="111" t="s">
        <v>706</v>
      </c>
      <c r="T93" s="111"/>
      <c r="U93" s="160"/>
      <c r="W93" s="159"/>
    </row>
    <row r="94" spans="1:23" x14ac:dyDescent="0.2">
      <c r="L94" s="45" t="s">
        <v>575</v>
      </c>
      <c r="M94" s="434">
        <v>-1.7500000000000002E-2</v>
      </c>
      <c r="N94" s="45" t="s">
        <v>638</v>
      </c>
      <c r="S94" s="111" t="s">
        <v>688</v>
      </c>
      <c r="T94" s="111"/>
    </row>
    <row r="95" spans="1:23" x14ac:dyDescent="0.2">
      <c r="A95" s="328" t="s">
        <v>353</v>
      </c>
      <c r="L95" s="45" t="s">
        <v>576</v>
      </c>
      <c r="M95" s="434">
        <v>1.4999999999999999E-2</v>
      </c>
      <c r="N95" s="45" t="s">
        <v>649</v>
      </c>
      <c r="S95" s="111" t="s">
        <v>699</v>
      </c>
      <c r="T95" s="111"/>
      <c r="U95" s="159"/>
    </row>
    <row r="96" spans="1:23" x14ac:dyDescent="0.2">
      <c r="A96" s="329" t="s">
        <v>505</v>
      </c>
      <c r="B96" s="45">
        <v>250</v>
      </c>
      <c r="L96" s="45" t="s">
        <v>577</v>
      </c>
      <c r="M96" s="434">
        <v>-7.4999999999999997E-2</v>
      </c>
      <c r="N96" s="45" t="s">
        <v>639</v>
      </c>
      <c r="O96" s="45">
        <v>-2</v>
      </c>
      <c r="P96" s="45" t="s">
        <v>671</v>
      </c>
      <c r="S96" s="111" t="s">
        <v>707</v>
      </c>
      <c r="T96" s="111"/>
      <c r="U96" s="160"/>
    </row>
    <row r="97" spans="1:23" x14ac:dyDescent="0.2">
      <c r="A97" s="329" t="s">
        <v>506</v>
      </c>
      <c r="B97" s="159">
        <v>0.01</v>
      </c>
      <c r="L97" s="45" t="s">
        <v>578</v>
      </c>
      <c r="M97" s="2">
        <v>-0.5</v>
      </c>
      <c r="N97" s="45" t="s">
        <v>654</v>
      </c>
      <c r="S97" s="111" t="s">
        <v>708</v>
      </c>
      <c r="T97" s="111"/>
      <c r="U97" s="159"/>
    </row>
    <row r="98" spans="1:23" x14ac:dyDescent="0.2">
      <c r="A98" s="329" t="s">
        <v>507</v>
      </c>
      <c r="B98" s="159">
        <v>0.01</v>
      </c>
      <c r="L98" s="45" t="s">
        <v>580</v>
      </c>
      <c r="M98" s="2">
        <v>-0.1</v>
      </c>
      <c r="N98" s="45" t="s">
        <v>642</v>
      </c>
      <c r="S98" s="111" t="s">
        <v>692</v>
      </c>
      <c r="T98" s="111"/>
      <c r="U98" s="159"/>
      <c r="W98" s="159"/>
    </row>
    <row r="99" spans="1:23" x14ac:dyDescent="0.2">
      <c r="A99" s="329" t="s">
        <v>508</v>
      </c>
      <c r="B99" s="159">
        <v>0.01</v>
      </c>
      <c r="M99"/>
      <c r="S99" s="111"/>
      <c r="T99" s="111"/>
    </row>
    <row r="100" spans="1:23" x14ac:dyDescent="0.2">
      <c r="L100" s="45" t="s">
        <v>582</v>
      </c>
      <c r="M100" s="434">
        <v>0.125</v>
      </c>
      <c r="N100" s="45" t="s">
        <v>656</v>
      </c>
      <c r="S100" s="111" t="s">
        <v>710</v>
      </c>
      <c r="T100" s="111"/>
      <c r="U100" s="160"/>
    </row>
    <row r="101" spans="1:23" x14ac:dyDescent="0.2">
      <c r="A101" s="328" t="s">
        <v>458</v>
      </c>
      <c r="L101" s="45" t="s">
        <v>583</v>
      </c>
      <c r="M101"/>
      <c r="N101" s="45" t="s">
        <v>630</v>
      </c>
      <c r="S101" s="111" t="s">
        <v>711</v>
      </c>
      <c r="T101" s="111"/>
    </row>
    <row r="102" spans="1:23" x14ac:dyDescent="0.2">
      <c r="L102" s="45" t="s">
        <v>584</v>
      </c>
      <c r="M102" s="434">
        <v>2.5000000000000001E-2</v>
      </c>
      <c r="N102" s="45" t="s">
        <v>650</v>
      </c>
      <c r="O102" s="160">
        <v>7.4999999999999997E-2</v>
      </c>
      <c r="P102" s="45" t="s">
        <v>648</v>
      </c>
      <c r="S102" s="111" t="s">
        <v>712</v>
      </c>
      <c r="T102" s="111"/>
      <c r="U102" s="160"/>
      <c r="W102" s="160"/>
    </row>
    <row r="103" spans="1:23" x14ac:dyDescent="0.2">
      <c r="A103" s="329" t="s">
        <v>459</v>
      </c>
      <c r="B103" s="45" t="s">
        <v>212</v>
      </c>
      <c r="D103" s="342">
        <v>0.3</v>
      </c>
      <c r="E103" s="45" t="s">
        <v>438</v>
      </c>
      <c r="L103" s="45" t="s">
        <v>585</v>
      </c>
      <c r="M103" s="2">
        <v>0.04</v>
      </c>
      <c r="N103" s="45" t="s">
        <v>637</v>
      </c>
      <c r="S103" s="111" t="s">
        <v>713</v>
      </c>
      <c r="T103" s="111"/>
      <c r="U103" s="159"/>
    </row>
    <row r="104" spans="1:23" x14ac:dyDescent="0.2">
      <c r="B104" s="45" t="s">
        <v>210</v>
      </c>
      <c r="D104" s="342">
        <v>0.2</v>
      </c>
      <c r="E104" s="45" t="s">
        <v>438</v>
      </c>
      <c r="L104" s="45" t="s">
        <v>586</v>
      </c>
      <c r="M104">
        <v>2</v>
      </c>
      <c r="N104" s="45" t="s">
        <v>1102</v>
      </c>
      <c r="S104" s="111" t="s">
        <v>1066</v>
      </c>
      <c r="T104" s="111"/>
      <c r="U104" s="159"/>
    </row>
    <row r="105" spans="1:23" x14ac:dyDescent="0.2">
      <c r="B105" s="45" t="s">
        <v>460</v>
      </c>
      <c r="D105" s="342">
        <v>0.3</v>
      </c>
      <c r="E105" s="45" t="s">
        <v>438</v>
      </c>
      <c r="L105" s="45" t="s">
        <v>587</v>
      </c>
      <c r="M105" s="434">
        <v>-0.1</v>
      </c>
      <c r="N105" s="45" t="s">
        <v>645</v>
      </c>
      <c r="S105" s="111" t="s">
        <v>715</v>
      </c>
      <c r="T105" s="111"/>
      <c r="U105" s="159"/>
    </row>
    <row r="106" spans="1:23" x14ac:dyDescent="0.2">
      <c r="B106" s="45" t="s">
        <v>461</v>
      </c>
      <c r="D106" s="342">
        <v>0.6</v>
      </c>
      <c r="E106" s="45" t="s">
        <v>438</v>
      </c>
      <c r="L106" s="45" t="s">
        <v>589</v>
      </c>
      <c r="M106">
        <v>-1</v>
      </c>
      <c r="N106" s="45" t="s">
        <v>756</v>
      </c>
      <c r="S106" s="111" t="s">
        <v>1068</v>
      </c>
      <c r="T106" s="111"/>
      <c r="U106" s="160"/>
    </row>
    <row r="107" spans="1:23" x14ac:dyDescent="0.2">
      <c r="L107" s="45" t="s">
        <v>590</v>
      </c>
      <c r="M107" s="2">
        <v>-0.2</v>
      </c>
      <c r="N107" s="45" t="s">
        <v>657</v>
      </c>
      <c r="S107" s="111" t="s">
        <v>714</v>
      </c>
      <c r="T107" s="111"/>
    </row>
    <row r="108" spans="1:23" x14ac:dyDescent="0.2">
      <c r="A108" s="329" t="s">
        <v>462</v>
      </c>
      <c r="B108" s="45" t="s">
        <v>212</v>
      </c>
      <c r="D108" s="45">
        <v>4000</v>
      </c>
      <c r="E108" s="45" t="s">
        <v>509</v>
      </c>
      <c r="M108"/>
    </row>
    <row r="109" spans="1:23" x14ac:dyDescent="0.2">
      <c r="B109" s="45" t="s">
        <v>210</v>
      </c>
      <c r="D109" s="45">
        <v>4000</v>
      </c>
      <c r="E109" s="45" t="s">
        <v>509</v>
      </c>
      <c r="L109" s="45" t="s">
        <v>591</v>
      </c>
      <c r="M109" s="434">
        <v>2.5000000000000001E-2</v>
      </c>
      <c r="N109" s="45" t="s">
        <v>1072</v>
      </c>
      <c r="O109" s="45" t="s">
        <v>659</v>
      </c>
      <c r="S109" s="111" t="s">
        <v>718</v>
      </c>
      <c r="T109" s="111"/>
      <c r="U109" s="159"/>
      <c r="W109" s="159"/>
    </row>
    <row r="110" spans="1:23" x14ac:dyDescent="0.2">
      <c r="B110" s="45" t="s">
        <v>460</v>
      </c>
      <c r="D110" s="45">
        <v>7500</v>
      </c>
      <c r="E110" s="45" t="s">
        <v>509</v>
      </c>
      <c r="L110" s="45" t="s">
        <v>592</v>
      </c>
      <c r="M110" s="2">
        <v>-0.2</v>
      </c>
      <c r="N110" s="45" t="s">
        <v>675</v>
      </c>
      <c r="O110" s="159">
        <v>-0.2</v>
      </c>
      <c r="P110" s="45" t="s">
        <v>658</v>
      </c>
      <c r="Q110" s="5"/>
      <c r="R110" s="5"/>
      <c r="S110" s="111" t="s">
        <v>717</v>
      </c>
      <c r="T110" s="111"/>
    </row>
    <row r="111" spans="1:23" x14ac:dyDescent="0.2">
      <c r="B111" s="45" t="s">
        <v>529</v>
      </c>
      <c r="D111" s="45">
        <v>5000</v>
      </c>
      <c r="E111" s="45" t="s">
        <v>509</v>
      </c>
      <c r="L111" s="45" t="s">
        <v>593</v>
      </c>
      <c r="M111" s="434">
        <v>-1.7500000000000002E-2</v>
      </c>
      <c r="N111" s="45" t="s">
        <v>638</v>
      </c>
      <c r="S111" s="111" t="s">
        <v>719</v>
      </c>
      <c r="T111" s="111"/>
      <c r="U111" s="159"/>
    </row>
    <row r="112" spans="1:23" x14ac:dyDescent="0.2">
      <c r="B112" s="45" t="s">
        <v>213</v>
      </c>
      <c r="D112" s="45">
        <v>5000</v>
      </c>
      <c r="E112" s="45" t="s">
        <v>509</v>
      </c>
      <c r="L112" s="45" t="s">
        <v>594</v>
      </c>
      <c r="M112" s="434">
        <v>2.5000000000000001E-2</v>
      </c>
      <c r="N112" s="45" t="s">
        <v>667</v>
      </c>
      <c r="O112" s="160">
        <v>7.4999999999999997E-2</v>
      </c>
      <c r="P112" s="45" t="s">
        <v>660</v>
      </c>
      <c r="S112" s="111" t="s">
        <v>720</v>
      </c>
      <c r="T112" s="111"/>
      <c r="U112" s="160"/>
      <c r="W112" s="160"/>
    </row>
    <row r="113" spans="1:23" x14ac:dyDescent="0.2">
      <c r="L113" s="45" t="s">
        <v>595</v>
      </c>
      <c r="M113" s="434">
        <v>-1.7500000000000002E-2</v>
      </c>
      <c r="N113" s="45" t="s">
        <v>638</v>
      </c>
      <c r="S113" s="111" t="s">
        <v>721</v>
      </c>
      <c r="T113" s="111"/>
      <c r="U113" s="159"/>
    </row>
    <row r="114" spans="1:23" x14ac:dyDescent="0.2">
      <c r="A114" s="328" t="s">
        <v>463</v>
      </c>
      <c r="F114" s="45" t="s">
        <v>465</v>
      </c>
      <c r="L114" s="45" t="s">
        <v>596</v>
      </c>
      <c r="M114">
        <v>1</v>
      </c>
      <c r="N114" s="45" t="s">
        <v>673</v>
      </c>
      <c r="S114" s="111" t="s">
        <v>395</v>
      </c>
      <c r="T114" s="111"/>
      <c r="U114" s="159"/>
      <c r="W114" s="159"/>
    </row>
    <row r="115" spans="1:23" x14ac:dyDescent="0.2">
      <c r="A115" s="329" t="s">
        <v>125</v>
      </c>
      <c r="B115" s="253"/>
      <c r="C115" s="345">
        <v>0.2</v>
      </c>
      <c r="D115" s="45" t="s">
        <v>469</v>
      </c>
      <c r="F115" s="180">
        <v>4.5</v>
      </c>
      <c r="L115" s="45" t="s">
        <v>597</v>
      </c>
      <c r="M115" s="2">
        <v>-0.01</v>
      </c>
      <c r="N115" s="45" t="s">
        <v>661</v>
      </c>
      <c r="S115" s="111" t="s">
        <v>723</v>
      </c>
      <c r="T115" s="111"/>
      <c r="U115" s="159"/>
    </row>
    <row r="116" spans="1:23" x14ac:dyDescent="0.2">
      <c r="A116" s="329" t="s">
        <v>126</v>
      </c>
      <c r="B116" s="119" t="s">
        <v>295</v>
      </c>
      <c r="C116" s="345">
        <v>0.2</v>
      </c>
      <c r="D116" s="45" t="s">
        <v>469</v>
      </c>
      <c r="F116" s="180">
        <v>4.5</v>
      </c>
      <c r="T116" s="111"/>
    </row>
    <row r="117" spans="1:23" x14ac:dyDescent="0.2">
      <c r="B117" s="45" t="s">
        <v>294</v>
      </c>
      <c r="C117" s="121">
        <v>0.2</v>
      </c>
      <c r="D117" s="45" t="s">
        <v>469</v>
      </c>
      <c r="F117" s="180">
        <v>4.5</v>
      </c>
      <c r="L117" s="45" t="s">
        <v>598</v>
      </c>
      <c r="M117" s="29">
        <v>1.4999999999999999E-2</v>
      </c>
      <c r="N117" s="45" t="s">
        <v>649</v>
      </c>
      <c r="S117" s="111" t="s">
        <v>724</v>
      </c>
      <c r="T117" s="111"/>
      <c r="U117" s="160"/>
    </row>
    <row r="118" spans="1:23" x14ac:dyDescent="0.2">
      <c r="A118" s="329" t="s">
        <v>140</v>
      </c>
      <c r="B118" s="253"/>
      <c r="C118" s="345">
        <v>0.2</v>
      </c>
      <c r="D118" s="45" t="s">
        <v>469</v>
      </c>
      <c r="F118" s="180">
        <v>4</v>
      </c>
      <c r="L118" s="45" t="s">
        <v>599</v>
      </c>
      <c r="M118" s="434">
        <v>2.5000000000000001E-2</v>
      </c>
      <c r="N118" s="45" t="s">
        <v>650</v>
      </c>
      <c r="O118" s="159">
        <v>-0.05</v>
      </c>
      <c r="P118" s="45" t="s">
        <v>662</v>
      </c>
      <c r="S118" s="111" t="s">
        <v>725</v>
      </c>
      <c r="T118" s="111"/>
      <c r="U118" s="160"/>
      <c r="W118" s="159"/>
    </row>
    <row r="119" spans="1:23" x14ac:dyDescent="0.2">
      <c r="A119" s="329" t="s">
        <v>133</v>
      </c>
      <c r="B119" s="253"/>
      <c r="C119" s="345">
        <v>0.2</v>
      </c>
      <c r="D119" s="45" t="s">
        <v>470</v>
      </c>
      <c r="F119" s="180">
        <v>2</v>
      </c>
      <c r="L119" s="45" t="s">
        <v>601</v>
      </c>
      <c r="M119" s="2">
        <v>-0.05</v>
      </c>
      <c r="N119" s="45" t="s">
        <v>645</v>
      </c>
      <c r="O119" s="159">
        <v>-0.1</v>
      </c>
      <c r="P119" s="45" t="s">
        <v>658</v>
      </c>
      <c r="Q119" s="45">
        <v>5</v>
      </c>
      <c r="R119" s="45" t="s">
        <v>678</v>
      </c>
      <c r="S119" s="111" t="s">
        <v>1069</v>
      </c>
      <c r="T119" s="111"/>
      <c r="U119" s="159"/>
      <c r="W119" s="159"/>
    </row>
    <row r="120" spans="1:23" x14ac:dyDescent="0.2">
      <c r="A120" s="329" t="s">
        <v>1077</v>
      </c>
      <c r="B120" s="119" t="s">
        <v>295</v>
      </c>
      <c r="C120" s="345">
        <v>0.1</v>
      </c>
      <c r="D120" s="45" t="s">
        <v>298</v>
      </c>
      <c r="F120" s="180">
        <v>0</v>
      </c>
      <c r="L120" s="45" t="s">
        <v>602</v>
      </c>
      <c r="M120" s="434">
        <v>-0.125</v>
      </c>
      <c r="N120" s="45" t="s">
        <v>663</v>
      </c>
      <c r="S120" s="111" t="s">
        <v>726</v>
      </c>
      <c r="T120" s="111"/>
      <c r="U120" s="160"/>
    </row>
    <row r="121" spans="1:23" x14ac:dyDescent="0.2">
      <c r="B121" s="45" t="s">
        <v>294</v>
      </c>
      <c r="C121" s="346">
        <v>0.1</v>
      </c>
      <c r="D121" s="45" t="s">
        <v>298</v>
      </c>
      <c r="F121" s="180">
        <v>0</v>
      </c>
      <c r="L121" s="45" t="s">
        <v>604</v>
      </c>
      <c r="M121" s="434">
        <v>0.01</v>
      </c>
      <c r="N121" s="45" t="s">
        <v>649</v>
      </c>
      <c r="O121" s="5"/>
      <c r="P121" s="5"/>
      <c r="S121" s="111" t="s">
        <v>722</v>
      </c>
      <c r="T121" s="111"/>
      <c r="U121" s="159"/>
    </row>
    <row r="122" spans="1:23" x14ac:dyDescent="0.2">
      <c r="A122" s="329" t="s">
        <v>464</v>
      </c>
      <c r="B122" s="253"/>
      <c r="C122" s="345">
        <v>0.2</v>
      </c>
      <c r="D122" s="45" t="s">
        <v>470</v>
      </c>
      <c r="F122" s="180">
        <v>3</v>
      </c>
      <c r="L122" s="45" t="s">
        <v>605</v>
      </c>
      <c r="M122" s="29">
        <v>7.4999999999999997E-2</v>
      </c>
      <c r="N122" s="45" t="s">
        <v>676</v>
      </c>
      <c r="O122" s="159">
        <v>-0.05</v>
      </c>
      <c r="P122" s="45" t="s">
        <v>664</v>
      </c>
      <c r="S122" s="111" t="s">
        <v>728</v>
      </c>
      <c r="T122" s="111"/>
      <c r="U122" s="159"/>
      <c r="W122" s="159"/>
    </row>
    <row r="123" spans="1:23" x14ac:dyDescent="0.2">
      <c r="A123" s="329" t="s">
        <v>335</v>
      </c>
      <c r="C123" s="180">
        <v>1</v>
      </c>
      <c r="D123" s="45" t="s">
        <v>466</v>
      </c>
      <c r="F123" s="180">
        <v>3</v>
      </c>
      <c r="M123"/>
      <c r="S123" s="111"/>
      <c r="T123" s="111"/>
    </row>
    <row r="124" spans="1:23" x14ac:dyDescent="0.2">
      <c r="A124" s="329" t="s">
        <v>376</v>
      </c>
      <c r="B124" s="180" t="s">
        <v>468</v>
      </c>
      <c r="C124" s="119">
        <v>500</v>
      </c>
      <c r="D124" s="45" t="s">
        <v>467</v>
      </c>
      <c r="F124" s="180">
        <v>0</v>
      </c>
      <c r="L124" s="45" t="s">
        <v>606</v>
      </c>
      <c r="M124" s="2">
        <v>0.3</v>
      </c>
      <c r="N124" s="45" t="s">
        <v>665</v>
      </c>
      <c r="S124" s="111" t="s">
        <v>729</v>
      </c>
      <c r="T124" s="111"/>
      <c r="U124" s="159"/>
    </row>
    <row r="125" spans="1:23" x14ac:dyDescent="0.2">
      <c r="A125" s="329" t="s">
        <v>359</v>
      </c>
      <c r="B125" s="180" t="s">
        <v>468</v>
      </c>
      <c r="C125" s="119">
        <v>300</v>
      </c>
      <c r="D125" s="45" t="s">
        <v>467</v>
      </c>
      <c r="F125" s="180">
        <v>3</v>
      </c>
      <c r="L125" s="45" t="s">
        <v>608</v>
      </c>
      <c r="M125">
        <v>1.25</v>
      </c>
      <c r="N125" s="45" t="s">
        <v>680</v>
      </c>
      <c r="S125" s="111" t="s">
        <v>733</v>
      </c>
      <c r="T125" s="111"/>
      <c r="U125" s="159"/>
    </row>
    <row r="126" spans="1:23" x14ac:dyDescent="0.2">
      <c r="A126" s="329" t="s">
        <v>425</v>
      </c>
      <c r="B126" s="253"/>
      <c r="C126" s="121">
        <v>0.1</v>
      </c>
      <c r="D126" s="45" t="s">
        <v>500</v>
      </c>
      <c r="F126" s="180">
        <v>4</v>
      </c>
      <c r="L126" s="45" t="s">
        <v>610</v>
      </c>
      <c r="M126" s="434">
        <v>-7.4999999999999997E-2</v>
      </c>
      <c r="N126" s="45" t="s">
        <v>664</v>
      </c>
      <c r="O126" s="160">
        <v>7.4999999999999997E-3</v>
      </c>
      <c r="P126" s="45" t="s">
        <v>757</v>
      </c>
      <c r="S126" s="111" t="s">
        <v>1070</v>
      </c>
      <c r="T126" s="111"/>
      <c r="U126" s="159"/>
    </row>
    <row r="127" spans="1:23" x14ac:dyDescent="0.2">
      <c r="L127" s="45" t="s">
        <v>611</v>
      </c>
      <c r="M127" s="434">
        <v>2.5000000000000001E-2</v>
      </c>
      <c r="N127" s="45" t="s">
        <v>667</v>
      </c>
      <c r="S127" s="111" t="s">
        <v>731</v>
      </c>
      <c r="T127" s="111"/>
      <c r="U127" s="160"/>
    </row>
    <row r="128" spans="1:23" x14ac:dyDescent="0.2">
      <c r="A128" s="328" t="s">
        <v>266</v>
      </c>
      <c r="L128" s="45" t="s">
        <v>612</v>
      </c>
      <c r="M128" s="434">
        <v>-2.5000000000000001E-2</v>
      </c>
      <c r="N128" s="45" t="s">
        <v>641</v>
      </c>
      <c r="O128" s="5">
        <v>2</v>
      </c>
      <c r="P128" s="5" t="s">
        <v>679</v>
      </c>
      <c r="S128" s="111" t="s">
        <v>732</v>
      </c>
      <c r="T128" s="111"/>
      <c r="U128" s="160"/>
    </row>
    <row r="129" spans="1:23" x14ac:dyDescent="0.2">
      <c r="A129" s="329" t="s">
        <v>481</v>
      </c>
      <c r="B129" s="45">
        <v>20</v>
      </c>
      <c r="M129"/>
      <c r="S129" s="111"/>
      <c r="T129" s="111"/>
    </row>
    <row r="130" spans="1:23" x14ac:dyDescent="0.2">
      <c r="A130" s="329" t="s">
        <v>479</v>
      </c>
      <c r="B130" s="45">
        <v>0</v>
      </c>
      <c r="C130" s="45" t="s">
        <v>480</v>
      </c>
      <c r="L130" s="45" t="s">
        <v>614</v>
      </c>
      <c r="M130" s="2">
        <v>0.6</v>
      </c>
      <c r="N130" s="45" t="s">
        <v>758</v>
      </c>
      <c r="S130" s="111" t="s">
        <v>1071</v>
      </c>
      <c r="T130" s="111"/>
    </row>
    <row r="131" spans="1:23" x14ac:dyDescent="0.2">
      <c r="L131" s="45" t="s">
        <v>615</v>
      </c>
      <c r="M131" s="434">
        <v>-7.4999999999999997E-2</v>
      </c>
      <c r="N131" s="45" t="s">
        <v>664</v>
      </c>
      <c r="S131" s="111" t="s">
        <v>734</v>
      </c>
      <c r="T131" s="111"/>
      <c r="U131" s="160"/>
    </row>
    <row r="132" spans="1:23" x14ac:dyDescent="0.2">
      <c r="A132" s="328" t="s">
        <v>759</v>
      </c>
      <c r="L132" s="45" t="s">
        <v>617</v>
      </c>
      <c r="M132">
        <v>2</v>
      </c>
      <c r="N132" s="45" t="s">
        <v>681</v>
      </c>
      <c r="S132" s="111" t="s">
        <v>735</v>
      </c>
      <c r="T132" s="111"/>
    </row>
    <row r="133" spans="1:23" x14ac:dyDescent="0.2">
      <c r="A133" s="329" t="s">
        <v>89</v>
      </c>
      <c r="B133" s="45" t="s">
        <v>3</v>
      </c>
      <c r="L133" s="45" t="s">
        <v>619</v>
      </c>
      <c r="M133" s="2">
        <v>0.3</v>
      </c>
      <c r="N133" s="45" t="s">
        <v>668</v>
      </c>
      <c r="S133" s="111" t="s">
        <v>736</v>
      </c>
      <c r="T133" s="111"/>
      <c r="U133" s="159"/>
    </row>
    <row r="134" spans="1:23" x14ac:dyDescent="0.2">
      <c r="A134" s="329" t="s">
        <v>90</v>
      </c>
      <c r="B134" s="45" t="s">
        <v>3</v>
      </c>
      <c r="M134"/>
      <c r="S134" s="111"/>
      <c r="T134" s="111"/>
    </row>
    <row r="135" spans="1:23" x14ac:dyDescent="0.2">
      <c r="A135" s="329" t="s">
        <v>91</v>
      </c>
      <c r="B135" s="45" t="s">
        <v>3</v>
      </c>
      <c r="L135" s="45" t="s">
        <v>620</v>
      </c>
      <c r="M135" s="2">
        <v>-0.15</v>
      </c>
      <c r="N135" s="45" t="s">
        <v>677</v>
      </c>
      <c r="O135" s="159">
        <v>-0.05</v>
      </c>
      <c r="P135" s="45" t="s">
        <v>655</v>
      </c>
      <c r="S135" s="111" t="s">
        <v>737</v>
      </c>
      <c r="T135" s="111"/>
      <c r="U135" s="159"/>
      <c r="W135" s="159"/>
    </row>
    <row r="136" spans="1:23" x14ac:dyDescent="0.2">
      <c r="A136" s="329" t="s">
        <v>92</v>
      </c>
      <c r="B136" s="45" t="s">
        <v>3</v>
      </c>
      <c r="L136" s="45" t="s">
        <v>622</v>
      </c>
      <c r="M136" s="434">
        <v>-0.05</v>
      </c>
      <c r="N136" s="45" t="s">
        <v>645</v>
      </c>
      <c r="S136" s="111" t="s">
        <v>738</v>
      </c>
      <c r="T136" s="111"/>
      <c r="U136" s="160"/>
    </row>
    <row r="137" spans="1:23" x14ac:dyDescent="0.2">
      <c r="A137" s="329" t="s">
        <v>93</v>
      </c>
      <c r="B137" s="45" t="s">
        <v>3</v>
      </c>
      <c r="L137" s="45" t="s">
        <v>623</v>
      </c>
      <c r="M137" s="2">
        <v>-0.25</v>
      </c>
      <c r="N137" s="45" t="s">
        <v>669</v>
      </c>
      <c r="S137" s="111" t="s">
        <v>739</v>
      </c>
      <c r="T137" s="111"/>
      <c r="U137" s="159"/>
    </row>
    <row r="138" spans="1:23" x14ac:dyDescent="0.2">
      <c r="A138" s="329" t="s">
        <v>94</v>
      </c>
      <c r="B138" s="45" t="s">
        <v>3</v>
      </c>
      <c r="M138"/>
      <c r="S138" s="111"/>
      <c r="T138" s="111"/>
    </row>
    <row r="139" spans="1:23" x14ac:dyDescent="0.2">
      <c r="A139" s="329" t="s">
        <v>95</v>
      </c>
      <c r="B139" s="45" t="s">
        <v>3</v>
      </c>
      <c r="L139" s="45" t="s">
        <v>624</v>
      </c>
      <c r="M139" s="29">
        <v>7.4999999999999997E-2</v>
      </c>
      <c r="N139" s="45" t="s">
        <v>666</v>
      </c>
      <c r="S139" s="111" t="s">
        <v>730</v>
      </c>
      <c r="T139" s="111"/>
      <c r="U139" s="160"/>
    </row>
    <row r="140" spans="1:23" x14ac:dyDescent="0.2">
      <c r="A140" s="329" t="s">
        <v>96</v>
      </c>
      <c r="B140" s="45" t="s">
        <v>7</v>
      </c>
      <c r="L140" s="45" t="s">
        <v>626</v>
      </c>
      <c r="M140" s="434">
        <v>-7.4999999999999997E-2</v>
      </c>
      <c r="N140" s="45" t="s">
        <v>663</v>
      </c>
      <c r="S140" s="111" t="s">
        <v>740</v>
      </c>
      <c r="T140" s="111"/>
      <c r="U140" s="159"/>
    </row>
    <row r="141" spans="1:23" x14ac:dyDescent="0.2">
      <c r="A141" s="329" t="s">
        <v>97</v>
      </c>
      <c r="B141" s="45" t="s">
        <v>3</v>
      </c>
      <c r="M141"/>
    </row>
    <row r="142" spans="1:23" x14ac:dyDescent="0.2">
      <c r="A142" s="329" t="s">
        <v>29</v>
      </c>
      <c r="B142" s="45" t="s">
        <v>3</v>
      </c>
      <c r="L142" s="45" t="s">
        <v>627</v>
      </c>
      <c r="M142" s="2">
        <v>-0.05</v>
      </c>
      <c r="N142" s="45" t="s">
        <v>664</v>
      </c>
      <c r="S142" s="45" t="s">
        <v>741</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331</v>
      </c>
      <c r="B149" s="45" t="s">
        <v>3</v>
      </c>
      <c r="L149" s="111"/>
      <c r="M149" s="159"/>
    </row>
    <row r="150" spans="1:13" x14ac:dyDescent="0.2">
      <c r="A150" s="329" t="s">
        <v>345</v>
      </c>
      <c r="B150" s="45" t="s">
        <v>3</v>
      </c>
    </row>
    <row r="151" spans="1:13" x14ac:dyDescent="0.2">
      <c r="A151" s="329" t="s">
        <v>144</v>
      </c>
      <c r="B151" s="45" t="s">
        <v>7</v>
      </c>
    </row>
    <row r="152" spans="1:13" x14ac:dyDescent="0.2">
      <c r="A152" s="329" t="s">
        <v>501</v>
      </c>
      <c r="B152" s="45" t="s">
        <v>12</v>
      </c>
    </row>
    <row r="154" spans="1:13" x14ac:dyDescent="0.2">
      <c r="A154" s="329" t="s">
        <v>1055</v>
      </c>
    </row>
    <row r="155" spans="1:13" x14ac:dyDescent="0.2">
      <c r="A155" s="329" t="s">
        <v>2</v>
      </c>
      <c r="B155" s="45">
        <v>1</v>
      </c>
    </row>
    <row r="156" spans="1:13" x14ac:dyDescent="0.2">
      <c r="A156" s="329" t="s">
        <v>7</v>
      </c>
      <c r="B156" s="45">
        <v>2</v>
      </c>
    </row>
    <row r="157" spans="1:13" x14ac:dyDescent="0.2">
      <c r="A157" s="329" t="s">
        <v>3</v>
      </c>
      <c r="B157" s="45">
        <v>2</v>
      </c>
    </row>
    <row r="158" spans="1:13" x14ac:dyDescent="0.2">
      <c r="A158" s="329" t="s">
        <v>4</v>
      </c>
      <c r="B158" s="45">
        <v>12</v>
      </c>
    </row>
    <row r="160" spans="1:13" x14ac:dyDescent="0.2">
      <c r="A160" s="328" t="s">
        <v>1056</v>
      </c>
    </row>
    <row r="161" spans="1:2" x14ac:dyDescent="0.2">
      <c r="A161" s="329" t="s">
        <v>280</v>
      </c>
      <c r="B161" s="159">
        <v>0.75</v>
      </c>
    </row>
    <row r="163" spans="1:2" x14ac:dyDescent="0.2">
      <c r="A163" s="328" t="s">
        <v>1123</v>
      </c>
    </row>
    <row r="164" spans="1:2" x14ac:dyDescent="0.2">
      <c r="A164" s="329" t="s">
        <v>455</v>
      </c>
      <c r="B164" s="45">
        <v>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284</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764</v>
      </c>
      <c r="D4" s="347" t="s">
        <v>765</v>
      </c>
      <c r="E4" s="348" t="s">
        <v>766</v>
      </c>
      <c r="F4" s="348" t="s">
        <v>767</v>
      </c>
      <c r="G4" s="348" t="s">
        <v>768</v>
      </c>
      <c r="H4" s="351" t="s">
        <v>769</v>
      </c>
      <c r="I4" s="351" t="s">
        <v>232</v>
      </c>
      <c r="J4" s="436" t="s">
        <v>165</v>
      </c>
      <c r="K4" s="436" t="s">
        <v>105</v>
      </c>
      <c r="L4" s="436" t="s">
        <v>162</v>
      </c>
      <c r="M4" s="436" t="s">
        <v>107</v>
      </c>
      <c r="N4" s="436" t="s">
        <v>108</v>
      </c>
      <c r="O4" s="436" t="s">
        <v>109</v>
      </c>
      <c r="P4" s="436" t="s">
        <v>110</v>
      </c>
      <c r="Q4" s="436" t="s">
        <v>111</v>
      </c>
      <c r="R4" s="436" t="s">
        <v>112</v>
      </c>
      <c r="S4" s="436" t="s">
        <v>32</v>
      </c>
      <c r="T4" s="436" t="s">
        <v>31</v>
      </c>
      <c r="U4" s="437" t="s">
        <v>163</v>
      </c>
      <c r="V4" s="436" t="s">
        <v>164</v>
      </c>
      <c r="W4" s="436" t="s">
        <v>440</v>
      </c>
      <c r="X4" s="436" t="s">
        <v>489</v>
      </c>
      <c r="Y4" s="436" t="s">
        <v>490</v>
      </c>
      <c r="Z4" s="436" t="s">
        <v>527</v>
      </c>
      <c r="AA4" s="436" t="s">
        <v>1076</v>
      </c>
    </row>
    <row r="5" spans="1:27" s="358" customFormat="1" ht="19.5" customHeight="1" x14ac:dyDescent="0.2">
      <c r="A5" s="298" t="s">
        <v>89</v>
      </c>
      <c r="B5" s="352" t="s">
        <v>98</v>
      </c>
      <c r="C5" s="298" t="s">
        <v>245</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245</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245</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245</v>
      </c>
      <c r="D8" s="359" t="s">
        <v>116</v>
      </c>
      <c r="E8" s="360">
        <v>6</v>
      </c>
      <c r="F8" s="360">
        <v>3</v>
      </c>
      <c r="G8" s="360">
        <v>1240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245</v>
      </c>
      <c r="D9" s="367" t="s">
        <v>1082</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245</v>
      </c>
      <c r="D10" s="353" t="s">
        <v>117</v>
      </c>
      <c r="F10" s="96">
        <v>3</v>
      </c>
      <c r="G10" s="96">
        <v>285</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245</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245</v>
      </c>
      <c r="D12" s="353" t="s">
        <v>1083</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247</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7" ht="19.5" customHeight="1" x14ac:dyDescent="0.2">
      <c r="A14" s="298" t="s">
        <v>91</v>
      </c>
      <c r="B14" s="352" t="s">
        <v>98</v>
      </c>
      <c r="C14" s="298" t="s">
        <v>247</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247</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247</v>
      </c>
      <c r="D16" s="359" t="s">
        <v>122</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246</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246</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246</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246</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247</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247</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247</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247</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1120</v>
      </c>
      <c r="E29" s="368">
        <v>3</v>
      </c>
      <c r="F29" s="368"/>
      <c r="G29" s="368">
        <v>285</v>
      </c>
      <c r="H29" s="358">
        <v>0</v>
      </c>
      <c r="I29" s="366">
        <v>5</v>
      </c>
      <c r="J29" s="369"/>
      <c r="K29" s="370"/>
      <c r="L29" s="370"/>
      <c r="M29" s="370">
        <v>0.05</v>
      </c>
      <c r="N29" s="370">
        <v>-0.15</v>
      </c>
      <c r="O29" s="370"/>
      <c r="P29" s="370"/>
      <c r="Q29" s="370">
        <v>-0.1</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246</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v>
      </c>
      <c r="X37" s="356"/>
      <c r="Y37" s="368"/>
      <c r="Z37" s="368"/>
      <c r="AA37" s="357"/>
    </row>
    <row r="38" spans="1:27" ht="19.5" customHeight="1" x14ac:dyDescent="0.2">
      <c r="A38" s="298" t="s">
        <v>97</v>
      </c>
      <c r="B38" s="352" t="s">
        <v>30</v>
      </c>
      <c r="C38" s="298" t="s">
        <v>246</v>
      </c>
      <c r="D38" s="353" t="s">
        <v>143</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246</v>
      </c>
      <c r="D39" s="353" t="s">
        <v>357</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246</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245</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245</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245</v>
      </c>
      <c r="D43" s="353" t="s">
        <v>41</v>
      </c>
      <c r="E43" s="96">
        <v>7</v>
      </c>
      <c r="F43" s="96">
        <v>7</v>
      </c>
      <c r="G43" s="96">
        <v>1415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245</v>
      </c>
      <c r="D44" s="359" t="s">
        <v>42</v>
      </c>
      <c r="E44" s="360">
        <v>7</v>
      </c>
      <c r="F44" s="360">
        <v>7</v>
      </c>
      <c r="G44" s="360">
        <v>1415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244</v>
      </c>
      <c r="D45" s="367" t="s">
        <v>146</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244</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244</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244</v>
      </c>
      <c r="D48" s="359" t="s">
        <v>1077</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1114</v>
      </c>
      <c r="E49" s="368">
        <v>3</v>
      </c>
      <c r="F49" s="368"/>
      <c r="G49" s="368">
        <v>275</v>
      </c>
      <c r="H49" s="358">
        <v>0</v>
      </c>
      <c r="I49" s="366">
        <v>5</v>
      </c>
      <c r="J49" s="369">
        <v>0.05</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150</v>
      </c>
      <c r="F50" s="96">
        <v>3</v>
      </c>
      <c r="G50" s="96">
        <v>300</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1115</v>
      </c>
      <c r="E51" s="96">
        <v>2</v>
      </c>
      <c r="F51" s="96">
        <v>5</v>
      </c>
      <c r="G51" s="96">
        <v>1050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1116</v>
      </c>
      <c r="E52" s="360">
        <v>5</v>
      </c>
      <c r="F52" s="360">
        <v>3</v>
      </c>
      <c r="G52" s="360">
        <v>1250</v>
      </c>
      <c r="H52" s="361">
        <v>0</v>
      </c>
      <c r="I52" s="352">
        <f>1.8 * MIN(6, MAX(E52,F52)) + 0.45 * MIN(6, MIN(E52,F52)) + IF(E52&gt;6, (E52-6)*0.2) + IF(F52&gt;6, (F52-6)*0.2)</f>
        <v>10.35</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151</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1078</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1079</v>
      </c>
      <c r="E55" s="96">
        <v>3</v>
      </c>
      <c r="F55" s="96">
        <v>5</v>
      </c>
      <c r="G55" s="96">
        <v>1025</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1080</v>
      </c>
      <c r="E56" s="360">
        <v>6</v>
      </c>
      <c r="F56" s="360">
        <v>0</v>
      </c>
      <c r="G56" s="360">
        <v>1175</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244</v>
      </c>
      <c r="D57" s="367" t="s">
        <v>152</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244</v>
      </c>
      <c r="D58" s="353" t="s">
        <v>153</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244</v>
      </c>
      <c r="D59" s="353" t="s">
        <v>154</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244</v>
      </c>
      <c r="D60" s="359" t="s">
        <v>155</v>
      </c>
      <c r="E60" s="360">
        <v>6</v>
      </c>
      <c r="F60" s="360">
        <v>0</v>
      </c>
      <c r="G60" s="360">
        <v>1115</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246</v>
      </c>
      <c r="D61" s="367" t="s">
        <v>156</v>
      </c>
      <c r="E61" s="368">
        <v>2.5</v>
      </c>
      <c r="F61" s="368"/>
      <c r="G61" s="368">
        <v>295</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246</v>
      </c>
      <c r="D62" s="353" t="s">
        <v>1117</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246</v>
      </c>
      <c r="D63" s="353" t="s">
        <v>1118</v>
      </c>
      <c r="E63" s="96">
        <v>3</v>
      </c>
      <c r="F63" s="96">
        <v>3</v>
      </c>
      <c r="G63" s="96">
        <v>1375</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246</v>
      </c>
      <c r="D64" s="359" t="s">
        <v>157</v>
      </c>
      <c r="E64" s="360">
        <v>3</v>
      </c>
      <c r="F64" s="360">
        <v>2</v>
      </c>
      <c r="G64" s="360">
        <v>990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158</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159</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160</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161</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331</v>
      </c>
      <c r="B69" s="366" t="s">
        <v>30</v>
      </c>
      <c r="C69" s="358" t="s">
        <v>247</v>
      </c>
      <c r="D69" s="367" t="s">
        <v>332</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331</v>
      </c>
      <c r="B70" s="352" t="s">
        <v>30</v>
      </c>
      <c r="C70" s="298" t="s">
        <v>247</v>
      </c>
      <c r="D70" s="353" t="s">
        <v>333</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331</v>
      </c>
      <c r="B71" s="352" t="s">
        <v>30</v>
      </c>
      <c r="C71" s="298" t="s">
        <v>247</v>
      </c>
      <c r="D71" s="353" t="s">
        <v>1119</v>
      </c>
      <c r="E71" s="96">
        <v>3</v>
      </c>
      <c r="F71" s="96">
        <v>3</v>
      </c>
      <c r="G71" s="96">
        <v>965</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331</v>
      </c>
      <c r="B72" s="371" t="s">
        <v>30</v>
      </c>
      <c r="C72" s="361" t="s">
        <v>247</v>
      </c>
      <c r="D72" s="359" t="s">
        <v>335</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345</v>
      </c>
      <c r="B73" s="366" t="s">
        <v>98</v>
      </c>
      <c r="C73" s="358" t="s">
        <v>244</v>
      </c>
      <c r="D73" s="367" t="s">
        <v>339</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345</v>
      </c>
      <c r="B74" s="352" t="s">
        <v>98</v>
      </c>
      <c r="C74" s="298" t="s">
        <v>244</v>
      </c>
      <c r="D74" s="353" t="s">
        <v>340</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345</v>
      </c>
      <c r="B75" s="352" t="s">
        <v>98</v>
      </c>
      <c r="C75" s="298" t="s">
        <v>244</v>
      </c>
      <c r="D75" s="353" t="s">
        <v>341</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345</v>
      </c>
      <c r="B76" s="371" t="s">
        <v>98</v>
      </c>
      <c r="C76" s="361" t="s">
        <v>244</v>
      </c>
      <c r="D76" s="359" t="s">
        <v>342</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358</v>
      </c>
      <c r="E77" s="368">
        <v>4</v>
      </c>
      <c r="F77" s="368"/>
      <c r="G77" s="368">
        <v>385</v>
      </c>
      <c r="H77" s="358">
        <v>30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327</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1121</v>
      </c>
      <c r="E79" s="96">
        <v>0</v>
      </c>
      <c r="F79" s="96">
        <v>5</v>
      </c>
      <c r="G79" s="96">
        <v>965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359</v>
      </c>
      <c r="E80" s="360">
        <v>4</v>
      </c>
      <c r="F80" s="360">
        <v>3</v>
      </c>
      <c r="G80" s="360">
        <v>1150</v>
      </c>
      <c r="H80" s="361">
        <v>120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501</v>
      </c>
      <c r="B81" s="366" t="s">
        <v>30</v>
      </c>
      <c r="C81" s="372" t="s">
        <v>60</v>
      </c>
      <c r="D81" s="358" t="s">
        <v>423</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0.15</v>
      </c>
      <c r="AA81" s="375"/>
    </row>
    <row r="82" spans="1:27" ht="19.5" customHeight="1" x14ac:dyDescent="0.2">
      <c r="A82" s="298" t="s">
        <v>501</v>
      </c>
      <c r="B82" s="352" t="s">
        <v>30</v>
      </c>
      <c r="C82" s="373" t="s">
        <v>60</v>
      </c>
      <c r="D82" s="298" t="s">
        <v>424</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501</v>
      </c>
      <c r="B83" s="352" t="s">
        <v>30</v>
      </c>
      <c r="C83" s="373" t="s">
        <v>60</v>
      </c>
      <c r="D83" s="298" t="s">
        <v>425</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298" t="s">
        <v>501</v>
      </c>
      <c r="B84" s="352" t="s">
        <v>30</v>
      </c>
      <c r="C84" s="373" t="s">
        <v>60</v>
      </c>
      <c r="D84" s="298" t="s">
        <v>426</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
      <c r="A85" s="376" t="s">
        <v>770</v>
      </c>
      <c r="B85" s="352" t="s">
        <v>770</v>
      </c>
      <c r="C85" s="373" t="s">
        <v>770</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
      <c r="A86" s="376" t="s">
        <v>770</v>
      </c>
      <c r="B86" s="352" t="s">
        <v>770</v>
      </c>
      <c r="C86" s="373" t="s">
        <v>770</v>
      </c>
      <c r="D86" s="63" t="s">
        <v>1099</v>
      </c>
      <c r="G86" s="96">
        <v>1000</v>
      </c>
      <c r="H86" s="96" t="s">
        <v>1100</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
      <c r="A87" s="376" t="s">
        <v>770</v>
      </c>
      <c r="B87" s="352" t="s">
        <v>770</v>
      </c>
      <c r="C87" s="373" t="s">
        <v>770</v>
      </c>
      <c r="D87" s="63" t="s">
        <v>183</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
      <c r="A88" s="376" t="s">
        <v>770</v>
      </c>
      <c r="B88" s="352" t="s">
        <v>770</v>
      </c>
      <c r="C88" s="373" t="s">
        <v>770</v>
      </c>
      <c r="D88" s="63" t="s">
        <v>184</v>
      </c>
      <c r="G88" s="96">
        <v>1000</v>
      </c>
      <c r="H88" s="96" t="s">
        <v>250</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
      <c r="C89" s="378"/>
      <c r="J89" s="379"/>
      <c r="K89" s="379"/>
      <c r="L89" s="379"/>
      <c r="M89" s="379"/>
      <c r="N89" s="379"/>
      <c r="O89" s="379"/>
      <c r="P89" s="379"/>
      <c r="Q89" s="379"/>
      <c r="R89" s="379"/>
      <c r="S89" s="379"/>
      <c r="T89" s="379"/>
      <c r="U89" s="379"/>
      <c r="V89" s="379"/>
    </row>
    <row r="90" spans="1:27" ht="19.5" customHeight="1" x14ac:dyDescent="0.2">
      <c r="A90" s="376" t="s">
        <v>89</v>
      </c>
      <c r="B90" s="298">
        <v>5</v>
      </c>
      <c r="C90" s="378"/>
      <c r="D90" s="298" t="s">
        <v>362</v>
      </c>
      <c r="J90" s="379"/>
      <c r="K90" s="379"/>
      <c r="L90" s="379"/>
      <c r="M90" s="379"/>
      <c r="N90" s="379"/>
      <c r="O90" s="379"/>
      <c r="P90" s="379"/>
      <c r="Q90" s="379"/>
      <c r="R90" s="379"/>
      <c r="S90" s="379"/>
      <c r="T90" s="379"/>
      <c r="U90" s="379"/>
      <c r="V90" s="379"/>
    </row>
    <row r="91" spans="1:27" ht="19.5" customHeight="1" x14ac:dyDescent="0.2">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
      <c r="A97" s="376" t="s">
        <v>96</v>
      </c>
      <c r="B97" s="298">
        <v>33</v>
      </c>
      <c r="C97" s="378"/>
      <c r="J97" s="379"/>
      <c r="K97" s="379"/>
      <c r="L97" s="379"/>
      <c r="M97" s="379"/>
      <c r="N97" s="379"/>
      <c r="O97" s="379"/>
      <c r="P97" s="379"/>
      <c r="Q97" s="379"/>
      <c r="R97" s="379"/>
      <c r="S97" s="379"/>
      <c r="T97" s="379"/>
      <c r="U97" s="379"/>
      <c r="V97" s="379"/>
    </row>
    <row r="98" spans="1:22" ht="19.5" customHeight="1" x14ac:dyDescent="0.2">
      <c r="A98" s="376" t="s">
        <v>97</v>
      </c>
      <c r="B98" s="298">
        <v>37</v>
      </c>
      <c r="C98" s="378"/>
      <c r="J98" s="379"/>
      <c r="K98" s="379"/>
      <c r="L98" s="379"/>
      <c r="M98" s="379"/>
      <c r="N98" s="379"/>
      <c r="O98" s="379"/>
      <c r="P98" s="379"/>
      <c r="Q98" s="379"/>
      <c r="R98" s="379"/>
      <c r="S98" s="379"/>
      <c r="T98" s="379"/>
      <c r="U98" s="379"/>
      <c r="V98" s="379"/>
    </row>
    <row r="99" spans="1:22" ht="19.5" customHeight="1" x14ac:dyDescent="0.2">
      <c r="A99" s="376" t="s">
        <v>29</v>
      </c>
      <c r="B99" s="298">
        <v>41</v>
      </c>
      <c r="C99" s="378"/>
      <c r="J99" s="379"/>
      <c r="K99" s="379"/>
      <c r="L99" s="379"/>
      <c r="M99" s="379"/>
      <c r="N99" s="379"/>
      <c r="O99" s="379"/>
      <c r="P99" s="379"/>
      <c r="Q99" s="379"/>
      <c r="R99" s="379"/>
      <c r="S99" s="379"/>
      <c r="T99" s="379"/>
      <c r="U99" s="379"/>
      <c r="V99" s="379"/>
    </row>
    <row r="100" spans="1:22" ht="19.5" customHeight="1" x14ac:dyDescent="0.2">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
      <c r="A104" s="376" t="s">
        <v>103</v>
      </c>
      <c r="B104" s="298">
        <v>61</v>
      </c>
      <c r="J104" s="379"/>
      <c r="K104" s="379"/>
      <c r="L104" s="379"/>
      <c r="M104" s="379"/>
      <c r="N104" s="379"/>
      <c r="O104" s="379"/>
      <c r="P104" s="379"/>
      <c r="Q104" s="379"/>
      <c r="R104" s="379"/>
      <c r="S104" s="379"/>
      <c r="T104" s="379"/>
      <c r="U104" s="379"/>
      <c r="V104" s="379"/>
    </row>
    <row r="105" spans="1:22" ht="19.5" customHeight="1" x14ac:dyDescent="0.2">
      <c r="A105" s="376" t="s">
        <v>104</v>
      </c>
      <c r="B105" s="298">
        <v>65</v>
      </c>
      <c r="J105" s="379"/>
      <c r="K105" s="379"/>
      <c r="L105" s="379"/>
      <c r="M105" s="379"/>
      <c r="N105" s="379"/>
      <c r="O105" s="379"/>
      <c r="P105" s="379"/>
      <c r="Q105" s="379"/>
      <c r="R105" s="379"/>
      <c r="S105" s="379"/>
      <c r="T105" s="379"/>
      <c r="U105" s="379"/>
      <c r="V105" s="379"/>
    </row>
    <row r="106" spans="1:22" ht="19.5" customHeight="1" x14ac:dyDescent="0.2">
      <c r="A106" s="376" t="s">
        <v>331</v>
      </c>
      <c r="B106" s="298">
        <v>69</v>
      </c>
      <c r="J106" s="379"/>
      <c r="K106" s="379"/>
      <c r="L106" s="379"/>
      <c r="M106" s="379"/>
      <c r="N106" s="379"/>
      <c r="O106" s="379"/>
      <c r="P106" s="379"/>
      <c r="Q106" s="379"/>
      <c r="R106" s="379"/>
      <c r="S106" s="379"/>
      <c r="T106" s="379"/>
      <c r="U106" s="379"/>
      <c r="V106" s="379"/>
    </row>
    <row r="107" spans="1:22" ht="19.5" customHeight="1" x14ac:dyDescent="0.2">
      <c r="A107" s="376" t="s">
        <v>345</v>
      </c>
      <c r="B107" s="298">
        <v>73</v>
      </c>
      <c r="J107" s="379"/>
      <c r="K107" s="379"/>
      <c r="L107" s="379"/>
      <c r="M107" s="379"/>
      <c r="N107" s="379"/>
      <c r="O107" s="379"/>
      <c r="P107" s="379"/>
      <c r="Q107" s="379"/>
      <c r="R107" s="379"/>
      <c r="S107" s="379"/>
      <c r="T107" s="379"/>
      <c r="U107" s="379"/>
      <c r="V107" s="379"/>
    </row>
    <row r="108" spans="1:22" ht="19.5" customHeight="1" x14ac:dyDescent="0.2">
      <c r="A108" s="376" t="s">
        <v>144</v>
      </c>
      <c r="B108" s="298">
        <v>77</v>
      </c>
      <c r="J108" s="379"/>
      <c r="K108" s="379"/>
      <c r="L108" s="379"/>
      <c r="M108" s="379"/>
      <c r="N108" s="379"/>
      <c r="O108" s="379"/>
      <c r="P108" s="379"/>
      <c r="Q108" s="379"/>
      <c r="R108" s="379"/>
      <c r="S108" s="379"/>
      <c r="T108" s="379"/>
      <c r="U108" s="379"/>
      <c r="V108" s="379"/>
    </row>
    <row r="109" spans="1:22" ht="19.5" customHeight="1" x14ac:dyDescent="0.2">
      <c r="A109" s="376" t="s">
        <v>501</v>
      </c>
      <c r="B109" s="298">
        <v>81</v>
      </c>
      <c r="J109" s="379"/>
      <c r="K109" s="379"/>
      <c r="L109" s="379"/>
      <c r="M109" s="379"/>
      <c r="N109" s="379"/>
      <c r="O109" s="379"/>
      <c r="P109" s="379"/>
      <c r="Q109" s="379"/>
      <c r="R109" s="379"/>
      <c r="S109" s="379"/>
      <c r="T109" s="379"/>
      <c r="U109" s="379"/>
      <c r="V109" s="379"/>
    </row>
    <row r="110" spans="1:22" ht="19.5" customHeight="1" x14ac:dyDescent="0.2">
      <c r="J110" s="379"/>
      <c r="K110" s="379"/>
      <c r="L110" s="379"/>
      <c r="M110" s="379"/>
      <c r="N110" s="379"/>
      <c r="O110" s="379"/>
      <c r="P110" s="379"/>
      <c r="Q110" s="379"/>
      <c r="R110" s="379"/>
      <c r="S110" s="379"/>
      <c r="T110" s="379"/>
      <c r="U110" s="379"/>
      <c r="V110" s="379"/>
    </row>
    <row r="111" spans="1:22" ht="19.5" customHeight="1" x14ac:dyDescent="0.2">
      <c r="J111" s="379"/>
      <c r="K111" s="379"/>
      <c r="L111" s="379"/>
      <c r="M111" s="379"/>
      <c r="N111" s="379"/>
      <c r="O111" s="379"/>
      <c r="P111" s="379"/>
      <c r="Q111" s="379"/>
      <c r="R111" s="379"/>
      <c r="S111" s="379"/>
      <c r="T111" s="379"/>
      <c r="U111" s="379"/>
      <c r="V111" s="379"/>
    </row>
    <row r="112" spans="1:22" ht="19.5" customHeight="1" x14ac:dyDescent="0.2">
      <c r="J112" s="379"/>
      <c r="K112" s="379"/>
      <c r="L112" s="379"/>
      <c r="M112" s="379"/>
      <c r="N112" s="379"/>
      <c r="O112" s="379"/>
      <c r="P112" s="379"/>
      <c r="Q112" s="379"/>
      <c r="R112" s="379"/>
      <c r="S112" s="379"/>
      <c r="T112" s="379"/>
      <c r="U112" s="379"/>
      <c r="V112" s="379"/>
    </row>
    <row r="113" spans="10:22" ht="19.5" customHeight="1" x14ac:dyDescent="0.2">
      <c r="J113" s="379"/>
      <c r="K113" s="379"/>
      <c r="L113" s="379"/>
      <c r="M113" s="379"/>
      <c r="N113" s="379"/>
      <c r="O113" s="379"/>
      <c r="P113" s="379"/>
      <c r="Q113" s="379"/>
      <c r="R113" s="379"/>
      <c r="S113" s="379"/>
      <c r="T113" s="379"/>
      <c r="U113" s="379"/>
      <c r="V113" s="379"/>
    </row>
    <row r="114" spans="10:22" ht="19.5" customHeight="1" x14ac:dyDescent="0.2">
      <c r="J114" s="379"/>
      <c r="K114" s="379"/>
      <c r="L114" s="379"/>
      <c r="M114" s="379"/>
      <c r="N114" s="379"/>
      <c r="O114" s="379"/>
      <c r="P114" s="379"/>
      <c r="Q114" s="379"/>
      <c r="R114" s="379"/>
      <c r="S114" s="379"/>
      <c r="T114" s="379"/>
      <c r="U114" s="379"/>
      <c r="V114" s="379"/>
    </row>
    <row r="115" spans="10:22" ht="19.5" customHeight="1" x14ac:dyDescent="0.2">
      <c r="J115" s="379"/>
      <c r="K115" s="379"/>
      <c r="L115" s="379"/>
      <c r="M115" s="379"/>
      <c r="N115" s="379"/>
      <c r="O115" s="379"/>
      <c r="P115" s="379"/>
      <c r="Q115" s="379"/>
      <c r="R115" s="379"/>
      <c r="S115" s="379"/>
      <c r="T115" s="379"/>
      <c r="U115" s="379"/>
      <c r="V115" s="379"/>
    </row>
    <row r="116" spans="10:22" ht="19.5" customHeight="1" x14ac:dyDescent="0.2">
      <c r="J116" s="379"/>
      <c r="K116" s="379"/>
      <c r="L116" s="379"/>
      <c r="M116" s="379"/>
      <c r="N116" s="379"/>
      <c r="O116" s="379"/>
      <c r="P116" s="379"/>
      <c r="Q116" s="379"/>
      <c r="R116" s="379"/>
      <c r="S116" s="379"/>
      <c r="T116" s="379"/>
      <c r="U116" s="379"/>
      <c r="V116" s="379"/>
    </row>
    <row r="117" spans="10:22" ht="19.5" customHeight="1" x14ac:dyDescent="0.2">
      <c r="J117" s="379"/>
      <c r="K117" s="379"/>
      <c r="L117" s="379"/>
      <c r="M117" s="379"/>
      <c r="N117" s="379"/>
      <c r="O117" s="379"/>
      <c r="P117" s="379"/>
      <c r="Q117" s="379"/>
      <c r="R117" s="379"/>
      <c r="S117" s="379"/>
      <c r="T117" s="379"/>
      <c r="U117" s="379"/>
      <c r="V117" s="379"/>
    </row>
    <row r="118" spans="10:22" ht="19.5" customHeight="1" x14ac:dyDescent="0.2">
      <c r="J118" s="379"/>
      <c r="K118" s="379"/>
      <c r="L118" s="379"/>
      <c r="M118" s="379"/>
      <c r="N118" s="379"/>
      <c r="O118" s="379"/>
      <c r="P118" s="379"/>
      <c r="Q118" s="379"/>
      <c r="R118" s="379"/>
      <c r="S118" s="379"/>
      <c r="T118" s="379"/>
      <c r="U118" s="379"/>
      <c r="V118" s="379"/>
    </row>
    <row r="119" spans="10:22" ht="19.5" customHeight="1" x14ac:dyDescent="0.2">
      <c r="J119" s="379"/>
      <c r="K119" s="379"/>
      <c r="L119" s="379"/>
      <c r="M119" s="379"/>
      <c r="N119" s="379"/>
      <c r="O119" s="379"/>
      <c r="P119" s="379"/>
      <c r="Q119" s="379"/>
      <c r="R119" s="379"/>
      <c r="S119" s="379"/>
      <c r="T119" s="379"/>
      <c r="U119" s="379"/>
      <c r="V119" s="379"/>
    </row>
    <row r="120" spans="10:22" ht="19.5" customHeight="1" x14ac:dyDescent="0.2">
      <c r="J120" s="379"/>
      <c r="K120" s="379"/>
      <c r="L120" s="379"/>
      <c r="M120" s="379"/>
      <c r="N120" s="379"/>
      <c r="O120" s="379"/>
      <c r="P120" s="379"/>
      <c r="Q120" s="379"/>
      <c r="R120" s="379"/>
      <c r="S120" s="379"/>
      <c r="T120" s="379"/>
      <c r="U120" s="379"/>
      <c r="V120" s="379"/>
    </row>
    <row r="121" spans="10:22" ht="19.5" customHeight="1" x14ac:dyDescent="0.2">
      <c r="J121" s="379"/>
      <c r="K121" s="379"/>
      <c r="L121" s="379"/>
      <c r="M121" s="379"/>
      <c r="N121" s="379"/>
      <c r="O121" s="379"/>
      <c r="P121" s="379"/>
      <c r="Q121" s="379"/>
      <c r="R121" s="379"/>
      <c r="S121" s="379"/>
      <c r="T121" s="379"/>
      <c r="U121" s="379"/>
      <c r="V121" s="379"/>
    </row>
    <row r="122" spans="10:22" ht="19.5" customHeight="1" x14ac:dyDescent="0.2">
      <c r="J122" s="379"/>
      <c r="K122" s="379"/>
      <c r="L122" s="379"/>
      <c r="M122" s="379"/>
      <c r="N122" s="379"/>
      <c r="O122" s="379"/>
      <c r="P122" s="379"/>
      <c r="Q122" s="379"/>
      <c r="R122" s="379"/>
      <c r="S122" s="379"/>
      <c r="T122" s="379"/>
      <c r="U122" s="379"/>
      <c r="V122" s="379"/>
    </row>
    <row r="123" spans="10:22" ht="19.5" customHeight="1" x14ac:dyDescent="0.2">
      <c r="J123" s="379"/>
      <c r="K123" s="379"/>
      <c r="L123" s="379"/>
      <c r="M123" s="379"/>
      <c r="N123" s="379"/>
      <c r="O123" s="379"/>
      <c r="P123" s="379"/>
      <c r="Q123" s="379"/>
      <c r="R123" s="379"/>
      <c r="S123" s="379"/>
      <c r="T123" s="379"/>
      <c r="U123" s="379"/>
      <c r="V123" s="379"/>
    </row>
    <row r="124" spans="10:22" ht="19.5" customHeight="1" x14ac:dyDescent="0.2">
      <c r="J124" s="379"/>
      <c r="K124" s="379"/>
      <c r="L124" s="379"/>
      <c r="M124" s="379"/>
      <c r="N124" s="379"/>
      <c r="O124" s="379"/>
      <c r="P124" s="379"/>
      <c r="Q124" s="379"/>
      <c r="R124" s="379"/>
      <c r="S124" s="379"/>
      <c r="T124" s="379"/>
      <c r="U124" s="379"/>
      <c r="V124" s="379"/>
    </row>
    <row r="125" spans="10:22" ht="19.5" customHeight="1" x14ac:dyDescent="0.2">
      <c r="J125" s="379"/>
      <c r="K125" s="379"/>
      <c r="L125" s="379"/>
      <c r="M125" s="379"/>
      <c r="N125" s="379"/>
      <c r="O125" s="379"/>
      <c r="P125" s="379"/>
      <c r="Q125" s="379"/>
      <c r="R125" s="379"/>
      <c r="S125" s="379"/>
      <c r="T125" s="379"/>
      <c r="U125" s="379"/>
      <c r="V125" s="379"/>
    </row>
    <row r="126" spans="10:22" ht="19.5" customHeight="1" x14ac:dyDescent="0.2">
      <c r="J126" s="379"/>
      <c r="K126" s="379"/>
      <c r="L126" s="379"/>
      <c r="M126" s="379"/>
      <c r="N126" s="379"/>
      <c r="O126" s="379"/>
      <c r="P126" s="379"/>
      <c r="Q126" s="379"/>
      <c r="R126" s="379"/>
      <c r="S126" s="379"/>
      <c r="T126" s="379"/>
      <c r="U126" s="379"/>
      <c r="V126" s="379"/>
    </row>
    <row r="127" spans="10:22" ht="19.5" customHeight="1" x14ac:dyDescent="0.2">
      <c r="J127" s="379"/>
      <c r="K127" s="379"/>
      <c r="L127" s="379"/>
      <c r="M127" s="379"/>
      <c r="N127" s="379"/>
      <c r="O127" s="379"/>
      <c r="P127" s="379"/>
      <c r="Q127" s="379"/>
      <c r="R127" s="379"/>
      <c r="S127" s="379"/>
      <c r="T127" s="379"/>
      <c r="U127" s="379"/>
      <c r="V127" s="379"/>
    </row>
    <row r="128" spans="10: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236</v>
      </c>
      <c r="C2" s="3" t="s">
        <v>287</v>
      </c>
      <c r="D2" s="3" t="s">
        <v>288</v>
      </c>
      <c r="E2" s="3" t="s">
        <v>239</v>
      </c>
      <c r="F2" s="3" t="s">
        <v>238</v>
      </c>
      <c r="G2" s="3"/>
      <c r="H2" s="3"/>
      <c r="I2" s="3" t="s">
        <v>237</v>
      </c>
      <c r="J2" s="3" t="s">
        <v>240</v>
      </c>
      <c r="K2" s="11"/>
    </row>
    <row r="3" spans="2:11" ht="13.5" thickBot="1" x14ac:dyDescent="0.25">
      <c r="B3" s="7" t="s">
        <v>375</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242</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243</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285</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286</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441</v>
      </c>
      <c r="I18" s="504"/>
      <c r="J18" s="504"/>
      <c r="K18" s="505"/>
    </row>
    <row r="20" spans="1:14" ht="13.5" thickBot="1" x14ac:dyDescent="0.25">
      <c r="H20" s="1"/>
      <c r="I20" s="1"/>
      <c r="L20" t="s">
        <v>433</v>
      </c>
    </row>
    <row r="21" spans="1:14" ht="13.5" thickBot="1" x14ac:dyDescent="0.25">
      <c r="E21" t="s">
        <v>298</v>
      </c>
      <c r="F21" s="34">
        <v>0.125</v>
      </c>
      <c r="H21" s="1"/>
      <c r="I21" s="1"/>
      <c r="J21" t="s">
        <v>434</v>
      </c>
      <c r="K21" t="s">
        <v>435</v>
      </c>
      <c r="L21" s="33">
        <v>0.3</v>
      </c>
      <c r="M21" t="s">
        <v>436</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431</v>
      </c>
      <c r="J27" s="27">
        <v>1250</v>
      </c>
      <c r="K27" s="1">
        <f>J27*25</f>
        <v>31250</v>
      </c>
      <c r="M27" s="35">
        <f>SUM(M22:M26)</f>
        <v>52425.504910394266</v>
      </c>
      <c r="N27" t="s">
        <v>436</v>
      </c>
    </row>
    <row r="28" spans="1:14" ht="13.5" thickBot="1" x14ac:dyDescent="0.25">
      <c r="H28" s="1"/>
      <c r="I28" s="1" t="s">
        <v>432</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445</v>
      </c>
    </row>
    <row r="32" spans="1:14" ht="13.5" thickBot="1" x14ac:dyDescent="0.25">
      <c r="H32" s="1"/>
      <c r="I32" s="1"/>
      <c r="J32" t="s">
        <v>434</v>
      </c>
      <c r="K32" t="s">
        <v>435</v>
      </c>
      <c r="L32" s="33">
        <v>0.2</v>
      </c>
      <c r="M32" t="s">
        <v>436</v>
      </c>
      <c r="N32" t="s">
        <v>447</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357</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431</v>
      </c>
      <c r="J38" s="27">
        <v>2337</v>
      </c>
      <c r="K38" s="1">
        <f>J38*25</f>
        <v>58425</v>
      </c>
      <c r="M38" s="35"/>
      <c r="N38" s="35"/>
    </row>
    <row r="39" spans="1:14" ht="13.5" thickBot="1" x14ac:dyDescent="0.25">
      <c r="H39" s="1"/>
      <c r="I39" s="1" t="s">
        <v>446</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287</v>
      </c>
      <c r="D51" s="3" t="s">
        <v>288</v>
      </c>
      <c r="E51" s="3" t="s">
        <v>239</v>
      </c>
      <c r="F51" s="3" t="s">
        <v>238</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325</vt:i4>
      </vt:variant>
    </vt:vector>
  </HeadingPairs>
  <TitlesOfParts>
    <vt:vector size="340"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2024-03-15T14:43:18Z</dcterms:modified>
</cp:coreProperties>
</file>