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52896513-E06E-4C35-A285-D5E48862A5E9}"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Military!$CM$8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Military!$CM$19</definedName>
    <definedName name="elite1_base_op">Military!$CM$18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Military!$CM$21</definedName>
    <definedName name="elite2_base_op">Military!$CM$20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Military!$CM$7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Military!$CM$10</definedName>
    <definedName name="Imps">Imps!$CD$35:$CD$40</definedName>
    <definedName name="keep_cap">Constants!$D$103</definedName>
    <definedName name="keep_param">Constants!$D$108</definedName>
    <definedName name="kobold">Military!$CM$9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Military!$CM$12</definedName>
    <definedName name="nox_nightshade_cap">Constants!$F$126</definedName>
    <definedName name="nox_nightshade_swamp_bonus">Constants!$C$126</definedName>
    <definedName name="om_ore">Constants!$B$7</definedName>
    <definedName name="orc">Military!$CM$11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Military!$CM$6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Military!$CM$5</definedName>
  </definedNames>
  <calcPr calcId="191029"/>
</workbook>
</file>

<file path=xl/calcChain.xml><?xml version="1.0" encoding="utf-8"?>
<calcChain xmlns="http://schemas.openxmlformats.org/spreadsheetml/2006/main">
  <c r="AO4" i="1" l="1"/>
  <c r="BC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L144" i="6"/>
  <c r="I88" i="3"/>
  <c r="I87" i="3"/>
  <c r="C4" i="2"/>
  <c r="B93" i="6"/>
  <c r="M144" i="6"/>
  <c r="E15" i="4"/>
  <c r="M96" i="6" l="1"/>
  <c r="M87" i="6"/>
  <c r="M84" i="6"/>
  <c r="AE136" i="1" l="1"/>
  <c r="AT76" i="5"/>
  <c r="AT75" i="5"/>
  <c r="AT74" i="5"/>
  <c r="AT73" i="5"/>
  <c r="AT72" i="5"/>
  <c r="AT71" i="5"/>
  <c r="AT70" i="5"/>
  <c r="AT69" i="5"/>
  <c r="AT68" i="5"/>
  <c r="AT67" i="5"/>
  <c r="AT66" i="5"/>
  <c r="AT65" i="5"/>
  <c r="AT64" i="5"/>
  <c r="AT63" i="5"/>
  <c r="AT62" i="5"/>
  <c r="AT61" i="5"/>
  <c r="AT60" i="5"/>
  <c r="AH4" i="9" l="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AH5" i="9" l="1"/>
  <c r="AO5" i="8" s="1"/>
  <c r="AO4" i="8"/>
  <c r="B46" i="4"/>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H6" i="9" l="1"/>
  <c r="AO6" i="8" s="1"/>
  <c r="I15" i="4"/>
  <c r="I16" i="4"/>
  <c r="I17" i="4"/>
  <c r="I18" i="4"/>
  <c r="I19" i="4"/>
  <c r="I20" i="4"/>
  <c r="I21" i="4"/>
  <c r="I22" i="4"/>
  <c r="I23" i="4"/>
  <c r="I24" i="4"/>
  <c r="I25" i="4"/>
  <c r="I26" i="4"/>
  <c r="I27" i="4"/>
  <c r="I28" i="4"/>
  <c r="I29" i="4"/>
  <c r="I30" i="4"/>
  <c r="I31" i="4"/>
  <c r="I32" i="4"/>
  <c r="AH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H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H9" i="9" l="1"/>
  <c r="AO9" i="8" s="1"/>
  <c r="C22" i="4"/>
  <c r="B22" i="4"/>
  <c r="D26" i="5"/>
  <c r="AH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H11" i="9" l="1"/>
  <c r="AO11" i="8" s="1"/>
  <c r="AT4" i="5"/>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H12" i="9" l="1"/>
  <c r="AO12" i="8" s="1"/>
  <c r="J4" i="2"/>
  <c r="AS2" i="8"/>
  <c r="CM25" i="8"/>
  <c r="CM26" i="8"/>
  <c r="CM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H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H14" i="9" l="1"/>
  <c r="AO14" i="8" s="1"/>
  <c r="I65" i="4"/>
  <c r="A4" i="14"/>
  <c r="CA4" i="14" s="1"/>
  <c r="AH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H16" i="9" l="1"/>
  <c r="AO16" i="8" s="1"/>
  <c r="AG6" i="9"/>
  <c r="AF6" i="9"/>
  <c r="AJ6" i="9"/>
  <c r="AD6" i="9"/>
  <c r="AL6" i="9"/>
  <c r="AH17" i="9" l="1"/>
  <c r="AO17" i="8" s="1"/>
  <c r="AL7" i="9"/>
  <c r="AG7" i="9"/>
  <c r="AF7" i="9"/>
  <c r="AJ7" i="9"/>
  <c r="AD7" i="9"/>
  <c r="AH18" i="9" l="1"/>
  <c r="AO18" i="8" s="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H19" i="9" l="1"/>
  <c r="AO19" i="8" s="1"/>
  <c r="AL9" i="9"/>
  <c r="O6" i="1"/>
  <c r="AG9" i="9"/>
  <c r="AF9" i="9"/>
  <c r="AJ9" i="9"/>
  <c r="AD9" i="9"/>
  <c r="AC4" i="1"/>
  <c r="AB4" i="1"/>
  <c r="AH20" i="9" l="1"/>
  <c r="AO20" i="8" s="1"/>
  <c r="AL10" i="9"/>
  <c r="O7" i="1"/>
  <c r="AG10" i="9"/>
  <c r="AF10" i="9"/>
  <c r="AJ10" i="9"/>
  <c r="AD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H21" i="9" l="1"/>
  <c r="AO21" i="8" s="1"/>
  <c r="CF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G11" i="9"/>
  <c r="AF11" i="9"/>
  <c r="AJ11" i="9"/>
  <c r="AD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M12" i="8"/>
  <c r="CM11" i="8"/>
  <c r="CM10" i="8"/>
  <c r="CM9" i="8"/>
  <c r="CM8" i="8"/>
  <c r="CM7" i="8"/>
  <c r="CM6" i="8"/>
  <c r="CM5" i="8"/>
  <c r="N5" i="2"/>
  <c r="DH4" i="5"/>
  <c r="B33" i="6"/>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AH22" i="9" l="1"/>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L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H23" i="9" l="1"/>
  <c r="AO23" i="8" s="1"/>
  <c r="CV5" i="5"/>
  <c r="L5" i="5" s="1"/>
  <c r="G7" i="8"/>
  <c r="CF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G13" i="9"/>
  <c r="AF13" i="9"/>
  <c r="AJ13" i="9"/>
  <c r="AD13" i="9"/>
  <c r="S6" i="2"/>
  <c r="P7" i="2"/>
  <c r="Q6" i="2"/>
  <c r="M7" i="2"/>
  <c r="J8" i="10"/>
  <c r="N8" i="5" s="1"/>
  <c r="D6" i="12"/>
  <c r="F5" i="12"/>
  <c r="E5" i="12" s="1"/>
  <c r="DE4" i="5"/>
  <c r="A37" i="6"/>
  <c r="I38" i="4"/>
  <c r="CM18" i="8"/>
  <c r="CM19" i="8"/>
  <c r="J8" i="12"/>
  <c r="I9" i="12"/>
  <c r="AH24" i="9" l="1"/>
  <c r="AO24" i="8" s="1"/>
  <c r="J5" i="2"/>
  <c r="I4" i="2" s="1"/>
  <c r="I4" i="11" s="1"/>
  <c r="K7" i="11"/>
  <c r="BI6" i="5" a="1"/>
  <c r="BI6" i="5" s="1"/>
  <c r="BI7" i="5" s="1" a="1"/>
  <c r="BI7" i="5" s="1"/>
  <c r="BH6" i="5" a="1"/>
  <c r="BH6" i="5" s="1"/>
  <c r="BH7" i="5" s="1" a="1"/>
  <c r="BH7" i="5" s="1"/>
  <c r="G8" i="8"/>
  <c r="CF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G14" i="9"/>
  <c r="AB5" i="1"/>
  <c r="DI5" i="5"/>
  <c r="AF14" i="9"/>
  <c r="AJ14" i="9"/>
  <c r="AD14" i="9"/>
  <c r="S7" i="2"/>
  <c r="P8" i="2"/>
  <c r="R8" i="2"/>
  <c r="Q7" i="2"/>
  <c r="J9" i="10"/>
  <c r="N9" i="5" s="1"/>
  <c r="M8" i="2"/>
  <c r="F6" i="12"/>
  <c r="E6" i="12" s="1"/>
  <c r="D7" i="12"/>
  <c r="DB5" i="5"/>
  <c r="DE5" i="5"/>
  <c r="DF5" i="5"/>
  <c r="DC5" i="5"/>
  <c r="A38" i="6"/>
  <c r="CM20" i="8"/>
  <c r="CM21" i="8"/>
  <c r="I39" i="4"/>
  <c r="I10" i="12"/>
  <c r="J9" i="12"/>
  <c r="AH25" i="9" l="1"/>
  <c r="AO25" i="8" s="1"/>
  <c r="AZ7" i="5" a="1"/>
  <c r="AZ7" i="5" s="1"/>
  <c r="AZ8" i="5" s="1" a="1"/>
  <c r="AZ8" i="5" s="1"/>
  <c r="J6" i="2"/>
  <c r="BF7" i="5" a="1"/>
  <c r="BF7" i="5" s="1"/>
  <c r="AE6" i="1" s="1"/>
  <c r="AE5" i="1"/>
  <c r="W5" i="1" s="1"/>
  <c r="G9" i="8"/>
  <c r="CF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B4" i="8" s="1"/>
  <c r="A4" i="10"/>
  <c r="AA4" i="10" s="1"/>
  <c r="BH4" i="8"/>
  <c r="AJ4" i="5"/>
  <c r="AP4" i="5" s="1"/>
  <c r="A4" i="11"/>
  <c r="N4" i="11" s="1"/>
  <c r="BI4" i="8"/>
  <c r="BS4" i="8" s="1"/>
  <c r="AI4" i="5"/>
  <c r="B4" i="9"/>
  <c r="X4" i="9" s="1"/>
  <c r="BT4" i="5"/>
  <c r="DF4" i="8"/>
  <c r="DG4" i="8" s="1"/>
  <c r="B4" i="7"/>
  <c r="Q4" i="7" s="1"/>
  <c r="E4" i="1"/>
  <c r="Q4" i="1" s="1"/>
  <c r="L7" i="5"/>
  <c r="G6" i="10"/>
  <c r="I6" i="7"/>
  <c r="BW4" i="8"/>
  <c r="CC4" i="8" s="1"/>
  <c r="CK4" i="8"/>
  <c r="M7" i="5"/>
  <c r="H6" i="10"/>
  <c r="J6" i="7"/>
  <c r="J7" i="5"/>
  <c r="E6" i="10"/>
  <c r="G6" i="7"/>
  <c r="G7" i="5"/>
  <c r="D6" i="7"/>
  <c r="B6" i="10"/>
  <c r="I7" i="5"/>
  <c r="D6" i="10"/>
  <c r="F6" i="7"/>
  <c r="N9" i="2"/>
  <c r="F10" i="8"/>
  <c r="K10" i="8"/>
  <c r="E10" i="8"/>
  <c r="CG9" i="8"/>
  <c r="AG15" i="9"/>
  <c r="CZ6" i="5"/>
  <c r="C6" i="5"/>
  <c r="AC5" i="1"/>
  <c r="DA5" i="5"/>
  <c r="DG5" i="5" s="1" a="1"/>
  <c r="DG5" i="5" s="1"/>
  <c r="AB6" i="1"/>
  <c r="DI6" i="5"/>
  <c r="AF15" i="9"/>
  <c r="AJ15" i="9"/>
  <c r="AD15" i="9"/>
  <c r="B6" i="5"/>
  <c r="S8" i="2"/>
  <c r="P9" i="2"/>
  <c r="R9" i="2"/>
  <c r="Q8" i="2"/>
  <c r="M9" i="2"/>
  <c r="J10" i="10"/>
  <c r="N10" i="5" s="1"/>
  <c r="F7" i="12"/>
  <c r="E7" i="12" s="1"/>
  <c r="D8" i="12"/>
  <c r="J10" i="12"/>
  <c r="I11" i="12"/>
  <c r="AH26" i="9" l="1"/>
  <c r="AO26" i="8" s="1"/>
  <c r="J7" i="2"/>
  <c r="BJ9" i="5" a="1"/>
  <c r="BJ9" i="5" s="1"/>
  <c r="G10" i="8"/>
  <c r="CF9" i="8"/>
  <c r="O9" i="2"/>
  <c r="BM9" i="5" a="1"/>
  <c r="BM9" i="5" s="1"/>
  <c r="BQ9" i="5" a="1"/>
  <c r="BQ9" i="5" s="1"/>
  <c r="AL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B5" i="8" s="1"/>
  <c r="AI5" i="5"/>
  <c r="B5" i="9"/>
  <c r="X5" i="9" s="1"/>
  <c r="AC5" i="8"/>
  <c r="BQ5" i="8" s="1"/>
  <c r="A5" i="10"/>
  <c r="AA5" i="10" s="1"/>
  <c r="A5" i="11"/>
  <c r="N5" i="11" s="1"/>
  <c r="BT5" i="5"/>
  <c r="CK5" i="8"/>
  <c r="AM8" i="1"/>
  <c r="AJ8" i="1"/>
  <c r="DF5" i="8"/>
  <c r="DG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X4" i="8" s="1"/>
  <c r="BZ4" i="8"/>
  <c r="BW5" i="8"/>
  <c r="CA5" i="8" s="1"/>
  <c r="CB4" i="8"/>
  <c r="CR4" i="8" s="1"/>
  <c r="CI4" i="8"/>
  <c r="CY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G16" i="9"/>
  <c r="F6" i="5"/>
  <c r="AW6" i="5" s="1"/>
  <c r="CZ7" i="5"/>
  <c r="AB7" i="1"/>
  <c r="DI7" i="5"/>
  <c r="DA7" i="5"/>
  <c r="AC6" i="1"/>
  <c r="DA6" i="5"/>
  <c r="DG6" i="5" s="1" a="1"/>
  <c r="DG6" i="5" s="1"/>
  <c r="AF16" i="9"/>
  <c r="AJ16" i="9"/>
  <c r="AD16" i="9"/>
  <c r="B7" i="5"/>
  <c r="CT4" i="8"/>
  <c r="CU4" i="8" s="1"/>
  <c r="S9" i="2"/>
  <c r="P10" i="2"/>
  <c r="N10" i="2"/>
  <c r="R10" i="2"/>
  <c r="Q9" i="2"/>
  <c r="J11" i="10"/>
  <c r="N11" i="5" s="1"/>
  <c r="D9" i="12"/>
  <c r="F8" i="12"/>
  <c r="E8" i="12" s="1"/>
  <c r="M10" i="2"/>
  <c r="M4" i="1"/>
  <c r="F4" i="11" s="1"/>
  <c r="I12" i="12"/>
  <c r="J11" i="12"/>
  <c r="AH27" i="9" l="1"/>
  <c r="AO27" i="8" s="1"/>
  <c r="AH28" i="9"/>
  <c r="AO28" i="8" s="1"/>
  <c r="G11" i="8"/>
  <c r="CF10" i="8"/>
  <c r="O10" i="2"/>
  <c r="BB10" i="5" a="1"/>
  <c r="BB10" i="5" s="1"/>
  <c r="BO10" i="5" a="1"/>
  <c r="BO10" i="5" s="1"/>
  <c r="BN10" i="5" a="1"/>
  <c r="BN10" i="5" s="1"/>
  <c r="BG10" i="5" a="1"/>
  <c r="BG10" i="5" s="1"/>
  <c r="AL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P4" i="8"/>
  <c r="S4" i="8"/>
  <c r="CO4" i="8"/>
  <c r="CS4" i="8" s="1"/>
  <c r="AO5" i="5"/>
  <c r="AV6" i="5"/>
  <c r="BP9" i="5" a="1"/>
  <c r="BP9" i="5" s="1"/>
  <c r="J9" i="2" s="1"/>
  <c r="BT5" i="8"/>
  <c r="AG5" i="7"/>
  <c r="AI5" i="7" s="1"/>
  <c r="AG4" i="7"/>
  <c r="AI4" i="7" s="1"/>
  <c r="AA4" i="8" s="1"/>
  <c r="O14" i="1"/>
  <c r="CE4" i="8"/>
  <c r="CV4" i="8" s="1"/>
  <c r="CW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CY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P5" i="8" s="1"/>
  <c r="CZ4" i="8"/>
  <c r="CP4" i="8"/>
  <c r="AQ4" i="5"/>
  <c r="BY5" i="8"/>
  <c r="CB5" i="8"/>
  <c r="CR5" i="8" s="1"/>
  <c r="CH5" i="8"/>
  <c r="CX5" i="8" s="1"/>
  <c r="CC5" i="8"/>
  <c r="CT5" i="8" s="1"/>
  <c r="CU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F6" i="8"/>
  <c r="DG6" i="8" s="1"/>
  <c r="K12" i="8"/>
  <c r="CK6" i="8"/>
  <c r="E12" i="8"/>
  <c r="CG11" i="8"/>
  <c r="BW6" i="8"/>
  <c r="CC6" i="8" s="1"/>
  <c r="CT6" i="8" s="1"/>
  <c r="CU6" i="8" s="1"/>
  <c r="BI6" i="8"/>
  <c r="BH6" i="8"/>
  <c r="BU6" i="8" s="1"/>
  <c r="AG17" i="9"/>
  <c r="A6" i="10"/>
  <c r="AA6" i="10" s="1"/>
  <c r="BT6" i="5"/>
  <c r="B6" i="7"/>
  <c r="Q6" i="7" s="1"/>
  <c r="AI6" i="5"/>
  <c r="AJ6" i="5"/>
  <c r="AP6" i="5" s="1"/>
  <c r="B6" i="9"/>
  <c r="X6" i="9" s="1"/>
  <c r="AC6" i="8"/>
  <c r="BQ6" i="8" s="1"/>
  <c r="A6" i="11"/>
  <c r="N6" i="11" s="1"/>
  <c r="CZ8" i="5"/>
  <c r="E6" i="1"/>
  <c r="X6" i="8"/>
  <c r="DB6" i="8" s="1"/>
  <c r="C7" i="5"/>
  <c r="F7" i="5" s="1"/>
  <c r="AW7" i="5" s="1"/>
  <c r="AC7" i="1"/>
  <c r="DI8" i="5"/>
  <c r="AB8" i="1"/>
  <c r="AF17" i="9"/>
  <c r="AJ17" i="9"/>
  <c r="AD17" i="9"/>
  <c r="B8" i="5"/>
  <c r="S10" i="2"/>
  <c r="P11" i="2"/>
  <c r="N11" i="2"/>
  <c r="R11" i="2"/>
  <c r="Q10" i="2"/>
  <c r="D10" i="12"/>
  <c r="F9" i="12"/>
  <c r="E9" i="12" s="1"/>
  <c r="J12" i="10"/>
  <c r="N12" i="5" s="1"/>
  <c r="M11" i="2"/>
  <c r="I13" i="12"/>
  <c r="J12" i="12"/>
  <c r="B4" i="8" l="1"/>
  <c r="D4" i="2" s="1"/>
  <c r="AH29" i="9"/>
  <c r="AO29" i="8" s="1"/>
  <c r="G12" i="8"/>
  <c r="CF11" i="8"/>
  <c r="O11" i="2"/>
  <c r="BN11" i="5" a="1"/>
  <c r="BN11" i="5" s="1"/>
  <c r="AW4" i="8"/>
  <c r="AD9" i="1"/>
  <c r="BC11" i="5" a="1"/>
  <c r="BC11" i="5" s="1"/>
  <c r="AL18" i="9"/>
  <c r="BR6" i="8"/>
  <c r="BS6" i="8"/>
  <c r="CE5" i="8"/>
  <c r="CV5" i="8" s="1"/>
  <c r="CW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Q4" i="8"/>
  <c r="DD4" i="8" s="1"/>
  <c r="G4" i="1" s="1"/>
  <c r="N4" i="8" s="1"/>
  <c r="P5" i="8"/>
  <c r="F13" i="8"/>
  <c r="CO5" i="8"/>
  <c r="CS5" i="8" s="1"/>
  <c r="AO6" i="5"/>
  <c r="AV7" i="5"/>
  <c r="BP10" i="5" a="1"/>
  <c r="BP10" i="5" s="1"/>
  <c r="J10" i="2" s="1"/>
  <c r="O15" i="1"/>
  <c r="D7" i="9"/>
  <c r="BT6" i="8"/>
  <c r="BO6" i="8"/>
  <c r="BP6" i="8"/>
  <c r="BM6" i="8"/>
  <c r="BN6" i="8"/>
  <c r="BK6" i="8"/>
  <c r="BL6" i="8"/>
  <c r="BJ6" i="8"/>
  <c r="AC6" i="10"/>
  <c r="X6" i="10" s="1"/>
  <c r="AM6" i="5"/>
  <c r="AN6" i="5"/>
  <c r="AS10" i="5"/>
  <c r="H4" i="11"/>
  <c r="E13" i="8"/>
  <c r="AK10" i="11"/>
  <c r="AR5" i="5"/>
  <c r="CZ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CY6" i="8" s="1"/>
  <c r="DF7" i="8"/>
  <c r="DG7" i="8" s="1"/>
  <c r="K13" i="8"/>
  <c r="CK7" i="8"/>
  <c r="CG12" i="8"/>
  <c r="BW7" i="8"/>
  <c r="CC7" i="8" s="1"/>
  <c r="BX6" i="8"/>
  <c r="CD6" i="8" s="1"/>
  <c r="N6" i="7"/>
  <c r="BH7" i="8"/>
  <c r="BU7" i="8" s="1"/>
  <c r="BI7" i="8"/>
  <c r="AG18" i="9"/>
  <c r="Y5" i="11"/>
  <c r="AH5" i="1" s="1"/>
  <c r="CA6" i="8"/>
  <c r="AE6" i="7"/>
  <c r="AF6" i="7" s="1"/>
  <c r="AB5" i="11"/>
  <c r="Q5" i="8" s="1"/>
  <c r="CB6" i="8"/>
  <c r="CR6" i="8" s="1"/>
  <c r="BZ6" i="8"/>
  <c r="BY6" i="8"/>
  <c r="CH6" i="8"/>
  <c r="CX6" i="8" s="1"/>
  <c r="DA8" i="5"/>
  <c r="DG8" i="5" s="1" a="1"/>
  <c r="DG8" i="5" s="1"/>
  <c r="AD5" i="11"/>
  <c r="AI5" i="1" s="1"/>
  <c r="AC5" i="11"/>
  <c r="U5" i="8" s="1"/>
  <c r="Z5" i="11"/>
  <c r="E7" i="1"/>
  <c r="A7" i="11"/>
  <c r="AC6" i="11" s="1"/>
  <c r="U6" i="8" s="1"/>
  <c r="B7" i="7"/>
  <c r="Q7" i="7" s="1"/>
  <c r="BT7" i="5"/>
  <c r="B7" i="9"/>
  <c r="X7" i="9" s="1"/>
  <c r="X7" i="8"/>
  <c r="DB7" i="8" s="1"/>
  <c r="AJ7" i="5"/>
  <c r="AP7" i="5" s="1"/>
  <c r="AI7" i="5"/>
  <c r="AC7" i="8"/>
  <c r="BQ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F4" i="2" l="1"/>
  <c r="AH30" i="9"/>
  <c r="AO30" i="8" s="1"/>
  <c r="G13" i="8"/>
  <c r="CF12" i="8"/>
  <c r="O12" i="2"/>
  <c r="AD10" i="1"/>
  <c r="AL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Q5" i="8"/>
  <c r="DD5" i="8" s="1"/>
  <c r="G5" i="1" s="1"/>
  <c r="N5" i="8" s="1"/>
  <c r="P6" i="8"/>
  <c r="F14" i="8"/>
  <c r="AO7" i="5"/>
  <c r="AV8" i="5"/>
  <c r="BP11" i="5" a="1"/>
  <c r="BP11" i="5" s="1"/>
  <c r="J11" i="2" s="1"/>
  <c r="AG6" i="7"/>
  <c r="AI6" i="7" s="1"/>
  <c r="O16" i="1"/>
  <c r="BT7" i="8"/>
  <c r="BO7" i="8"/>
  <c r="BP7" i="8"/>
  <c r="BM7" i="8"/>
  <c r="BN7" i="8"/>
  <c r="BK7" i="8"/>
  <c r="BL7" i="8"/>
  <c r="BJ7" i="8"/>
  <c r="AC7" i="10"/>
  <c r="X7" i="10" s="1"/>
  <c r="AN7" i="5"/>
  <c r="AM7" i="5"/>
  <c r="AS11" i="5"/>
  <c r="AP4" i="1"/>
  <c r="G4" i="2"/>
  <c r="Z4" i="2" s="1"/>
  <c r="AA5"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O6" i="8"/>
  <c r="CS6" i="8" s="1"/>
  <c r="D8" i="9"/>
  <c r="CZ6" i="8"/>
  <c r="CI7" i="8"/>
  <c r="CY7" i="8" s="1"/>
  <c r="DF8" i="8"/>
  <c r="DG8" i="8" s="1"/>
  <c r="K14" i="8"/>
  <c r="CK8" i="8"/>
  <c r="CG13" i="8"/>
  <c r="BW8" i="8"/>
  <c r="CC8" i="8" s="1"/>
  <c r="CE6" i="8"/>
  <c r="CV6" i="8" s="1"/>
  <c r="CW6" i="8" s="1"/>
  <c r="BX7" i="8"/>
  <c r="CE7" i="8" s="1"/>
  <c r="N7" i="7"/>
  <c r="AR6" i="5"/>
  <c r="BH8" i="8"/>
  <c r="BU8" i="8" s="1"/>
  <c r="BI8" i="8"/>
  <c r="AG19" i="9"/>
  <c r="B4" i="14"/>
  <c r="AD6" i="11"/>
  <c r="AI6" i="1" s="1"/>
  <c r="AQ6" i="5"/>
  <c r="CP6" i="8"/>
  <c r="CA7" i="8"/>
  <c r="BY7" i="8"/>
  <c r="CH7" i="8"/>
  <c r="CX7" i="8" s="1"/>
  <c r="Z6" i="11"/>
  <c r="AB6" i="11"/>
  <c r="Q6" i="8" s="1"/>
  <c r="BZ7" i="8"/>
  <c r="Y6" i="11"/>
  <c r="AH6" i="1" s="1"/>
  <c r="CB7" i="8"/>
  <c r="CR7" i="8" s="1"/>
  <c r="AA6" i="11"/>
  <c r="AK6" i="1" s="1"/>
  <c r="N7" i="11"/>
  <c r="A8" i="11"/>
  <c r="N8" i="11" s="1"/>
  <c r="A8" i="10"/>
  <c r="AA8" i="10" s="1"/>
  <c r="B8" i="7"/>
  <c r="Q8" i="7" s="1"/>
  <c r="AJ8" i="5"/>
  <c r="AP8" i="5" s="1"/>
  <c r="AI8" i="5"/>
  <c r="B8" i="9"/>
  <c r="X8" i="9" s="1"/>
  <c r="X8" i="8"/>
  <c r="DB8" i="8" s="1"/>
  <c r="E8" i="1"/>
  <c r="AC8" i="8"/>
  <c r="BQ8" i="8" s="1"/>
  <c r="BT8" i="5"/>
  <c r="C9" i="5"/>
  <c r="F9" i="5" s="1"/>
  <c r="AW9" i="5" s="1"/>
  <c r="AE7" i="7"/>
  <c r="AF7" i="7" s="1"/>
  <c r="CZ10" i="5"/>
  <c r="C10" i="5"/>
  <c r="AC9" i="1"/>
  <c r="DA9" i="5"/>
  <c r="DG9" i="5" s="1" a="1"/>
  <c r="DG9" i="5" s="1"/>
  <c r="AB10" i="1"/>
  <c r="DI10" i="5"/>
  <c r="AF19" i="9"/>
  <c r="AJ19" i="9"/>
  <c r="AD81" i="9"/>
  <c r="CT7" i="8"/>
  <c r="CU7" i="8" s="1"/>
  <c r="S12" i="2"/>
  <c r="P13" i="2"/>
  <c r="N13" i="2"/>
  <c r="R13" i="2"/>
  <c r="Q12" i="2"/>
  <c r="D12" i="12"/>
  <c r="F11" i="12"/>
  <c r="E11" i="12" s="1"/>
  <c r="M13" i="2"/>
  <c r="J14" i="10"/>
  <c r="N14" i="5" s="1"/>
  <c r="I15" i="12"/>
  <c r="J14" i="12"/>
  <c r="C4" i="8" l="1"/>
  <c r="AH31" i="9"/>
  <c r="AO31" i="8" s="1"/>
  <c r="G14" i="8"/>
  <c r="CF13" i="8"/>
  <c r="O13" i="2"/>
  <c r="BK13" i="5" a="1"/>
  <c r="BK13" i="5" s="1"/>
  <c r="AL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T8" i="8"/>
  <c r="BO8" i="8"/>
  <c r="BP8" i="8"/>
  <c r="BM8" i="8"/>
  <c r="BN8" i="8"/>
  <c r="BK8" i="8"/>
  <c r="BL8" i="8"/>
  <c r="BJ8" i="8"/>
  <c r="AC8" i="10"/>
  <c r="X8" i="10" s="1"/>
  <c r="AN8" i="5"/>
  <c r="AM8" i="5"/>
  <c r="B5" i="8"/>
  <c r="AS12" i="5"/>
  <c r="E15" i="8"/>
  <c r="E16"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Q6" i="8"/>
  <c r="DD6" i="8" s="1"/>
  <c r="G6" i="1" s="1"/>
  <c r="N6" i="8" s="1"/>
  <c r="CO7" i="8"/>
  <c r="CS7" i="8" s="1"/>
  <c r="D9" i="9"/>
  <c r="CZ7" i="8"/>
  <c r="CD7" i="8"/>
  <c r="CI8" i="8"/>
  <c r="CY8" i="8" s="1"/>
  <c r="DF9" i="8"/>
  <c r="DG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BX8" i="8"/>
  <c r="CE8" i="8" s="1"/>
  <c r="N8" i="7"/>
  <c r="BH9" i="8"/>
  <c r="BU9" i="8" s="1"/>
  <c r="BI9" i="8"/>
  <c r="AG20" i="9"/>
  <c r="AR7" i="5"/>
  <c r="CH8" i="8"/>
  <c r="CX8" i="8" s="1"/>
  <c r="CP7" i="8"/>
  <c r="CA8" i="8"/>
  <c r="AC7" i="11"/>
  <c r="U7" i="8" s="1"/>
  <c r="AE8" i="7"/>
  <c r="AF8" i="7" s="1"/>
  <c r="BY8" i="8"/>
  <c r="AA7" i="11"/>
  <c r="AK7" i="1" s="1"/>
  <c r="Z7" i="11"/>
  <c r="AQ7" i="5"/>
  <c r="BZ8" i="8"/>
  <c r="CB8" i="8"/>
  <c r="CR8" i="8" s="1"/>
  <c r="AB7" i="11"/>
  <c r="Q7" i="8" s="1"/>
  <c r="X9" i="8"/>
  <c r="DB9" i="8" s="1"/>
  <c r="B9" i="7"/>
  <c r="AJ9" i="5"/>
  <c r="AP9" i="5" s="1"/>
  <c r="AI9" i="5"/>
  <c r="B9" i="9"/>
  <c r="X9" i="9" s="1"/>
  <c r="AC9" i="8"/>
  <c r="BQ9" i="8" s="1"/>
  <c r="A9" i="10"/>
  <c r="AA9" i="10" s="1"/>
  <c r="BT9" i="5"/>
  <c r="A9" i="11"/>
  <c r="E9" i="1"/>
  <c r="CZ11" i="5"/>
  <c r="AD7" i="11"/>
  <c r="AI7" i="1" s="1"/>
  <c r="Y7" i="11"/>
  <c r="AH7" i="1" s="1"/>
  <c r="C11" i="5"/>
  <c r="AC10" i="1"/>
  <c r="DA10" i="5"/>
  <c r="DG10" i="5" s="1" a="1"/>
  <c r="DG10" i="5" s="1"/>
  <c r="AB11" i="1"/>
  <c r="DI11" i="5"/>
  <c r="AF20" i="9"/>
  <c r="AJ20" i="9"/>
  <c r="AD82" i="9"/>
  <c r="CT8" i="8"/>
  <c r="CU8" i="8" s="1"/>
  <c r="S13" i="2"/>
  <c r="P14" i="2"/>
  <c r="N14" i="2"/>
  <c r="R14" i="2"/>
  <c r="Q13" i="2"/>
  <c r="M14" i="2"/>
  <c r="J15" i="10"/>
  <c r="N15" i="5" s="1"/>
  <c r="D13" i="12"/>
  <c r="F12" i="12"/>
  <c r="E12" i="12" s="1"/>
  <c r="J15" i="12"/>
  <c r="I16" i="12"/>
  <c r="E17" i="8" l="1"/>
  <c r="AH32" i="9"/>
  <c r="AO32" i="8" s="1"/>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V7" i="8"/>
  <c r="CW7" i="8" s="1"/>
  <c r="P7" i="8"/>
  <c r="F17" i="8"/>
  <c r="AO9" i="5"/>
  <c r="AV10" i="5"/>
  <c r="BP13" i="5" a="1"/>
  <c r="BP13" i="5" s="1"/>
  <c r="J13" i="2" s="1"/>
  <c r="X10" i="8"/>
  <c r="DB10" i="8" s="1"/>
  <c r="AG8" i="7"/>
  <c r="AI8" i="7" s="1"/>
  <c r="O18" i="1"/>
  <c r="BT9" i="8"/>
  <c r="BO9" i="8"/>
  <c r="BP9" i="8"/>
  <c r="BM9" i="8"/>
  <c r="BN9" i="8"/>
  <c r="BK9" i="8"/>
  <c r="BL9" i="8"/>
  <c r="BJ9" i="8"/>
  <c r="AC9" i="10"/>
  <c r="X9" i="10" s="1"/>
  <c r="AM9" i="5"/>
  <c r="AN9" i="5"/>
  <c r="Y4" i="2"/>
  <c r="AB5" i="7"/>
  <c r="AW5" i="8"/>
  <c r="H5" i="11"/>
  <c r="AS13" i="5"/>
  <c r="AH13" i="11"/>
  <c r="DF10" i="8"/>
  <c r="DG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X10" i="9" s="1"/>
  <c r="AJ10" i="5"/>
  <c r="AP10" i="5" s="1"/>
  <c r="BH10" i="8"/>
  <c r="BU10" i="8" s="1"/>
  <c r="AI10" i="5"/>
  <c r="BW10" i="8"/>
  <c r="CB10" i="8" s="1"/>
  <c r="CR10" i="8" s="1"/>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Q7" i="8"/>
  <c r="CO8" i="8"/>
  <c r="CS8" i="8" s="1"/>
  <c r="D10" i="9"/>
  <c r="CZ8" i="8"/>
  <c r="CI9" i="8"/>
  <c r="CY9" i="8" s="1"/>
  <c r="CD8" i="8"/>
  <c r="P8" i="8" s="1"/>
  <c r="CG15" i="8"/>
  <c r="BX9" i="8"/>
  <c r="CD9" i="8" s="1"/>
  <c r="N9" i="7"/>
  <c r="AG21" i="9"/>
  <c r="CP8" i="8"/>
  <c r="AR8" i="5"/>
  <c r="AQ8" i="5"/>
  <c r="CZ12" i="5"/>
  <c r="BY9" i="8"/>
  <c r="CC9" i="8"/>
  <c r="CT9" i="8" s="1"/>
  <c r="CU9" i="8" s="1"/>
  <c r="BZ9" i="8"/>
  <c r="CA9" i="8"/>
  <c r="CH9" i="8"/>
  <c r="CX9" i="8" s="1"/>
  <c r="CB9" i="8"/>
  <c r="CR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V7" i="8"/>
  <c r="B5" i="14"/>
  <c r="S14" i="2"/>
  <c r="P15" i="2"/>
  <c r="N15" i="2"/>
  <c r="R15" i="2"/>
  <c r="Q14" i="2"/>
  <c r="F13" i="12"/>
  <c r="E13" i="12" s="1"/>
  <c r="D14" i="12"/>
  <c r="J16" i="10"/>
  <c r="N16" i="5" s="1"/>
  <c r="M15" i="2"/>
  <c r="J16" i="12"/>
  <c r="I17" i="12"/>
  <c r="J17" i="12" s="1"/>
  <c r="E18" i="8" l="1"/>
  <c r="AH33" i="9"/>
  <c r="AO33" i="8" s="1"/>
  <c r="G16" i="8"/>
  <c r="CF15" i="8"/>
  <c r="O15" i="2"/>
  <c r="AZ15" i="5" a="1"/>
  <c r="AZ15" i="5" s="1"/>
  <c r="BI15" i="5" a="1"/>
  <c r="BI15" i="5" s="1"/>
  <c r="BC15" i="5" a="1"/>
  <c r="BC15" i="5" s="1"/>
  <c r="AL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D7" i="8"/>
  <c r="G7" i="1" s="1"/>
  <c r="N7" i="8" s="1"/>
  <c r="P9" i="8"/>
  <c r="F18" i="8"/>
  <c r="AO10" i="5"/>
  <c r="AV11" i="5"/>
  <c r="BP14" i="5" a="1"/>
  <c r="BP14" i="5" s="1"/>
  <c r="J14" i="2" s="1"/>
  <c r="DF11" i="8"/>
  <c r="DG11" i="8" s="1"/>
  <c r="AG9" i="7"/>
  <c r="AI9" i="7" s="1"/>
  <c r="O19" i="1"/>
  <c r="BT10" i="8"/>
  <c r="BO10" i="8"/>
  <c r="BP10" i="8"/>
  <c r="BM10" i="8"/>
  <c r="BN10" i="8"/>
  <c r="AN10" i="5"/>
  <c r="BK10" i="8"/>
  <c r="BL10" i="8"/>
  <c r="BJ10" i="8"/>
  <c r="AC10" i="10"/>
  <c r="X10" i="10" s="1"/>
  <c r="AM10" i="5"/>
  <c r="AS14" i="5"/>
  <c r="CI10" i="8"/>
  <c r="CY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T10" i="8" s="1"/>
  <c r="CU10" i="8" s="1"/>
  <c r="N10" i="11"/>
  <c r="AA9" i="11"/>
  <c r="AK9" i="1" s="1"/>
  <c r="Z9" i="11"/>
  <c r="AB9" i="11"/>
  <c r="Q9" i="8" s="1"/>
  <c r="AD9" i="11"/>
  <c r="AI9" i="1" s="1"/>
  <c r="BX10" i="8"/>
  <c r="CE10" i="8" s="1"/>
  <c r="D11" i="9"/>
  <c r="AE10" i="7"/>
  <c r="AF10" i="7" s="1"/>
  <c r="CH10" i="8"/>
  <c r="CX10" i="8" s="1"/>
  <c r="BY10" i="8"/>
  <c r="CA10" i="8"/>
  <c r="B11" i="9"/>
  <c r="X11" i="9" s="1"/>
  <c r="AC11" i="8"/>
  <c r="BQ11" i="8" s="1"/>
  <c r="B11" i="7"/>
  <c r="AE11" i="7" s="1"/>
  <c r="AF11" i="7" s="1"/>
  <c r="BI11" i="8"/>
  <c r="X11" i="8"/>
  <c r="DB11" i="8" s="1"/>
  <c r="A11" i="10"/>
  <c r="AA11" i="10" s="1"/>
  <c r="CK11" i="8"/>
  <c r="A11" i="11"/>
  <c r="N11" i="11" s="1"/>
  <c r="BT11" i="5"/>
  <c r="AI11" i="5"/>
  <c r="BH11" i="8"/>
  <c r="BU11" i="8" s="1"/>
  <c r="BW11" i="8"/>
  <c r="BY11" i="8" s="1"/>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Q8" i="8"/>
  <c r="CO9" i="8"/>
  <c r="CS9" i="8" s="1"/>
  <c r="CZ9" i="8"/>
  <c r="CV8" i="8"/>
  <c r="CW8" i="8" s="1"/>
  <c r="CG16" i="8"/>
  <c r="CE9" i="8"/>
  <c r="CV9" i="8" s="1"/>
  <c r="CW9" i="8" s="1"/>
  <c r="AG22" i="9"/>
  <c r="AR9" i="5"/>
  <c r="AQ9" i="5"/>
  <c r="CZ13" i="5"/>
  <c r="CP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E19" i="8" l="1"/>
  <c r="AH34" i="9"/>
  <c r="AO34" i="8" s="1"/>
  <c r="G17" i="8"/>
  <c r="CF16" i="8"/>
  <c r="O16" i="2"/>
  <c r="BI16" i="5" a="1"/>
  <c r="BI16" i="5" s="1"/>
  <c r="AL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CY11" i="8" s="1"/>
  <c r="CO11" i="8"/>
  <c r="CS11" i="8" s="1"/>
  <c r="F19" i="8"/>
  <c r="CO10" i="8"/>
  <c r="CS10" i="8" s="1"/>
  <c r="AO11" i="5"/>
  <c r="AV12" i="5"/>
  <c r="BP15" i="5" a="1"/>
  <c r="BP15" i="5" s="1"/>
  <c r="J15" i="2" s="1"/>
  <c r="DF12" i="8"/>
  <c r="DG12" i="8" s="1"/>
  <c r="AG10" i="7"/>
  <c r="AI10" i="7" s="1"/>
  <c r="AG11" i="7"/>
  <c r="AI11" i="7" s="1"/>
  <c r="O20" i="1"/>
  <c r="BT11" i="8"/>
  <c r="BO11" i="8"/>
  <c r="BP11" i="8"/>
  <c r="BM11" i="8"/>
  <c r="BN11" i="8"/>
  <c r="BK11" i="8"/>
  <c r="BL11" i="8"/>
  <c r="BJ11" i="8"/>
  <c r="AC11" i="10"/>
  <c r="X11" i="10" s="1"/>
  <c r="AM11" i="5"/>
  <c r="AN11" i="5"/>
  <c r="AS15" i="5"/>
  <c r="CZ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P10" i="8"/>
  <c r="CD10" i="8"/>
  <c r="AR10" i="5"/>
  <c r="AQ10" i="5"/>
  <c r="AC10" i="11"/>
  <c r="U10" i="8" s="1"/>
  <c r="N11" i="7"/>
  <c r="Q11" i="7"/>
  <c r="AA10" i="11"/>
  <c r="AK10" i="1" s="1"/>
  <c r="BZ11" i="8"/>
  <c r="AD10" i="11"/>
  <c r="AI10" i="1" s="1"/>
  <c r="AB10" i="11"/>
  <c r="Q10" i="8" s="1"/>
  <c r="CA11" i="8"/>
  <c r="Y10" i="11"/>
  <c r="AH10" i="1" s="1"/>
  <c r="CH11" i="8"/>
  <c r="CX11" i="8" s="1"/>
  <c r="CC11" i="8"/>
  <c r="CT11" i="8" s="1"/>
  <c r="CU11" i="8" s="1"/>
  <c r="Z10" i="11"/>
  <c r="CB11" i="8"/>
  <c r="CR11" i="8" s="1"/>
  <c r="BX11" i="8"/>
  <c r="CE11" i="8" s="1"/>
  <c r="D12" i="9"/>
  <c r="AC12" i="8"/>
  <c r="BQ12" i="8" s="1"/>
  <c r="E12" i="1"/>
  <c r="B12" i="7"/>
  <c r="Q12" i="7" s="1"/>
  <c r="A12" i="10"/>
  <c r="AA12" i="10" s="1"/>
  <c r="AI12" i="5"/>
  <c r="A12" i="11"/>
  <c r="N12" i="11" s="1"/>
  <c r="X12" i="8"/>
  <c r="DB12" i="8" s="1"/>
  <c r="CK12" i="8"/>
  <c r="BT12" i="5"/>
  <c r="AJ12" i="5"/>
  <c r="AP12" i="5" s="1"/>
  <c r="B12" i="9"/>
  <c r="X12" i="9" s="1"/>
  <c r="BI12" i="8"/>
  <c r="BW12" i="8"/>
  <c r="CH12" i="8" s="1"/>
  <c r="CX12" i="8" s="1"/>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D8" i="8"/>
  <c r="G8" i="1" s="1"/>
  <c r="N8" i="8" s="1"/>
  <c r="CQ9" i="8"/>
  <c r="DD9" i="8" s="1"/>
  <c r="G9" i="1" s="1"/>
  <c r="N9" i="8" s="1"/>
  <c r="CG17" i="8"/>
  <c r="AG23" i="9"/>
  <c r="CZ14" i="5"/>
  <c r="AC13" i="1"/>
  <c r="DA13" i="5"/>
  <c r="DG13" i="5" s="1" a="1"/>
  <c r="DG13" i="5" s="1"/>
  <c r="AB14" i="1"/>
  <c r="DI14" i="5"/>
  <c r="AF23" i="9"/>
  <c r="AJ23" i="9"/>
  <c r="AD85" i="9"/>
  <c r="B7" i="14"/>
  <c r="S16" i="2"/>
  <c r="P17" i="2"/>
  <c r="N17" i="2"/>
  <c r="R17" i="2"/>
  <c r="Q16" i="2"/>
  <c r="M17" i="2"/>
  <c r="F15" i="12"/>
  <c r="E15" i="12" s="1"/>
  <c r="D16" i="12"/>
  <c r="J18" i="10"/>
  <c r="N18" i="5" s="1"/>
  <c r="E20" i="8" l="1"/>
  <c r="AH35" i="9"/>
  <c r="AO35" i="8" s="1"/>
  <c r="G18" i="8"/>
  <c r="CF17" i="8"/>
  <c r="O17" i="2"/>
  <c r="AL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Z11" i="8"/>
  <c r="V15" i="2"/>
  <c r="CI12" i="8"/>
  <c r="CY12" i="8" s="1"/>
  <c r="CZ12" i="8" s="1"/>
  <c r="CQ10" i="8"/>
  <c r="CV10" i="8"/>
  <c r="CW10" i="8" s="1"/>
  <c r="P10" i="8"/>
  <c r="F20" i="8"/>
  <c r="AO12" i="5"/>
  <c r="AV13" i="5"/>
  <c r="BP16" i="5" a="1"/>
  <c r="BP16" i="5" s="1"/>
  <c r="J16" i="2" s="1"/>
  <c r="B13" i="9"/>
  <c r="X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P11" i="8"/>
  <c r="CQ11" i="8" s="1"/>
  <c r="CD11" i="8"/>
  <c r="P11" i="8" s="1"/>
  <c r="AQ11" i="5"/>
  <c r="AE12" i="7"/>
  <c r="AF12" i="7" s="1"/>
  <c r="BY12" i="8"/>
  <c r="AB11" i="11"/>
  <c r="Q11" i="8" s="1"/>
  <c r="AC11" i="11"/>
  <c r="U11" i="8" s="1"/>
  <c r="Z11" i="11"/>
  <c r="Y11" i="11"/>
  <c r="AH11" i="1" s="1"/>
  <c r="N12" i="7"/>
  <c r="AD11" i="11"/>
  <c r="AI11" i="1" s="1"/>
  <c r="CB12" i="8"/>
  <c r="CR12" i="8" s="1"/>
  <c r="AA11" i="11"/>
  <c r="AK11" i="1" s="1"/>
  <c r="BZ12" i="8"/>
  <c r="CA12" i="8"/>
  <c r="CC12" i="8"/>
  <c r="CT12" i="8" s="1"/>
  <c r="CU12" i="8" s="1"/>
  <c r="A13" i="11"/>
  <c r="AA12" i="11" s="1"/>
  <c r="AK12" i="1" s="1"/>
  <c r="X13" i="8"/>
  <c r="DB13" i="8" s="1"/>
  <c r="A13" i="10"/>
  <c r="AA13" i="10" s="1"/>
  <c r="AC13" i="8"/>
  <c r="BQ13" i="8" s="1"/>
  <c r="AJ13" i="5"/>
  <c r="AP13" i="5" s="1"/>
  <c r="BH13" i="8"/>
  <c r="BU13" i="8" s="1"/>
  <c r="B13" i="7"/>
  <c r="Q13" i="7" s="1"/>
  <c r="E13" i="1"/>
  <c r="BI13" i="8"/>
  <c r="BW13" i="8"/>
  <c r="CB13" i="8" s="1"/>
  <c r="CR13" i="8" s="1"/>
  <c r="BT13" i="5"/>
  <c r="AI13" i="5"/>
  <c r="B15" i="5"/>
  <c r="DF13" i="8"/>
  <c r="DG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E21" i="8" l="1"/>
  <c r="AH36" i="9"/>
  <c r="AO36"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D10" i="8"/>
  <c r="G10" i="1" s="1"/>
  <c r="N10" i="8" s="1"/>
  <c r="P12" i="8"/>
  <c r="CO12" i="8"/>
  <c r="CS12" i="8" s="1"/>
  <c r="F21" i="8"/>
  <c r="AO13" i="5"/>
  <c r="AV14" i="5"/>
  <c r="BP17" i="5" a="1"/>
  <c r="BP17" i="5" s="1"/>
  <c r="J17" i="2" s="1"/>
  <c r="AG12" i="7"/>
  <c r="AI12" i="7" s="1"/>
  <c r="O22" i="1"/>
  <c r="CE12" i="8"/>
  <c r="CV12" i="8" s="1"/>
  <c r="CW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V11" i="8"/>
  <c r="CW11" i="8" s="1"/>
  <c r="DD11" i="8" s="1"/>
  <c r="G11" i="1" s="1"/>
  <c r="N11" i="8" s="1"/>
  <c r="AR12" i="5"/>
  <c r="AB12" i="11"/>
  <c r="Q12" i="8" s="1"/>
  <c r="AQ12" i="5"/>
  <c r="Y12" i="11"/>
  <c r="AH12" i="1" s="1"/>
  <c r="AD12" i="11"/>
  <c r="AI12" i="1" s="1"/>
  <c r="AC12" i="11"/>
  <c r="U12" i="8" s="1"/>
  <c r="CP12" i="8"/>
  <c r="BY13" i="8"/>
  <c r="N13" i="7"/>
  <c r="Z12" i="11"/>
  <c r="N13" i="11"/>
  <c r="D14" i="9"/>
  <c r="CC13" i="8"/>
  <c r="CT13" i="8" s="1"/>
  <c r="CU13" i="8" s="1"/>
  <c r="BX13" i="8"/>
  <c r="CE13" i="8" s="1"/>
  <c r="CH13" i="8"/>
  <c r="CX13" i="8" s="1"/>
  <c r="CA13" i="8"/>
  <c r="BZ13" i="8"/>
  <c r="AE13" i="7"/>
  <c r="AF13" i="7" s="1"/>
  <c r="CI13" i="8"/>
  <c r="CY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F14" i="8"/>
  <c r="DG14" i="8" s="1"/>
  <c r="CK14" i="8"/>
  <c r="CG19" i="8"/>
  <c r="BW14" i="8"/>
  <c r="BI14" i="8"/>
  <c r="AJ14" i="5"/>
  <c r="AP14" i="5" s="1"/>
  <c r="BH14" i="8"/>
  <c r="AG25" i="9"/>
  <c r="AI14" i="5"/>
  <c r="B14" i="9"/>
  <c r="X14" i="9" s="1"/>
  <c r="AC14" i="8"/>
  <c r="BQ14" i="8" s="1"/>
  <c r="E14" i="1"/>
  <c r="A14" i="10"/>
  <c r="AA14" i="10" s="1"/>
  <c r="BT14" i="5"/>
  <c r="A14" i="11"/>
  <c r="B14" i="7"/>
  <c r="X14" i="8"/>
  <c r="DB14" i="8" s="1"/>
  <c r="CZ16" i="5"/>
  <c r="AC15" i="1"/>
  <c r="DA15" i="5"/>
  <c r="DG15" i="5" s="1" a="1"/>
  <c r="DG15" i="5" s="1"/>
  <c r="DI16" i="5"/>
  <c r="AB16" i="1"/>
  <c r="AF25" i="9"/>
  <c r="AJ25" i="9"/>
  <c r="AD87" i="9"/>
  <c r="B9" i="14"/>
  <c r="S18" i="2"/>
  <c r="P19" i="2"/>
  <c r="N19" i="2"/>
  <c r="R19" i="2"/>
  <c r="Q18" i="2"/>
  <c r="M19" i="2"/>
  <c r="J20" i="10"/>
  <c r="N20" i="5" s="1"/>
  <c r="E22" i="8" l="1"/>
  <c r="AH37" i="9"/>
  <c r="AO37" i="8" s="1"/>
  <c r="G20" i="8"/>
  <c r="CF19" i="8"/>
  <c r="O19" i="2"/>
  <c r="BO19" i="5" a="1"/>
  <c r="BO19" i="5" s="1"/>
  <c r="AL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Q12" i="8"/>
  <c r="DD12" i="8" s="1"/>
  <c r="G12" i="1" s="1"/>
  <c r="N12" i="8" s="1"/>
  <c r="CO13" i="8"/>
  <c r="CS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X15" i="9" s="1"/>
  <c r="CZ13" i="8"/>
  <c r="DF15" i="8"/>
  <c r="DG15" i="8" s="1"/>
  <c r="CD13" i="8"/>
  <c r="P13" i="8" s="1"/>
  <c r="CP13" i="8"/>
  <c r="D15" i="9"/>
  <c r="X15" i="8"/>
  <c r="DB15" i="8" s="1"/>
  <c r="AC15" i="8"/>
  <c r="BQ15" i="8" s="1"/>
  <c r="AJ15" i="5"/>
  <c r="AP15" i="5" s="1"/>
  <c r="B15" i="7"/>
  <c r="Q15" i="7" s="1"/>
  <c r="A15" i="10"/>
  <c r="AA15" i="10" s="1"/>
  <c r="CK15" i="8"/>
  <c r="BT15" i="5"/>
  <c r="AI15" i="5"/>
  <c r="BI15" i="8"/>
  <c r="BW15" i="8"/>
  <c r="CH15" i="8" s="1"/>
  <c r="CX15" i="8" s="1"/>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CY14" i="8" s="1"/>
  <c r="CG20" i="8"/>
  <c r="N14" i="7"/>
  <c r="AG26" i="9"/>
  <c r="CB14" i="8"/>
  <c r="CR14" i="8" s="1"/>
  <c r="BY14" i="8"/>
  <c r="CA14" i="8"/>
  <c r="BZ14" i="8"/>
  <c r="CH14" i="8"/>
  <c r="CX14" i="8" s="1"/>
  <c r="CC14" i="8"/>
  <c r="CT14" i="8" s="1"/>
  <c r="CU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E23" i="8" l="1"/>
  <c r="AH38" i="9"/>
  <c r="AO38" i="8" s="1"/>
  <c r="G21" i="8"/>
  <c r="CF20" i="8"/>
  <c r="O20" i="2"/>
  <c r="BB20" i="5" a="1"/>
  <c r="BB20" i="5" s="1"/>
  <c r="BJ20" i="5" a="1"/>
  <c r="BJ20" i="5" s="1"/>
  <c r="AL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Q13" i="8"/>
  <c r="P14"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CY15" i="8" s="1"/>
  <c r="CZ15" i="8" s="1"/>
  <c r="CC15" i="8"/>
  <c r="CT15" i="8" s="1"/>
  <c r="CU15" i="8" s="1"/>
  <c r="CA15" i="8"/>
  <c r="BZ15" i="8"/>
  <c r="N15" i="7"/>
  <c r="CV13" i="8"/>
  <c r="CW13" i="8" s="1"/>
  <c r="CB15" i="8"/>
  <c r="CR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O14" i="8"/>
  <c r="CS14" i="8" s="1"/>
  <c r="CE14" i="8"/>
  <c r="CV14" i="8" s="1"/>
  <c r="CW14" i="8" s="1"/>
  <c r="CZ14" i="8"/>
  <c r="DF16" i="8"/>
  <c r="DG16" i="8" s="1"/>
  <c r="CK16" i="8"/>
  <c r="CG21" i="8"/>
  <c r="BW16" i="8"/>
  <c r="AR14" i="5"/>
  <c r="BH16" i="8"/>
  <c r="BU16" i="8" s="1"/>
  <c r="BI16" i="8"/>
  <c r="AG27" i="9"/>
  <c r="AQ14" i="5"/>
  <c r="CP14" i="8"/>
  <c r="B14" i="14"/>
  <c r="AI16" i="5"/>
  <c r="X16" i="8"/>
  <c r="DB16" i="8" s="1"/>
  <c r="B16" i="9"/>
  <c r="X16" i="9" s="1"/>
  <c r="A16" i="11"/>
  <c r="AJ16" i="5"/>
  <c r="AP16" i="5" s="1"/>
  <c r="AC16" i="8"/>
  <c r="BQ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E24" i="8" l="1"/>
  <c r="AH39" i="9"/>
  <c r="AO39" i="8" s="1"/>
  <c r="G22" i="8"/>
  <c r="CF21" i="8"/>
  <c r="O21" i="2"/>
  <c r="AL28" i="9"/>
  <c r="BR16" i="8"/>
  <c r="BS16" i="8"/>
  <c r="AD19" i="1"/>
  <c r="CS21" i="5"/>
  <c r="CV21" i="5"/>
  <c r="CR21" i="5"/>
  <c r="CQ21" i="5"/>
  <c r="CW21" i="5"/>
  <c r="CU21" i="5"/>
  <c r="CT21" i="5"/>
  <c r="AY21" i="5" a="1"/>
  <c r="AY21" i="5" s="1"/>
  <c r="BL21" i="5" a="1"/>
  <c r="BL21" i="5" s="1"/>
  <c r="BO21" i="5" a="1"/>
  <c r="BO21" i="5" s="1"/>
  <c r="BA21" i="5" a="1"/>
  <c r="BA21" i="5" s="1"/>
  <c r="DD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V15" i="8" s="1"/>
  <c r="CW15" i="8" s="1"/>
  <c r="P15" i="8"/>
  <c r="CO15" i="8"/>
  <c r="CS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P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Q14" i="8"/>
  <c r="DD14" i="8" s="1"/>
  <c r="G14" i="1" s="1"/>
  <c r="N14" i="8" s="1"/>
  <c r="D17" i="9"/>
  <c r="DF17" i="8"/>
  <c r="DG17" i="8" s="1"/>
  <c r="CI16" i="8"/>
  <c r="CY16" i="8" s="1"/>
  <c r="CK17" i="8"/>
  <c r="CG22" i="8"/>
  <c r="BW17" i="8"/>
  <c r="BX16" i="8"/>
  <c r="CE16" i="8" s="1"/>
  <c r="N16" i="7"/>
  <c r="BH17" i="8"/>
  <c r="BU17" i="8" s="1"/>
  <c r="BI17" i="8"/>
  <c r="AG28" i="9"/>
  <c r="CC16" i="8"/>
  <c r="CT16" i="8" s="1"/>
  <c r="CU16" i="8" s="1"/>
  <c r="CH16" i="8"/>
  <c r="CX16" i="8" s="1"/>
  <c r="CA16" i="8"/>
  <c r="BZ16" i="8"/>
  <c r="CB16" i="8"/>
  <c r="CR16" i="8" s="1"/>
  <c r="BY16" i="8"/>
  <c r="AC15" i="11"/>
  <c r="U15" i="8" s="1"/>
  <c r="AA15" i="11"/>
  <c r="AK15" i="1" s="1"/>
  <c r="Y15" i="11"/>
  <c r="AH15" i="1" s="1"/>
  <c r="AD15" i="11"/>
  <c r="AI15" i="1" s="1"/>
  <c r="Z15" i="11"/>
  <c r="AB15" i="11"/>
  <c r="Q15" i="8" s="1"/>
  <c r="N16" i="11"/>
  <c r="B17" i="9"/>
  <c r="X17" i="9" s="1"/>
  <c r="AI17" i="5"/>
  <c r="A17" i="11"/>
  <c r="AC17" i="8"/>
  <c r="BQ17" i="8" s="1"/>
  <c r="BT17" i="5"/>
  <c r="AJ17" i="5"/>
  <c r="AP17" i="5" s="1"/>
  <c r="X17" i="8"/>
  <c r="DB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E25" i="8" l="1"/>
  <c r="AH40" i="9"/>
  <c r="AO40" i="8" s="1"/>
  <c r="G23" i="8"/>
  <c r="CF22" i="8"/>
  <c r="O22" i="2"/>
  <c r="BN22" i="5" a="1"/>
  <c r="BN22" i="5" s="1"/>
  <c r="BM22" i="5" a="1"/>
  <c r="BM22" i="5" s="1"/>
  <c r="BG22" i="5" a="1"/>
  <c r="BG22" i="5" s="1"/>
  <c r="BH22" i="5" a="1"/>
  <c r="BH22" i="5" s="1"/>
  <c r="BE22" i="5" a="1"/>
  <c r="BE22" i="5" s="1"/>
  <c r="BB22" i="5" a="1"/>
  <c r="BB22" i="5" s="1"/>
  <c r="AL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Q15" i="8"/>
  <c r="DD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CC18" i="8" s="1"/>
  <c r="CT18" i="8" s="1"/>
  <c r="CU18" i="8" s="1"/>
  <c r="X18" i="8"/>
  <c r="DB18" i="8" s="1"/>
  <c r="AJ18" i="5"/>
  <c r="AP18" i="5" s="1"/>
  <c r="B18" i="9"/>
  <c r="X18" i="9" s="1"/>
  <c r="A18" i="10"/>
  <c r="BU20" i="5"/>
  <c r="B20" i="1"/>
  <c r="BG20" i="1" s="1"/>
  <c r="AH20" i="5"/>
  <c r="B20" i="2"/>
  <c r="E18" i="1"/>
  <c r="BT18" i="5"/>
  <c r="AC18" i="8"/>
  <c r="BQ18" i="8" s="1"/>
  <c r="CK18" i="8"/>
  <c r="DF18" i="8"/>
  <c r="DG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O16" i="8"/>
  <c r="CS16" i="8" s="1"/>
  <c r="D18" i="9"/>
  <c r="CI17" i="8"/>
  <c r="CY17" i="8" s="1"/>
  <c r="CZ16" i="8"/>
  <c r="CG23" i="8"/>
  <c r="CD16" i="8"/>
  <c r="BX17" i="8"/>
  <c r="CD17" i="8" s="1"/>
  <c r="N17" i="7"/>
  <c r="AG29" i="9"/>
  <c r="AQ16" i="5"/>
  <c r="Q17" i="7"/>
  <c r="AE17" i="7"/>
  <c r="AF17" i="7" s="1"/>
  <c r="CP16" i="8"/>
  <c r="AC16" i="11"/>
  <c r="U16" i="8" s="1"/>
  <c r="Z16" i="11"/>
  <c r="AA16" i="11"/>
  <c r="AK16" i="1" s="1"/>
  <c r="Y16" i="11"/>
  <c r="AH16" i="1" s="1"/>
  <c r="AB16" i="11"/>
  <c r="Q16" i="8" s="1"/>
  <c r="AD16" i="11"/>
  <c r="AI16" i="1" s="1"/>
  <c r="N17" i="11"/>
  <c r="CZ20" i="5"/>
  <c r="CC17" i="8"/>
  <c r="CT17" i="8" s="1"/>
  <c r="CU17" i="8" s="1"/>
  <c r="CH17" i="8"/>
  <c r="CX17" i="8" s="1"/>
  <c r="CA17" i="8"/>
  <c r="CB17" i="8"/>
  <c r="CR17" i="8" s="1"/>
  <c r="BZ17" i="8"/>
  <c r="BY17" i="8"/>
  <c r="AR16" i="5"/>
  <c r="C19" i="5"/>
  <c r="F19" i="5" s="1"/>
  <c r="AW19" i="5" s="1"/>
  <c r="AB20" i="1"/>
  <c r="DI20" i="5"/>
  <c r="AC19" i="1"/>
  <c r="DA19" i="5"/>
  <c r="DG19" i="5" s="1" a="1"/>
  <c r="DG19" i="5" s="1"/>
  <c r="AF29" i="9"/>
  <c r="AJ29" i="9"/>
  <c r="AD91" i="9"/>
  <c r="B16" i="14"/>
  <c r="N5" i="1"/>
  <c r="S22" i="2"/>
  <c r="N23" i="2"/>
  <c r="R23" i="2"/>
  <c r="Q22" i="2"/>
  <c r="M23" i="2"/>
  <c r="P24" i="2"/>
  <c r="J24" i="10"/>
  <c r="N24" i="5" s="1"/>
  <c r="E26" i="8" l="1"/>
  <c r="AH41" i="9"/>
  <c r="AO41"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R18" i="8"/>
  <c r="BS18" i="8"/>
  <c r="BE23" i="5" a="1"/>
  <c r="BE23" i="5" s="1"/>
  <c r="BG23" i="5" a="1"/>
  <c r="BG23" i="5" s="1"/>
  <c r="CR23" i="5"/>
  <c r="CS23" i="5"/>
  <c r="CQ23" i="5"/>
  <c r="CU23" i="5"/>
  <c r="CT23" i="5"/>
  <c r="CV23" i="5"/>
  <c r="CW23" i="5"/>
  <c r="AY23" i="5" a="1"/>
  <c r="AY23" i="5" s="1"/>
  <c r="BL23" i="5" a="1"/>
  <c r="BL23" i="5" s="1"/>
  <c r="BM23" i="5" a="1"/>
  <c r="BM23" i="5" s="1"/>
  <c r="V21" i="2"/>
  <c r="P17" i="8"/>
  <c r="CV16" i="8"/>
  <c r="CW16" i="8" s="1"/>
  <c r="P16" i="8"/>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R18" i="8" s="1"/>
  <c r="AE18" i="7"/>
  <c r="AF18" i="7" s="1"/>
  <c r="D19" i="9"/>
  <c r="BY18" i="8"/>
  <c r="CH18" i="8"/>
  <c r="CX18" i="8" s="1"/>
  <c r="N18" i="7"/>
  <c r="CI18" i="8"/>
  <c r="CY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Q16" i="8"/>
  <c r="CO17" i="8"/>
  <c r="CS17" i="8" s="1"/>
  <c r="CZ17" i="8"/>
  <c r="CE17" i="8"/>
  <c r="CV17" i="8" s="1"/>
  <c r="CW17" i="8" s="1"/>
  <c r="DF19" i="8"/>
  <c r="DG19" i="8" s="1"/>
  <c r="CK19" i="8"/>
  <c r="CG24" i="8"/>
  <c r="BW19" i="8"/>
  <c r="BH19" i="8"/>
  <c r="BI19" i="8"/>
  <c r="AG30" i="9"/>
  <c r="E19" i="1"/>
  <c r="AI19" i="5"/>
  <c r="X19" i="8"/>
  <c r="DB19" i="8" s="1"/>
  <c r="B19" i="9"/>
  <c r="X19" i="9" s="1"/>
  <c r="A19" i="11"/>
  <c r="AC19" i="8"/>
  <c r="BQ19" i="8" s="1"/>
  <c r="BT19" i="5"/>
  <c r="AJ19" i="5"/>
  <c r="AP19" i="5" s="1"/>
  <c r="A19" i="10"/>
  <c r="AA19" i="10" s="1"/>
  <c r="B19" i="7"/>
  <c r="C20" i="5"/>
  <c r="F20" i="5" s="1"/>
  <c r="AW20" i="5" s="1"/>
  <c r="AQ17" i="5"/>
  <c r="CZ21" i="5"/>
  <c r="CP17" i="8"/>
  <c r="AR17" i="5"/>
  <c r="C21" i="5"/>
  <c r="AC20" i="1"/>
  <c r="DA20" i="5"/>
  <c r="DG20" i="5" s="1" a="1"/>
  <c r="DG20" i="5" s="1"/>
  <c r="AB21" i="1"/>
  <c r="DI21" i="5"/>
  <c r="AF30" i="9"/>
  <c r="AJ30" i="9"/>
  <c r="AD92" i="9"/>
  <c r="N6" i="1"/>
  <c r="S23" i="2"/>
  <c r="N24" i="2"/>
  <c r="R24" i="2"/>
  <c r="Q23" i="2"/>
  <c r="J25" i="10"/>
  <c r="N25" i="5" s="1"/>
  <c r="P25" i="2"/>
  <c r="M24" i="2"/>
  <c r="E27" i="8" l="1"/>
  <c r="AH42" i="9"/>
  <c r="AO42" i="8" s="1"/>
  <c r="G25" i="8"/>
  <c r="CF24" i="8"/>
  <c r="O24" i="2"/>
  <c r="AD22" i="1"/>
  <c r="BG24" i="5" a="1"/>
  <c r="BG24" i="5" s="1"/>
  <c r="AL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D16" i="8"/>
  <c r="G16" i="1" s="1"/>
  <c r="N16" i="8" s="1"/>
  <c r="P18" i="8"/>
  <c r="CO18" i="8"/>
  <c r="CS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V18" i="8" s="1"/>
  <c r="CW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P18" i="8"/>
  <c r="AR18" i="5"/>
  <c r="D20" i="9"/>
  <c r="CZ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Q17" i="8"/>
  <c r="DD17" i="8" s="1"/>
  <c r="G17" i="1" s="1"/>
  <c r="N17" i="8" s="1"/>
  <c r="CI19" i="8"/>
  <c r="CY19" i="8" s="1"/>
  <c r="DF20" i="8"/>
  <c r="DG20" i="8" s="1"/>
  <c r="CG25" i="8"/>
  <c r="CK20" i="8"/>
  <c r="BW20" i="8"/>
  <c r="BX19" i="8"/>
  <c r="CE19" i="8" s="1"/>
  <c r="N19" i="7"/>
  <c r="BH20" i="8"/>
  <c r="BU20" i="8" s="1"/>
  <c r="BI20" i="8"/>
  <c r="AG31" i="9"/>
  <c r="AJ20" i="5"/>
  <c r="AP20" i="5" s="1"/>
  <c r="X20" i="8"/>
  <c r="DB20" i="8" s="1"/>
  <c r="B20" i="9"/>
  <c r="X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T19" i="8" s="1"/>
  <c r="CU19" i="8" s="1"/>
  <c r="CH19" i="8"/>
  <c r="CX19" i="8" s="1"/>
  <c r="CA19" i="8"/>
  <c r="CB19" i="8"/>
  <c r="CR19" i="8" s="1"/>
  <c r="BY19" i="8"/>
  <c r="BZ19" i="8"/>
  <c r="DI22" i="5"/>
  <c r="AB22" i="1"/>
  <c r="AC21" i="1"/>
  <c r="DA21" i="5"/>
  <c r="DG21" i="5" s="1" a="1"/>
  <c r="DG21" i="5" s="1"/>
  <c r="AF31" i="9"/>
  <c r="AJ31" i="9"/>
  <c r="AD93" i="9"/>
  <c r="B17" i="14"/>
  <c r="N7" i="1"/>
  <c r="S24" i="2"/>
  <c r="N25" i="2"/>
  <c r="R25" i="2"/>
  <c r="Q24" i="2"/>
  <c r="P26" i="2"/>
  <c r="M25" i="2"/>
  <c r="J26" i="10"/>
  <c r="N26" i="5" s="1"/>
  <c r="E28" i="8" l="1"/>
  <c r="AH43" i="9"/>
  <c r="AO43" i="8" s="1"/>
  <c r="G26" i="8"/>
  <c r="CF25" i="8"/>
  <c r="O25" i="2"/>
  <c r="BK25" i="5" a="1"/>
  <c r="BK25" i="5" s="1"/>
  <c r="BI25" i="5" a="1"/>
  <c r="BI25" i="5" s="1"/>
  <c r="BC25" i="5" a="1"/>
  <c r="BC25" i="5" s="1"/>
  <c r="BJ25" i="5" a="1"/>
  <c r="BJ25" i="5" s="1"/>
  <c r="BM25" i="5" a="1"/>
  <c r="BM25" i="5" s="1"/>
  <c r="AL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Q18" i="8"/>
  <c r="DD18" i="8" s="1"/>
  <c r="G18" i="1" s="1"/>
  <c r="N18" i="8" s="1"/>
  <c r="F28" i="8"/>
  <c r="AO20" i="5"/>
  <c r="AV21" i="5"/>
  <c r="BP24" i="5" a="1"/>
  <c r="BP24" i="5" s="1"/>
  <c r="J24" i="2" s="1"/>
  <c r="DF21" i="8"/>
  <c r="DG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CA21" i="8" s="1"/>
  <c r="B23" i="5"/>
  <c r="X21" i="8"/>
  <c r="DB21" i="8" s="1"/>
  <c r="BI21" i="8"/>
  <c r="B21" i="7"/>
  <c r="AE21" i="7" s="1"/>
  <c r="AF21" i="7" s="1"/>
  <c r="BH21" i="8"/>
  <c r="BU21" i="8" s="1"/>
  <c r="A21" i="10"/>
  <c r="AA21" i="10" s="1"/>
  <c r="B21" i="9"/>
  <c r="X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O19" i="8"/>
  <c r="CS19" i="8" s="1"/>
  <c r="D21" i="9"/>
  <c r="CZ19" i="8"/>
  <c r="CI20" i="8"/>
  <c r="CY20" i="8" s="1"/>
  <c r="CG26" i="8"/>
  <c r="CD19" i="8"/>
  <c r="BX20" i="8"/>
  <c r="CD20" i="8" s="1"/>
  <c r="N20" i="7"/>
  <c r="AG32" i="9"/>
  <c r="C22" i="5"/>
  <c r="F22" i="5" s="1"/>
  <c r="AW22" i="5" s="1"/>
  <c r="CZ23" i="5"/>
  <c r="CP19" i="8"/>
  <c r="Z19" i="11"/>
  <c r="N20" i="11"/>
  <c r="AC19" i="11"/>
  <c r="U19" i="8" s="1"/>
  <c r="AB19" i="11"/>
  <c r="Q19" i="8" s="1"/>
  <c r="AA19" i="11"/>
  <c r="AK19" i="1" s="1"/>
  <c r="AD19" i="11"/>
  <c r="AI19" i="1" s="1"/>
  <c r="Y19" i="11"/>
  <c r="AH19" i="1" s="1"/>
  <c r="Q20" i="7"/>
  <c r="AE20" i="7"/>
  <c r="AF20" i="7" s="1"/>
  <c r="AR19" i="5"/>
  <c r="AQ19" i="5"/>
  <c r="BY20" i="8"/>
  <c r="BZ20" i="8"/>
  <c r="CC20" i="8"/>
  <c r="CT20" i="8" s="1"/>
  <c r="CU20" i="8" s="1"/>
  <c r="CH20" i="8"/>
  <c r="CX20" i="8" s="1"/>
  <c r="CA20" i="8"/>
  <c r="CB20" i="8"/>
  <c r="CR20" i="8" s="1"/>
  <c r="C23" i="5"/>
  <c r="AC22" i="1"/>
  <c r="DA22" i="5"/>
  <c r="DG22" i="5" s="1" a="1"/>
  <c r="DG22" i="5" s="1"/>
  <c r="DI23" i="5"/>
  <c r="AB23" i="1"/>
  <c r="AF32" i="9"/>
  <c r="AJ32" i="9"/>
  <c r="AD94" i="9"/>
  <c r="B18" i="14"/>
  <c r="N8" i="1"/>
  <c r="S25" i="2"/>
  <c r="N26" i="2"/>
  <c r="R26" i="2"/>
  <c r="Q25" i="2"/>
  <c r="M26" i="2"/>
  <c r="J27" i="10"/>
  <c r="N27" i="5" s="1"/>
  <c r="P27" i="2"/>
  <c r="E29" i="8" l="1"/>
  <c r="AH44" i="9"/>
  <c r="AO44" i="8" s="1"/>
  <c r="G27" i="8"/>
  <c r="CF26" i="8"/>
  <c r="O26" i="2"/>
  <c r="BK26" i="5" a="1"/>
  <c r="BK26" i="5" s="1"/>
  <c r="AL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CY21" i="8" s="1"/>
  <c r="P20" i="8"/>
  <c r="CV19" i="8"/>
  <c r="CW19" i="8" s="1"/>
  <c r="P19" i="8"/>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R21" i="8" s="1"/>
  <c r="F23" i="5"/>
  <c r="AW23" i="5" s="1"/>
  <c r="Z20" i="11"/>
  <c r="AA20" i="11"/>
  <c r="AK20" i="1" s="1"/>
  <c r="Y20" i="11"/>
  <c r="AH20" i="1" s="1"/>
  <c r="AB20" i="11"/>
  <c r="Q20" i="8" s="1"/>
  <c r="BY21" i="8"/>
  <c r="BZ21" i="8"/>
  <c r="CP21" i="8" s="1"/>
  <c r="CC21" i="8"/>
  <c r="CT21" i="8" s="1"/>
  <c r="CU21" i="8" s="1"/>
  <c r="N21" i="7"/>
  <c r="CH21" i="8"/>
  <c r="CX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Q19" i="8"/>
  <c r="CO20" i="8"/>
  <c r="CS20" i="8" s="1"/>
  <c r="CZ20" i="8"/>
  <c r="DF22" i="8"/>
  <c r="DG22" i="8" s="1"/>
  <c r="CE20" i="8"/>
  <c r="CV20" i="8" s="1"/>
  <c r="CW20" i="8" s="1"/>
  <c r="CK22" i="8"/>
  <c r="CG27" i="8"/>
  <c r="BW22" i="8"/>
  <c r="BH22" i="8"/>
  <c r="BU22" i="8" s="1"/>
  <c r="BI22" i="8"/>
  <c r="AG33" i="9"/>
  <c r="AR20" i="5"/>
  <c r="AQ20" i="5"/>
  <c r="CP20" i="8"/>
  <c r="AJ22" i="5"/>
  <c r="AP22" i="5" s="1"/>
  <c r="X22" i="8"/>
  <c r="DB22" i="8" s="1"/>
  <c r="E22" i="1"/>
  <c r="B22" i="9"/>
  <c r="X22" i="9" s="1"/>
  <c r="AI22" i="5"/>
  <c r="A22" i="11"/>
  <c r="AC22" i="8"/>
  <c r="BQ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E30" i="8" l="1"/>
  <c r="AH45" i="9"/>
  <c r="AO45" i="8" s="1"/>
  <c r="G28" i="8"/>
  <c r="CF27" i="8"/>
  <c r="O27" i="2"/>
  <c r="BB27" i="5" a="1"/>
  <c r="BB27" i="5" s="1"/>
  <c r="BN27" i="5" a="1"/>
  <c r="BN27" i="5" s="1"/>
  <c r="AL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Z21" i="8"/>
  <c r="DD19" i="8"/>
  <c r="G19" i="1" s="1"/>
  <c r="N19" i="8" s="1"/>
  <c r="CO21" i="8"/>
  <c r="CS21" i="8" s="1"/>
  <c r="F30" i="8"/>
  <c r="AO22" i="5"/>
  <c r="AV23" i="5"/>
  <c r="BP26" i="5" a="1"/>
  <c r="BP26" i="5" s="1"/>
  <c r="J26" i="2" s="1"/>
  <c r="DF23" i="8"/>
  <c r="DG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B23" i="8" s="1"/>
  <c r="BI23" i="8"/>
  <c r="AJ23" i="5"/>
  <c r="AP23" i="5" s="1"/>
  <c r="BW23" i="8"/>
  <c r="CC23" i="8" s="1"/>
  <c r="CT23" i="8" s="1"/>
  <c r="CU23" i="8" s="1"/>
  <c r="AI23" i="5"/>
  <c r="AC23" i="8"/>
  <c r="BQ23" i="8" s="1"/>
  <c r="A23" i="11"/>
  <c r="N23" i="11" s="1"/>
  <c r="E23" i="1"/>
  <c r="B23" i="9"/>
  <c r="X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Q20" i="8"/>
  <c r="DD20" i="8" s="1"/>
  <c r="G20" i="1" s="1"/>
  <c r="N20" i="8" s="1"/>
  <c r="D23" i="9"/>
  <c r="CI22" i="8"/>
  <c r="CY22" i="8" s="1"/>
  <c r="CG28" i="8"/>
  <c r="BX22" i="8"/>
  <c r="CD22" i="8" s="1"/>
  <c r="N22" i="7"/>
  <c r="AG34" i="9"/>
  <c r="CZ25" i="5"/>
  <c r="CH22" i="8"/>
  <c r="CX22" i="8" s="1"/>
  <c r="CA22" i="8"/>
  <c r="CB22" i="8"/>
  <c r="CR22" i="8" s="1"/>
  <c r="BY22" i="8"/>
  <c r="BZ22" i="8"/>
  <c r="CC22" i="8"/>
  <c r="CT22" i="8" s="1"/>
  <c r="CU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E31" i="8" l="1"/>
  <c r="AH46" i="9"/>
  <c r="AO46" i="8" s="1"/>
  <c r="G29" i="8"/>
  <c r="CF28" i="8"/>
  <c r="O28" i="2"/>
  <c r="AD26" i="1"/>
  <c r="BN28" i="5" a="1"/>
  <c r="BN28" i="5" s="1"/>
  <c r="AT27" i="5"/>
  <c r="BO28" i="5" a="1"/>
  <c r="BO28" i="5" s="1"/>
  <c r="BJ28" i="5" a="1"/>
  <c r="BJ28" i="5" s="1"/>
  <c r="AL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Q21" i="8"/>
  <c r="CI23" i="8"/>
  <c r="CY23" i="8" s="1"/>
  <c r="P22" i="8"/>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V21" i="8"/>
  <c r="CW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R23" i="8" s="1"/>
  <c r="CH23" i="8"/>
  <c r="CX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O22" i="8"/>
  <c r="CS22" i="8" s="1"/>
  <c r="CZ22" i="8"/>
  <c r="DF24" i="8"/>
  <c r="DG24" i="8" s="1"/>
  <c r="CE22" i="8"/>
  <c r="CV22" i="8" s="1"/>
  <c r="CW22" i="8" s="1"/>
  <c r="CK24" i="8"/>
  <c r="CG29" i="8"/>
  <c r="BW24" i="8"/>
  <c r="BH24" i="8"/>
  <c r="BI24" i="8"/>
  <c r="AG35" i="9"/>
  <c r="AR22" i="5"/>
  <c r="AI24" i="5"/>
  <c r="A24" i="11"/>
  <c r="E24" i="1"/>
  <c r="AC24" i="8"/>
  <c r="BQ24" i="8" s="1"/>
  <c r="BT24" i="5"/>
  <c r="A24" i="10"/>
  <c r="AA24" i="10" s="1"/>
  <c r="B24" i="7"/>
  <c r="B24" i="9"/>
  <c r="X24" i="9" s="1"/>
  <c r="AJ24" i="5"/>
  <c r="AP24" i="5" s="1"/>
  <c r="X24" i="8"/>
  <c r="DB24" i="8" s="1"/>
  <c r="CZ26" i="5"/>
  <c r="AQ22" i="5"/>
  <c r="CP22" i="8"/>
  <c r="AB26" i="1"/>
  <c r="DI26" i="5"/>
  <c r="AC25" i="1"/>
  <c r="DA25" i="5"/>
  <c r="DG25" i="5" s="1" a="1"/>
  <c r="DG25" i="5" s="1"/>
  <c r="AF35" i="9"/>
  <c r="AJ35" i="9"/>
  <c r="AD97" i="9"/>
  <c r="B21" i="14"/>
  <c r="N11" i="1"/>
  <c r="S28" i="2"/>
  <c r="N29" i="2"/>
  <c r="R29" i="2"/>
  <c r="Q28" i="2"/>
  <c r="J30" i="10"/>
  <c r="N30" i="5" s="1"/>
  <c r="M29" i="2"/>
  <c r="P30" i="2"/>
  <c r="E32" i="8" l="1"/>
  <c r="AH47" i="9"/>
  <c r="AO47" i="8" s="1"/>
  <c r="G30" i="8"/>
  <c r="CF29" i="8"/>
  <c r="O29" i="2"/>
  <c r="BN29" i="5" a="1"/>
  <c r="BN29" i="5" s="1"/>
  <c r="AD27" i="1"/>
  <c r="BH29" i="5" a="1"/>
  <c r="BH29" i="5" s="1"/>
  <c r="AL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D21" i="8"/>
  <c r="G21" i="1" s="1"/>
  <c r="N21" i="8" s="1"/>
  <c r="V27" i="2"/>
  <c r="CZ23" i="8"/>
  <c r="CO23" i="8"/>
  <c r="CS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P23" i="8"/>
  <c r="B25" i="9"/>
  <c r="X25" i="9" s="1"/>
  <c r="CD23" i="8"/>
  <c r="P23" i="8" s="1"/>
  <c r="AI25" i="5"/>
  <c r="DF25" i="8"/>
  <c r="DG25" i="8" s="1"/>
  <c r="E25" i="1"/>
  <c r="AJ25" i="5"/>
  <c r="AP25" i="5" s="1"/>
  <c r="BH25" i="8"/>
  <c r="BU25" i="8" s="1"/>
  <c r="BW25" i="8"/>
  <c r="CB25" i="8" s="1"/>
  <c r="CR25" i="8" s="1"/>
  <c r="D25" i="9"/>
  <c r="BT25" i="5"/>
  <c r="AC25" i="8"/>
  <c r="BQ25" i="8" s="1"/>
  <c r="B25" i="7"/>
  <c r="Q25" i="7" s="1"/>
  <c r="X25" i="8"/>
  <c r="DB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Q22" i="8"/>
  <c r="DD22" i="8" s="1"/>
  <c r="G22" i="1" s="1"/>
  <c r="N22" i="8" s="1"/>
  <c r="CI24" i="8"/>
  <c r="CY24" i="8" s="1"/>
  <c r="CG30" i="8"/>
  <c r="BX24" i="8"/>
  <c r="CD24" i="8" s="1"/>
  <c r="N24" i="7"/>
  <c r="AG36" i="9"/>
  <c r="AE24" i="7"/>
  <c r="AF24" i="7" s="1"/>
  <c r="Q24" i="7"/>
  <c r="C26" i="5"/>
  <c r="F26" i="5" s="1"/>
  <c r="AW26" i="5" s="1"/>
  <c r="Z23" i="11"/>
  <c r="AA23" i="11"/>
  <c r="AK23" i="1" s="1"/>
  <c r="AD23" i="11"/>
  <c r="AI23" i="1" s="1"/>
  <c r="Y23" i="11"/>
  <c r="AH23" i="1" s="1"/>
  <c r="N24" i="11"/>
  <c r="AC23" i="11"/>
  <c r="U23" i="8" s="1"/>
  <c r="AB23" i="11"/>
  <c r="Q23" i="8" s="1"/>
  <c r="BY24" i="8"/>
  <c r="BZ24" i="8"/>
  <c r="CC24" i="8"/>
  <c r="CT24" i="8" s="1"/>
  <c r="CU24" i="8" s="1"/>
  <c r="CH24" i="8"/>
  <c r="CX24" i="8" s="1"/>
  <c r="CA24" i="8"/>
  <c r="CB24" i="8"/>
  <c r="CR24" i="8" s="1"/>
  <c r="CZ27" i="5"/>
  <c r="AC26" i="1"/>
  <c r="DA26" i="5"/>
  <c r="DG26" i="5" s="1" a="1"/>
  <c r="DG26" i="5" s="1"/>
  <c r="AB27" i="1"/>
  <c r="DI27" i="5"/>
  <c r="AF36" i="9"/>
  <c r="AJ36" i="9"/>
  <c r="AD98" i="9"/>
  <c r="B22" i="14"/>
  <c r="N12" i="1"/>
  <c r="S29" i="2"/>
  <c r="N30" i="2"/>
  <c r="R30" i="2"/>
  <c r="Q29" i="2"/>
  <c r="J31" i="10"/>
  <c r="N31" i="5" s="1"/>
  <c r="M30" i="2"/>
  <c r="P31" i="2"/>
  <c r="E33" i="8" l="1"/>
  <c r="AH48" i="9"/>
  <c r="AO48" i="8" s="1"/>
  <c r="G31" i="8"/>
  <c r="CF30" i="8"/>
  <c r="O30" i="2"/>
  <c r="AD28" i="1"/>
  <c r="AL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Q23" i="8"/>
  <c r="P24"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V23" i="8"/>
  <c r="CW23" i="8" s="1"/>
  <c r="AC24" i="11"/>
  <c r="U24" i="8" s="1"/>
  <c r="AB24" i="11"/>
  <c r="Q24" i="8" s="1"/>
  <c r="BZ25" i="8"/>
  <c r="CC25" i="8"/>
  <c r="CT25" i="8" s="1"/>
  <c r="CU25" i="8" s="1"/>
  <c r="CI25" i="8"/>
  <c r="CY25" i="8" s="1"/>
  <c r="CA25" i="8"/>
  <c r="CH25" i="8"/>
  <c r="CX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O24" i="8"/>
  <c r="CS24" i="8" s="1"/>
  <c r="CZ24" i="8"/>
  <c r="DF26" i="8"/>
  <c r="DG26" i="8" s="1"/>
  <c r="CE24" i="8"/>
  <c r="CV24" i="8" s="1"/>
  <c r="CW24" i="8" s="1"/>
  <c r="CK26" i="8"/>
  <c r="CG31" i="8"/>
  <c r="BW26" i="8"/>
  <c r="BH26" i="8"/>
  <c r="BI26" i="8"/>
  <c r="AG37" i="9"/>
  <c r="AR24" i="5"/>
  <c r="C27" i="5"/>
  <c r="F27" i="5" s="1"/>
  <c r="AW27" i="5" s="1"/>
  <c r="CZ28" i="5"/>
  <c r="CP24" i="8"/>
  <c r="AQ24" i="5"/>
  <c r="AJ26" i="5"/>
  <c r="AP26" i="5" s="1"/>
  <c r="AC26" i="8"/>
  <c r="BQ26" i="8" s="1"/>
  <c r="BT26" i="5"/>
  <c r="A26" i="10"/>
  <c r="AA26" i="10" s="1"/>
  <c r="B26" i="7"/>
  <c r="X26" i="8"/>
  <c r="DB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E34" i="8" l="1"/>
  <c r="AH49" i="9"/>
  <c r="AO49" i="8" s="1"/>
  <c r="G32" i="8"/>
  <c r="CF31" i="8"/>
  <c r="O31" i="2"/>
  <c r="AL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D23" i="8"/>
  <c r="G23" i="1" s="1"/>
  <c r="N23" i="8" s="1"/>
  <c r="V29" i="2"/>
  <c r="CO25" i="8"/>
  <c r="CS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P25" i="8"/>
  <c r="CZ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Q24" i="8"/>
  <c r="DD24" i="8" s="1"/>
  <c r="G24" i="1" s="1"/>
  <c r="N24" i="8" s="1"/>
  <c r="BX26" i="8"/>
  <c r="CD26" i="8" s="1"/>
  <c r="CI26" i="8"/>
  <c r="CY26" i="8" s="1"/>
  <c r="DF27" i="8"/>
  <c r="DG27" i="8" s="1"/>
  <c r="CK27" i="8"/>
  <c r="CG32" i="8"/>
  <c r="BW27" i="8"/>
  <c r="N26" i="7"/>
  <c r="BH27" i="8"/>
  <c r="BU27" i="8" s="1"/>
  <c r="BI27" i="8"/>
  <c r="AG38" i="9"/>
  <c r="AA25" i="11"/>
  <c r="AK25" i="1" s="1"/>
  <c r="Z25" i="11"/>
  <c r="AC25" i="11"/>
  <c r="U25" i="8" s="1"/>
  <c r="AD25" i="11"/>
  <c r="AI25" i="1" s="1"/>
  <c r="N26" i="11"/>
  <c r="AB25" i="11"/>
  <c r="Q25" i="8" s="1"/>
  <c r="Y25" i="11"/>
  <c r="AH25" i="1" s="1"/>
  <c r="CZ29" i="5"/>
  <c r="C28" i="5"/>
  <c r="F28" i="5" s="1"/>
  <c r="AW28" i="5" s="1"/>
  <c r="CH26" i="8"/>
  <c r="CX26" i="8" s="1"/>
  <c r="CA26" i="8"/>
  <c r="BY26" i="8"/>
  <c r="BZ26" i="8"/>
  <c r="CC26" i="8"/>
  <c r="CT26" i="8" s="1"/>
  <c r="CU26" i="8" s="1"/>
  <c r="CB26" i="8"/>
  <c r="CR26" i="8" s="1"/>
  <c r="A27" i="11"/>
  <c r="B27" i="9"/>
  <c r="X27" i="9" s="1"/>
  <c r="B27" i="7"/>
  <c r="AJ27" i="5"/>
  <c r="AP27" i="5" s="1"/>
  <c r="AC27" i="8"/>
  <c r="BQ27" i="8" s="1"/>
  <c r="BT27" i="5"/>
  <c r="AI27" i="5"/>
  <c r="X27" i="8"/>
  <c r="DB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E35" i="8" l="1"/>
  <c r="AH50" i="9"/>
  <c r="AO50" i="8" s="1"/>
  <c r="G33" i="8"/>
  <c r="CF32" i="8"/>
  <c r="O32" i="2"/>
  <c r="BM32" i="5" a="1"/>
  <c r="BM32" i="5" s="1"/>
  <c r="BJ32" i="5" a="1"/>
  <c r="BJ32" i="5" s="1"/>
  <c r="BI32" i="5" a="1"/>
  <c r="BI32" i="5" s="1"/>
  <c r="BB32" i="5" a="1"/>
  <c r="BB32" i="5" s="1"/>
  <c r="BK32" i="5" a="1"/>
  <c r="BK32" i="5" s="1"/>
  <c r="BQ32" i="5" a="1"/>
  <c r="BQ32" i="5" s="1"/>
  <c r="BA32" i="5" a="1"/>
  <c r="BA32" i="5" s="1"/>
  <c r="BO32" i="5" a="1"/>
  <c r="BO32" i="5" s="1"/>
  <c r="AL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Q25" i="8"/>
  <c r="P26"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V25" i="8"/>
  <c r="CW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O26" i="8"/>
  <c r="CS26" i="8" s="1"/>
  <c r="D28" i="9"/>
  <c r="CE26" i="8"/>
  <c r="CV26" i="8" s="1"/>
  <c r="CW26" i="8" s="1"/>
  <c r="CZ26" i="8"/>
  <c r="CI27" i="8"/>
  <c r="CY27" i="8" s="1"/>
  <c r="DF28" i="8"/>
  <c r="DG28" i="8" s="1"/>
  <c r="CK28" i="8"/>
  <c r="CG33" i="8"/>
  <c r="BW28" i="8"/>
  <c r="N27" i="7"/>
  <c r="BH28" i="8"/>
  <c r="BU28" i="8" s="1"/>
  <c r="BI28" i="8"/>
  <c r="AG39" i="9"/>
  <c r="AQ26" i="5"/>
  <c r="CP26" i="8"/>
  <c r="AR26" i="5"/>
  <c r="CZ30" i="5"/>
  <c r="BZ27" i="8"/>
  <c r="CC27" i="8"/>
  <c r="CT27" i="8" s="1"/>
  <c r="CU27" i="8" s="1"/>
  <c r="CH27" i="8"/>
  <c r="CX27" i="8" s="1"/>
  <c r="CB27" i="8"/>
  <c r="CR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B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E36" i="8" l="1"/>
  <c r="AH51" i="9"/>
  <c r="AO51" i="8" s="1"/>
  <c r="G34" i="8"/>
  <c r="CF33" i="8"/>
  <c r="O33" i="2"/>
  <c r="BB33" i="5" a="1"/>
  <c r="BB33" i="5" s="1"/>
  <c r="BF33" i="5" a="1"/>
  <c r="BF33" i="5" s="1"/>
  <c r="AE32" i="1" s="1"/>
  <c r="BE33" i="5" a="1"/>
  <c r="BE33" i="5" s="1"/>
  <c r="BN33" i="5" a="1"/>
  <c r="BN33" i="5" s="1"/>
  <c r="BQ33" i="5" a="1"/>
  <c r="BQ33" i="5" s="1"/>
  <c r="AL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D25" i="8"/>
  <c r="G25" i="1" s="1"/>
  <c r="N25" i="8" s="1"/>
  <c r="V31" i="2"/>
  <c r="P27" i="8"/>
  <c r="F36" i="8"/>
  <c r="AO28" i="5"/>
  <c r="AV29" i="5"/>
  <c r="BP32" i="5" a="1"/>
  <c r="BP32" i="5" s="1"/>
  <c r="J32" i="2" s="1"/>
  <c r="DF29" i="8"/>
  <c r="DG29" i="8" s="1"/>
  <c r="AG27" i="7"/>
  <c r="AI27" i="7" s="1"/>
  <c r="O37" i="1"/>
  <c r="CE27" i="8"/>
  <c r="CV27" i="8" s="1"/>
  <c r="CW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W29" i="8"/>
  <c r="CH29" i="8" s="1"/>
  <c r="CX29" i="8" s="1"/>
  <c r="BT29" i="5"/>
  <c r="AC29" i="8"/>
  <c r="BQ29" i="8" s="1"/>
  <c r="CK29" i="8"/>
  <c r="A29" i="11"/>
  <c r="N29" i="11" s="1"/>
  <c r="AJ29" i="5"/>
  <c r="AP29" i="5" s="1"/>
  <c r="BI29" i="8"/>
  <c r="AI29" i="5"/>
  <c r="BH29" i="8"/>
  <c r="BU29" i="8" s="1"/>
  <c r="X29" i="8"/>
  <c r="DB29" i="8" s="1"/>
  <c r="B29" i="7"/>
  <c r="AE29" i="7" s="1"/>
  <c r="AF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Q26" i="8"/>
  <c r="DD26" i="8" s="1"/>
  <c r="G26" i="1" s="1"/>
  <c r="N26" i="8" s="1"/>
  <c r="CO27" i="8"/>
  <c r="CS27" i="8" s="1"/>
  <c r="D29" i="9"/>
  <c r="CZ27" i="8"/>
  <c r="CI28" i="8"/>
  <c r="CY28" i="8" s="1"/>
  <c r="CG34" i="8"/>
  <c r="N28" i="7"/>
  <c r="AG40" i="9"/>
  <c r="B27" i="14"/>
  <c r="CP27" i="8"/>
  <c r="AR27" i="5"/>
  <c r="AQ27" i="5"/>
  <c r="BZ28" i="8"/>
  <c r="CC28" i="8"/>
  <c r="CT28" i="8" s="1"/>
  <c r="CU28" i="8" s="1"/>
  <c r="BY28" i="8"/>
  <c r="CH28" i="8"/>
  <c r="CX28" i="8" s="1"/>
  <c r="CB28" i="8"/>
  <c r="CR28" i="8" s="1"/>
  <c r="CA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E37" i="8" l="1"/>
  <c r="AH52" i="9"/>
  <c r="AO52" i="8" s="1"/>
  <c r="G35" i="8"/>
  <c r="CF34" i="8"/>
  <c r="O34" i="2"/>
  <c r="AD32" i="1"/>
  <c r="BQ34" i="5" a="1"/>
  <c r="BQ34" i="5" s="1"/>
  <c r="AL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CY29" i="8" s="1"/>
  <c r="CZ29" i="8" s="1"/>
  <c r="P28" i="8"/>
  <c r="F37" i="8"/>
  <c r="AO29" i="5"/>
  <c r="AV30" i="5"/>
  <c r="BP33" i="5" a="1"/>
  <c r="BP33" i="5" s="1"/>
  <c r="J33" i="2" s="1"/>
  <c r="DF30" i="8"/>
  <c r="DG30" i="8" s="1"/>
  <c r="AG28" i="7"/>
  <c r="AI28" i="7" s="1"/>
  <c r="AG29" i="7"/>
  <c r="AI29" i="7" s="1"/>
  <c r="O38" i="1"/>
  <c r="CE28" i="8"/>
  <c r="CV28" i="8" s="1"/>
  <c r="CW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R29" i="8" s="1"/>
  <c r="CA29" i="8"/>
  <c r="BZ29" i="8"/>
  <c r="CC29" i="8"/>
  <c r="CT29" i="8" s="1"/>
  <c r="CU29" i="8" s="1"/>
  <c r="BY29" i="8"/>
  <c r="AA28" i="11"/>
  <c r="AK28" i="1" s="1"/>
  <c r="N29" i="7"/>
  <c r="Y28" i="11"/>
  <c r="AH28" i="1" s="1"/>
  <c r="Z28" i="11"/>
  <c r="AD28" i="11"/>
  <c r="AI28" i="1" s="1"/>
  <c r="AC28" i="11"/>
  <c r="U28" i="8" s="1"/>
  <c r="AB28" i="11"/>
  <c r="Q28" i="8" s="1"/>
  <c r="Q29" i="7"/>
  <c r="BX29" i="8"/>
  <c r="CD29" i="8" s="1"/>
  <c r="D30" i="9"/>
  <c r="X30" i="8"/>
  <c r="DB30" i="8" s="1"/>
  <c r="A30" i="10"/>
  <c r="AA30" i="10" s="1"/>
  <c r="BH30" i="8"/>
  <c r="BU30" i="8" s="1"/>
  <c r="AJ30" i="5"/>
  <c r="AP30" i="5" s="1"/>
  <c r="B30" i="7"/>
  <c r="Q30" i="7" s="1"/>
  <c r="A30" i="11"/>
  <c r="AA29" i="11" s="1"/>
  <c r="AK29" i="1" s="1"/>
  <c r="BT30" i="5"/>
  <c r="CK30" i="8"/>
  <c r="B30" i="9"/>
  <c r="X30" i="9" s="1"/>
  <c r="AC30" i="8"/>
  <c r="BQ30" i="8" s="1"/>
  <c r="AI30" i="5"/>
  <c r="BI30" i="8"/>
  <c r="E30" i="1"/>
  <c r="B32" i="5"/>
  <c r="BW30" i="8"/>
  <c r="CH30" i="8" s="1"/>
  <c r="CX30" i="8" s="1"/>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Q27" i="8"/>
  <c r="DD27" i="8" s="1"/>
  <c r="G27" i="1" s="1"/>
  <c r="N27" i="8" s="1"/>
  <c r="CO28" i="8"/>
  <c r="CS28" i="8" s="1"/>
  <c r="CZ28" i="8"/>
  <c r="CG35" i="8"/>
  <c r="AG41" i="9"/>
  <c r="B28" i="14"/>
  <c r="CP28" i="8"/>
  <c r="AR28" i="5"/>
  <c r="AQ28" i="5"/>
  <c r="CZ32" i="5"/>
  <c r="C32" i="5"/>
  <c r="AC31" i="1"/>
  <c r="DA31" i="5"/>
  <c r="DG31" i="5" s="1" a="1"/>
  <c r="DG31" i="5" s="1"/>
  <c r="AB32" i="1"/>
  <c r="DI32" i="5"/>
  <c r="AF41" i="9"/>
  <c r="AJ41" i="9"/>
  <c r="AD103" i="9"/>
  <c r="B29" i="14"/>
  <c r="N17" i="1"/>
  <c r="S34" i="2"/>
  <c r="N35" i="2"/>
  <c r="R35" i="2"/>
  <c r="Q34" i="2"/>
  <c r="P36" i="2"/>
  <c r="J36" i="10"/>
  <c r="N36" i="5" s="1"/>
  <c r="M35" i="2"/>
  <c r="E38" i="8" l="1"/>
  <c r="AH53" i="9"/>
  <c r="AO53" i="8" s="1"/>
  <c r="G36" i="8"/>
  <c r="CF35" i="8"/>
  <c r="O35" i="2"/>
  <c r="AL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CY30" i="8" s="1"/>
  <c r="CZ30" i="8" s="1"/>
  <c r="P29" i="8"/>
  <c r="CO29" i="8"/>
  <c r="CS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P29" i="8"/>
  <c r="CE29" i="8"/>
  <c r="CV29" i="8" s="1"/>
  <c r="CW29" i="8" s="1"/>
  <c r="AR29" i="5"/>
  <c r="N30" i="7"/>
  <c r="DF31" i="8"/>
  <c r="DG31" i="8" s="1"/>
  <c r="D31" i="9"/>
  <c r="BX30" i="8"/>
  <c r="CD30" i="8" s="1"/>
  <c r="AC29" i="11"/>
  <c r="U29" i="8" s="1"/>
  <c r="Y29" i="11"/>
  <c r="AH29" i="1" s="1"/>
  <c r="Z29" i="11"/>
  <c r="CC30" i="8"/>
  <c r="CT30" i="8" s="1"/>
  <c r="CU30" i="8" s="1"/>
  <c r="CA30" i="8"/>
  <c r="AB29" i="11"/>
  <c r="Q29" i="8" s="1"/>
  <c r="N30" i="11"/>
  <c r="BZ30" i="8"/>
  <c r="BY30" i="8"/>
  <c r="AD29" i="11"/>
  <c r="AI29" i="1" s="1"/>
  <c r="AE30" i="7"/>
  <c r="AF30" i="7" s="1"/>
  <c r="F32" i="5"/>
  <c r="AW32" i="5" s="1"/>
  <c r="B31" i="9"/>
  <c r="X31" i="9" s="1"/>
  <c r="A31" i="11"/>
  <c r="AC30" i="11" s="1"/>
  <c r="U30" i="8" s="1"/>
  <c r="CB30" i="8"/>
  <c r="CR30" i="8" s="1"/>
  <c r="AI31" i="5"/>
  <c r="AJ31" i="5"/>
  <c r="AP31" i="5" s="1"/>
  <c r="BT31" i="5"/>
  <c r="AC31" i="8"/>
  <c r="BQ31" i="8" s="1"/>
  <c r="X31" i="8"/>
  <c r="DB31" i="8" s="1"/>
  <c r="CK31" i="8"/>
  <c r="E31" i="1"/>
  <c r="BI31" i="8"/>
  <c r="BH31" i="8"/>
  <c r="BU31" i="8" s="1"/>
  <c r="BW31" i="8"/>
  <c r="CC31" i="8" s="1"/>
  <c r="CT31" i="8" s="1"/>
  <c r="CU31" i="8" s="1"/>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Q28" i="8"/>
  <c r="DD28" i="8" s="1"/>
  <c r="G28" i="1" s="1"/>
  <c r="N28" i="8" s="1"/>
  <c r="CG36" i="8"/>
  <c r="AG42" i="9"/>
  <c r="CZ33" i="5"/>
  <c r="AB33" i="1"/>
  <c r="DI33" i="5"/>
  <c r="AC32" i="1"/>
  <c r="DA32" i="5"/>
  <c r="DG32" i="5" s="1" a="1"/>
  <c r="DG32" i="5" s="1"/>
  <c r="AF42" i="9"/>
  <c r="AJ42" i="9"/>
  <c r="AD104" i="9"/>
  <c r="N18" i="1"/>
  <c r="S35" i="2"/>
  <c r="N36" i="2"/>
  <c r="R36" i="2"/>
  <c r="Q35" i="2"/>
  <c r="M36" i="2"/>
  <c r="J37" i="10"/>
  <c r="N37" i="5" s="1"/>
  <c r="P37" i="2"/>
  <c r="E39" i="8" l="1"/>
  <c r="AH54" i="9"/>
  <c r="AO54" i="8" s="1"/>
  <c r="G37" i="8"/>
  <c r="CF36" i="8"/>
  <c r="O36" i="2"/>
  <c r="AL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Q29" i="8"/>
  <c r="DD29" i="8" s="1"/>
  <c r="G29" i="1" s="1"/>
  <c r="N29" i="8" s="1"/>
  <c r="P30" i="8"/>
  <c r="CO30" i="8"/>
  <c r="CS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V30" i="8" s="1"/>
  <c r="CW30" i="8" s="1"/>
  <c r="DF32" i="8"/>
  <c r="DG32" i="8" s="1"/>
  <c r="CI31" i="8"/>
  <c r="CY31" i="8" s="1"/>
  <c r="AR30" i="5"/>
  <c r="AQ30" i="5"/>
  <c r="CP30" i="8"/>
  <c r="X32" i="8"/>
  <c r="DB32" i="8" s="1"/>
  <c r="N31" i="11"/>
  <c r="AC32" i="8"/>
  <c r="BQ32" i="8" s="1"/>
  <c r="AD30" i="11"/>
  <c r="AI30" i="1" s="1"/>
  <c r="E32" i="1"/>
  <c r="A32" i="11"/>
  <c r="AD31" i="11" s="1"/>
  <c r="AI31" i="1" s="1"/>
  <c r="A32" i="10"/>
  <c r="AA32" i="10" s="1"/>
  <c r="BI32" i="8"/>
  <c r="BW32" i="8"/>
  <c r="CC32" i="8" s="1"/>
  <c r="CT32" i="8" s="1"/>
  <c r="CU32" i="8" s="1"/>
  <c r="AA30" i="11"/>
  <c r="AK30" i="1" s="1"/>
  <c r="AB30" i="11"/>
  <c r="Q30" i="8" s="1"/>
  <c r="B32" i="9"/>
  <c r="X32" i="9" s="1"/>
  <c r="AI32" i="5"/>
  <c r="Y30" i="11"/>
  <c r="AH30" i="1" s="1"/>
  <c r="AJ32" i="5"/>
  <c r="AP32" i="5" s="1"/>
  <c r="B32" i="7"/>
  <c r="AE32" i="7" s="1"/>
  <c r="AF32" i="7" s="1"/>
  <c r="CK32" i="8"/>
  <c r="BT32" i="5"/>
  <c r="N31" i="7"/>
  <c r="CH31" i="8"/>
  <c r="CX31" i="8" s="1"/>
  <c r="Q31" i="7"/>
  <c r="BZ31" i="8"/>
  <c r="CB31" i="8"/>
  <c r="CR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E40" i="8" l="1"/>
  <c r="AH55" i="9"/>
  <c r="AO55" i="8" s="1"/>
  <c r="G38" i="8"/>
  <c r="CF37" i="8"/>
  <c r="O37" i="2"/>
  <c r="BK37" i="5" a="1"/>
  <c r="BK37" i="5" s="1"/>
  <c r="BM37" i="5" a="1"/>
  <c r="BM37" i="5" s="1"/>
  <c r="BN37" i="5" a="1"/>
  <c r="BN37" i="5" s="1"/>
  <c r="AL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Q30" i="8"/>
  <c r="DD30" i="8" s="1"/>
  <c r="G30" i="1" s="1"/>
  <c r="N30" i="8" s="1"/>
  <c r="P31" i="8"/>
  <c r="CO31" i="8"/>
  <c r="CS31" i="8" s="1"/>
  <c r="F40" i="8"/>
  <c r="AO32" i="5"/>
  <c r="AV33" i="5"/>
  <c r="BP36" i="5" a="1"/>
  <c r="BP36" i="5" s="1"/>
  <c r="J36" i="2" s="1"/>
  <c r="BT32" i="8"/>
  <c r="BX32" i="8"/>
  <c r="CD32" i="8" s="1"/>
  <c r="D33" i="9"/>
  <c r="AG32" i="7"/>
  <c r="AI32" i="7" s="1"/>
  <c r="O41" i="1"/>
  <c r="CE31" i="8"/>
  <c r="CV31" i="8" s="1"/>
  <c r="CW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CZ31" i="8"/>
  <c r="N32" i="7"/>
  <c r="CI32" i="8"/>
  <c r="CY32" i="8" s="1"/>
  <c r="CB32" i="8"/>
  <c r="CR32" i="8" s="1"/>
  <c r="CH32" i="8"/>
  <c r="CX32" i="8" s="1"/>
  <c r="AB31" i="11"/>
  <c r="Q31" i="8" s="1"/>
  <c r="AA31" i="11"/>
  <c r="AK31" i="1" s="1"/>
  <c r="Y31" i="11"/>
  <c r="AH31" i="1" s="1"/>
  <c r="AC31" i="11"/>
  <c r="U31" i="8" s="1"/>
  <c r="Q32" i="7"/>
  <c r="AR31" i="5"/>
  <c r="CP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F33" i="8"/>
  <c r="DG33" i="8" s="1"/>
  <c r="CK33" i="8"/>
  <c r="CG38" i="8"/>
  <c r="BW33" i="8"/>
  <c r="BI33" i="8"/>
  <c r="AJ33" i="5"/>
  <c r="AP33" i="5" s="1"/>
  <c r="BH33" i="8"/>
  <c r="BU33" i="8" s="1"/>
  <c r="AG44" i="9"/>
  <c r="B33" i="9"/>
  <c r="X33" i="9" s="1"/>
  <c r="B33" i="7"/>
  <c r="A33" i="10"/>
  <c r="AA33" i="10" s="1"/>
  <c r="AC33" i="8"/>
  <c r="BQ33" i="8" s="1"/>
  <c r="E33" i="1"/>
  <c r="BT33" i="5"/>
  <c r="A33" i="11"/>
  <c r="X33" i="8"/>
  <c r="DB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E41" i="8" l="1"/>
  <c r="AH56" i="9"/>
  <c r="AO56" i="8" s="1"/>
  <c r="G39" i="8"/>
  <c r="CF38" i="8"/>
  <c r="O38" i="2"/>
  <c r="BN38" i="5" a="1"/>
  <c r="BN38" i="5" s="1"/>
  <c r="AD36" i="1"/>
  <c r="BQ38" i="5" a="1"/>
  <c r="BQ38" i="5" s="1"/>
  <c r="BO38" i="5" a="1"/>
  <c r="BO38" i="5" s="1"/>
  <c r="AL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Q31" i="8"/>
  <c r="DD31" i="8" s="1"/>
  <c r="G31" i="1" s="1"/>
  <c r="N31" i="8" s="1"/>
  <c r="CE32" i="8"/>
  <c r="CV32" i="8" s="1"/>
  <c r="CW32" i="8" s="1"/>
  <c r="P32" i="8"/>
  <c r="CO32" i="8"/>
  <c r="CS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P32" i="8"/>
  <c r="CZ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CY33" i="8" s="1"/>
  <c r="D34" i="9"/>
  <c r="DF34" i="8"/>
  <c r="DG34" i="8" s="1"/>
  <c r="CK34" i="8"/>
  <c r="CG39" i="8"/>
  <c r="BW34" i="8"/>
  <c r="BX33" i="8"/>
  <c r="CE33" i="8" s="1"/>
  <c r="N33" i="7"/>
  <c r="BH34" i="8"/>
  <c r="BU34" i="8" s="1"/>
  <c r="BI34" i="8"/>
  <c r="AG45" i="9"/>
  <c r="AD32" i="11"/>
  <c r="AI32" i="1" s="1"/>
  <c r="Y32" i="11"/>
  <c r="AH32" i="1" s="1"/>
  <c r="Z32" i="11"/>
  <c r="AA32" i="11"/>
  <c r="AK32" i="1" s="1"/>
  <c r="AB32" i="11"/>
  <c r="Q32" i="8" s="1"/>
  <c r="AC32" i="11"/>
  <c r="U32" i="8" s="1"/>
  <c r="N33" i="11"/>
  <c r="Q33" i="7"/>
  <c r="AE33" i="7"/>
  <c r="AF33" i="7" s="1"/>
  <c r="CC33" i="8"/>
  <c r="CT33" i="8" s="1"/>
  <c r="CU33" i="8" s="1"/>
  <c r="BY33" i="8"/>
  <c r="BZ33" i="8"/>
  <c r="CH33" i="8"/>
  <c r="CX33" i="8" s="1"/>
  <c r="CA33" i="8"/>
  <c r="CB33" i="8"/>
  <c r="CR33" i="8" s="1"/>
  <c r="CZ36" i="5"/>
  <c r="A34" i="10"/>
  <c r="AA34" i="10" s="1"/>
  <c r="B34" i="7"/>
  <c r="E34" i="1"/>
  <c r="X34" i="8"/>
  <c r="DB34" i="8" s="1"/>
  <c r="B34" i="9"/>
  <c r="X34" i="9" s="1"/>
  <c r="AJ34" i="5"/>
  <c r="AP34" i="5" s="1"/>
  <c r="AI34" i="5"/>
  <c r="A34" i="11"/>
  <c r="AC34" i="8"/>
  <c r="BQ34" i="8" s="1"/>
  <c r="BT34" i="5"/>
  <c r="AC35" i="1"/>
  <c r="DA35" i="5"/>
  <c r="DG35" i="5" s="1" a="1"/>
  <c r="DG35" i="5" s="1"/>
  <c r="AB36" i="1"/>
  <c r="DI36" i="5"/>
  <c r="AF45" i="9"/>
  <c r="AJ45" i="9"/>
  <c r="AD107" i="9"/>
  <c r="N21" i="1"/>
  <c r="S38" i="2"/>
  <c r="N39" i="2"/>
  <c r="R39" i="2"/>
  <c r="Q38" i="2"/>
  <c r="J40" i="10"/>
  <c r="N40" i="5" s="1"/>
  <c r="P40" i="2"/>
  <c r="M39" i="2"/>
  <c r="E42" i="8" l="1"/>
  <c r="AH57" i="9"/>
  <c r="AO57" i="8" s="1"/>
  <c r="G40" i="8"/>
  <c r="CF39" i="8"/>
  <c r="O39" i="2"/>
  <c r="AD37" i="1"/>
  <c r="AL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Q32" i="8"/>
  <c r="DD32" i="8" s="1"/>
  <c r="G32" i="1" s="1"/>
  <c r="N32" i="8" s="1"/>
  <c r="F42" i="8"/>
  <c r="AO34" i="5"/>
  <c r="AV35" i="5"/>
  <c r="BP38" i="5" a="1"/>
  <c r="BP38" i="5" s="1"/>
  <c r="J38" i="2" s="1"/>
  <c r="DF35" i="8"/>
  <c r="DG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B35" i="8" s="1"/>
  <c r="A35" i="10"/>
  <c r="AA35" i="10" s="1"/>
  <c r="AC35" i="8"/>
  <c r="BQ35" i="8" s="1"/>
  <c r="BH35" i="8"/>
  <c r="BU35" i="8" s="1"/>
  <c r="CK35" i="8"/>
  <c r="BI35" i="8"/>
  <c r="BW35" i="8"/>
  <c r="CB35" i="8" s="1"/>
  <c r="CR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O33" i="8"/>
  <c r="CS33" i="8" s="1"/>
  <c r="CZ33" i="8"/>
  <c r="D35" i="9"/>
  <c r="CI34" i="8"/>
  <c r="CY34" i="8" s="1"/>
  <c r="CG40" i="8"/>
  <c r="AQ33" i="5"/>
  <c r="AR33" i="5"/>
  <c r="CD33" i="8"/>
  <c r="N34" i="7"/>
  <c r="AG46" i="9"/>
  <c r="CP33" i="8"/>
  <c r="B33" i="14"/>
  <c r="C36" i="5"/>
  <c r="F36" i="5" s="1"/>
  <c r="AW36" i="5" s="1"/>
  <c r="CB34" i="8"/>
  <c r="CR34" i="8" s="1"/>
  <c r="BY34" i="8"/>
  <c r="CH34" i="8"/>
  <c r="CX34" i="8" s="1"/>
  <c r="BZ34" i="8"/>
  <c r="CC34" i="8"/>
  <c r="CT34" i="8" s="1"/>
  <c r="CU34" i="8" s="1"/>
  <c r="CA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E43" i="8" l="1"/>
  <c r="AH58" i="9"/>
  <c r="AO58" i="8" s="1"/>
  <c r="G41" i="8"/>
  <c r="CF40" i="8"/>
  <c r="O40" i="2"/>
  <c r="BF40" i="5" a="1"/>
  <c r="BF40" i="5" s="1"/>
  <c r="AE39" i="1" s="1"/>
  <c r="BQ40" i="5" a="1"/>
  <c r="BQ40" i="5" s="1"/>
  <c r="AL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CY35" i="8" s="1"/>
  <c r="P34" i="8"/>
  <c r="CV33" i="8"/>
  <c r="CW33" i="8" s="1"/>
  <c r="P33" i="8"/>
  <c r="F43" i="8"/>
  <c r="AO35" i="5"/>
  <c r="AV36" i="5"/>
  <c r="BP39" i="5" a="1"/>
  <c r="BP39" i="5" s="1"/>
  <c r="J39" i="2" s="1"/>
  <c r="AG35" i="7"/>
  <c r="AI35" i="7" s="1"/>
  <c r="AG34" i="7"/>
  <c r="AI34" i="7" s="1"/>
  <c r="O44" i="1"/>
  <c r="CE34" i="8"/>
  <c r="CV34" i="8" s="1"/>
  <c r="CW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T35" i="8" s="1"/>
  <c r="CU35" i="8" s="1"/>
  <c r="BY35" i="8"/>
  <c r="BZ35" i="8"/>
  <c r="CH35" i="8"/>
  <c r="CX35" i="8" s="1"/>
  <c r="AB34" i="11"/>
  <c r="Q34" i="8" s="1"/>
  <c r="D36" i="9"/>
  <c r="AC34" i="11"/>
  <c r="U34" i="8" s="1"/>
  <c r="Y34" i="11"/>
  <c r="AH34" i="1" s="1"/>
  <c r="Z34" i="11"/>
  <c r="N35" i="7"/>
  <c r="Q35" i="7"/>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Q33" i="8"/>
  <c r="CO34" i="8"/>
  <c r="CS34" i="8" s="1"/>
  <c r="CZ34" i="8"/>
  <c r="DF36" i="8"/>
  <c r="DG36" i="8" s="1"/>
  <c r="CK36" i="8"/>
  <c r="CG41" i="8"/>
  <c r="BW36" i="8"/>
  <c r="BH36" i="8"/>
  <c r="BU36" i="8" s="1"/>
  <c r="BI36" i="8"/>
  <c r="AG47" i="9"/>
  <c r="B34" i="14"/>
  <c r="CP34" i="8"/>
  <c r="AQ34" i="5"/>
  <c r="AR34" i="5"/>
  <c r="CZ38" i="5"/>
  <c r="AI36" i="5"/>
  <c r="BT36" i="5"/>
  <c r="AC36" i="8"/>
  <c r="BQ36" i="8" s="1"/>
  <c r="A36" i="11"/>
  <c r="A36" i="10"/>
  <c r="AA36" i="10" s="1"/>
  <c r="B36" i="7"/>
  <c r="X36" i="8"/>
  <c r="DB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E44" i="8" l="1"/>
  <c r="AH59" i="9"/>
  <c r="G42" i="8"/>
  <c r="CF41" i="8"/>
  <c r="O41" i="2"/>
  <c r="AT40" i="5"/>
  <c r="BF41" i="5" a="1"/>
  <c r="BF41" i="5" s="1"/>
  <c r="AE40" i="1" s="1"/>
  <c r="AZ41" i="5" a="1"/>
  <c r="AZ41" i="5" s="1"/>
  <c r="AL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Z35" i="8"/>
  <c r="DD33" i="8"/>
  <c r="G33" i="1" s="1"/>
  <c r="N33" i="8" s="1"/>
  <c r="CO35" i="8"/>
  <c r="CS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P35" i="8"/>
  <c r="AI37" i="5"/>
  <c r="B37" i="7"/>
  <c r="AE37" i="7" s="1"/>
  <c r="AF37" i="7" s="1"/>
  <c r="AC37" i="8"/>
  <c r="BQ37" i="8" s="1"/>
  <c r="X37" i="8"/>
  <c r="DB37" i="8" s="1"/>
  <c r="E37" i="1"/>
  <c r="BI37" i="8"/>
  <c r="BW37" i="8"/>
  <c r="CH37" i="8" s="1"/>
  <c r="CX37" i="8" s="1"/>
  <c r="BT37" i="5"/>
  <c r="AJ37" i="5"/>
  <c r="AP37" i="5" s="1"/>
  <c r="BH37" i="8"/>
  <c r="BU37" i="8" s="1"/>
  <c r="A37" i="10"/>
  <c r="AA37" i="10" s="1"/>
  <c r="B37" i="9"/>
  <c r="X37" i="9" s="1"/>
  <c r="CK37" i="8"/>
  <c r="DF37" i="8"/>
  <c r="DG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Q34" i="8"/>
  <c r="DD34" i="8" s="1"/>
  <c r="G34" i="1" s="1"/>
  <c r="N34" i="8" s="1"/>
  <c r="D37" i="9"/>
  <c r="CI36" i="8"/>
  <c r="CY36" i="8" s="1"/>
  <c r="CG42" i="8"/>
  <c r="N36" i="7"/>
  <c r="AG48" i="9"/>
  <c r="AC35" i="11"/>
  <c r="U35" i="8" s="1"/>
  <c r="Y35" i="11"/>
  <c r="AH35" i="1" s="1"/>
  <c r="AD35" i="11"/>
  <c r="AI35" i="1" s="1"/>
  <c r="Z35" i="11"/>
  <c r="AA35" i="11"/>
  <c r="AK35" i="1" s="1"/>
  <c r="N36" i="11"/>
  <c r="AB35" i="11"/>
  <c r="Q35" i="8" s="1"/>
  <c r="C38" i="5"/>
  <c r="F38" i="5" s="1"/>
  <c r="AW38" i="5" s="1"/>
  <c r="CZ39" i="5"/>
  <c r="CC36" i="8"/>
  <c r="CT36" i="8" s="1"/>
  <c r="CU36" i="8" s="1"/>
  <c r="CH36" i="8"/>
  <c r="CX36" i="8" s="1"/>
  <c r="CA36" i="8"/>
  <c r="CB36" i="8"/>
  <c r="CR36" i="8" s="1"/>
  <c r="BY36" i="8"/>
  <c r="BZ36" i="8"/>
  <c r="AE36" i="7"/>
  <c r="AF36" i="7" s="1"/>
  <c r="Q36" i="7"/>
  <c r="AB39" i="1"/>
  <c r="DI39" i="5"/>
  <c r="C39" i="5"/>
  <c r="AC38" i="1"/>
  <c r="DA38" i="5"/>
  <c r="DG38" i="5" s="1" a="1"/>
  <c r="DG38" i="5" s="1"/>
  <c r="AF48" i="9"/>
  <c r="AJ48" i="9"/>
  <c r="AD110" i="9"/>
  <c r="N24" i="1"/>
  <c r="S41" i="2"/>
  <c r="N42" i="2"/>
  <c r="R42" i="2"/>
  <c r="Q41" i="2"/>
  <c r="J43" i="10"/>
  <c r="N43" i="5" s="1"/>
  <c r="P43" i="2"/>
  <c r="M42" i="2"/>
  <c r="E45" i="8" l="1"/>
  <c r="AH60" i="9"/>
  <c r="G43" i="8"/>
  <c r="CF42" i="8"/>
  <c r="O42" i="2"/>
  <c r="AZ42" i="5" a="1"/>
  <c r="AZ42" i="5" s="1"/>
  <c r="AL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Q35" i="8"/>
  <c r="AB36" i="11"/>
  <c r="Q36" i="8" s="1"/>
  <c r="AC36" i="11"/>
  <c r="U36" i="8" s="1"/>
  <c r="AA36" i="11"/>
  <c r="AK36" i="1" s="1"/>
  <c r="Z36" i="11"/>
  <c r="N37" i="11"/>
  <c r="P36" i="8"/>
  <c r="F45" i="8"/>
  <c r="AO37" i="5"/>
  <c r="AV38" i="5"/>
  <c r="BP41" i="5" a="1"/>
  <c r="BP41" i="5" s="1"/>
  <c r="J41" i="2" s="1"/>
  <c r="AG36" i="7"/>
  <c r="AI36" i="7" s="1"/>
  <c r="AG37" i="7"/>
  <c r="AI37" i="7" s="1"/>
  <c r="O46" i="1"/>
  <c r="CE36" i="8"/>
  <c r="CV36" i="8" s="1"/>
  <c r="CW36" i="8" s="1"/>
  <c r="BT37" i="8"/>
  <c r="BO37" i="8"/>
  <c r="BP37" i="8"/>
  <c r="BM37" i="8"/>
  <c r="BN37" i="8"/>
  <c r="BK37" i="8"/>
  <c r="BL37" i="8"/>
  <c r="BJ37" i="8"/>
  <c r="AN37" i="5"/>
  <c r="AC37" i="10"/>
  <c r="X37" i="10" s="1"/>
  <c r="AM37" i="5"/>
  <c r="AH41" i="11"/>
  <c r="AK41" i="11"/>
  <c r="AS41" i="5"/>
  <c r="CV35" i="8"/>
  <c r="CW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R37" i="8" s="1"/>
  <c r="BZ37" i="8"/>
  <c r="CC37" i="8"/>
  <c r="CT37" i="8" s="1"/>
  <c r="CU37" i="8" s="1"/>
  <c r="CA37" i="8"/>
  <c r="B37" i="14"/>
  <c r="BY37" i="8"/>
  <c r="Q37" i="7"/>
  <c r="N37" i="7"/>
  <c r="BX37" i="8"/>
  <c r="CD37" i="8" s="1"/>
  <c r="D38" i="9"/>
  <c r="CI37" i="8"/>
  <c r="CY37" i="8" s="1"/>
  <c r="CZ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Z36" i="8"/>
  <c r="CO36" i="8"/>
  <c r="CS36" i="8" s="1"/>
  <c r="DF38" i="8"/>
  <c r="DG38" i="8" s="1"/>
  <c r="CK38" i="8"/>
  <c r="CG43" i="8"/>
  <c r="BW38" i="8"/>
  <c r="BH38" i="8"/>
  <c r="BI38" i="8"/>
  <c r="AG49" i="9"/>
  <c r="CP36" i="8"/>
  <c r="AQ36" i="5"/>
  <c r="CZ40" i="5"/>
  <c r="X38" i="8"/>
  <c r="DB38" i="8" s="1"/>
  <c r="E38" i="1"/>
  <c r="AI38" i="5"/>
  <c r="B38" i="9"/>
  <c r="X38" i="9" s="1"/>
  <c r="A38" i="11"/>
  <c r="AC38" i="8"/>
  <c r="BQ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E46" i="8" l="1"/>
  <c r="AH61" i="9"/>
  <c r="G44" i="8"/>
  <c r="CF43" i="8"/>
  <c r="O43" i="2"/>
  <c r="AL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D35" i="8"/>
  <c r="G35" i="1" s="1"/>
  <c r="N35" i="8" s="1"/>
  <c r="P37" i="8"/>
  <c r="CO37" i="8"/>
  <c r="CS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P37" i="8"/>
  <c r="B39" i="7"/>
  <c r="Q39" i="7" s="1"/>
  <c r="AR37" i="5"/>
  <c r="CE37" i="8"/>
  <c r="CV37" i="8" s="1"/>
  <c r="CW37" i="8" s="1"/>
  <c r="AI39" i="5"/>
  <c r="E39" i="1"/>
  <c r="BT39" i="5"/>
  <c r="A39" i="10"/>
  <c r="AA39" i="10" s="1"/>
  <c r="D39" i="9"/>
  <c r="B39" i="9"/>
  <c r="X39" i="9" s="1"/>
  <c r="AC39" i="8"/>
  <c r="BQ39" i="8" s="1"/>
  <c r="CK39" i="8"/>
  <c r="DF39" i="8"/>
  <c r="DG39" i="8" s="1"/>
  <c r="AJ39" i="5"/>
  <c r="AP39" i="5" s="1"/>
  <c r="A39" i="11"/>
  <c r="N39" i="11" s="1"/>
  <c r="X39" i="8"/>
  <c r="DB39" i="8" s="1"/>
  <c r="BI39" i="8"/>
  <c r="BW39" i="8"/>
  <c r="CH39" i="8" s="1"/>
  <c r="CX39" i="8" s="1"/>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Q36" i="8"/>
  <c r="DD36" i="8" s="1"/>
  <c r="G36" i="1" s="1"/>
  <c r="N36" i="8" s="1"/>
  <c r="CI38" i="8"/>
  <c r="CY38" i="8" s="1"/>
  <c r="CG44" i="8"/>
  <c r="BX38" i="8"/>
  <c r="CD38" i="8" s="1"/>
  <c r="N38" i="7"/>
  <c r="AG50" i="9"/>
  <c r="AC37" i="11"/>
  <c r="U37" i="8" s="1"/>
  <c r="AD37" i="11"/>
  <c r="AI37" i="1" s="1"/>
  <c r="AA37" i="11"/>
  <c r="AK37" i="1" s="1"/>
  <c r="Y37" i="11"/>
  <c r="AH37" i="1" s="1"/>
  <c r="N38" i="11"/>
  <c r="AB37" i="11"/>
  <c r="Q37" i="8" s="1"/>
  <c r="Z37" i="11"/>
  <c r="CB38" i="8"/>
  <c r="CR38" i="8" s="1"/>
  <c r="BY38" i="8"/>
  <c r="BZ38" i="8"/>
  <c r="CC38" i="8"/>
  <c r="CT38" i="8" s="1"/>
  <c r="CU38" i="8" s="1"/>
  <c r="CH38" i="8"/>
  <c r="CX38" i="8" s="1"/>
  <c r="CA38" i="8"/>
  <c r="AE38" i="7"/>
  <c r="AF38" i="7" s="1"/>
  <c r="Q38" i="7"/>
  <c r="CZ41" i="5"/>
  <c r="AB41" i="1"/>
  <c r="DI41" i="5"/>
  <c r="AC40" i="1"/>
  <c r="DA40" i="5"/>
  <c r="DG40" i="5" s="1" a="1"/>
  <c r="DG40" i="5" s="1"/>
  <c r="AF50" i="9"/>
  <c r="AJ50" i="9"/>
  <c r="AD112" i="9"/>
  <c r="N26" i="1"/>
  <c r="S43" i="2"/>
  <c r="N44" i="2"/>
  <c r="R44" i="2"/>
  <c r="Q43" i="2"/>
  <c r="J45" i="10"/>
  <c r="N45" i="5" s="1"/>
  <c r="P45" i="2"/>
  <c r="M44" i="2"/>
  <c r="E47" i="8" l="1"/>
  <c r="AH62" i="9"/>
  <c r="AT43" i="5"/>
  <c r="G45" i="8"/>
  <c r="CF44" i="8"/>
  <c r="O44" i="2"/>
  <c r="AL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Q37" i="8"/>
  <c r="DD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B40" i="8" s="1"/>
  <c r="CI39" i="8"/>
  <c r="CY39" i="8" s="1"/>
  <c r="CZ39" i="8" s="1"/>
  <c r="AC40" i="8"/>
  <c r="BQ40" i="8" s="1"/>
  <c r="BY39" i="8"/>
  <c r="CC39" i="8"/>
  <c r="CT39" i="8" s="1"/>
  <c r="CU39" i="8" s="1"/>
  <c r="BZ39" i="8"/>
  <c r="CA39" i="8"/>
  <c r="CB39" i="8"/>
  <c r="CR39" i="8" s="1"/>
  <c r="N39" i="7"/>
  <c r="E40" i="1"/>
  <c r="BH40" i="8"/>
  <c r="BU40" i="8" s="1"/>
  <c r="BT40" i="5"/>
  <c r="CZ38" i="8"/>
  <c r="B40" i="9"/>
  <c r="X40" i="9" s="1"/>
  <c r="A40" i="11"/>
  <c r="AD39" i="11" s="1"/>
  <c r="AI39" i="1" s="1"/>
  <c r="DF40" i="8"/>
  <c r="DG40" i="8" s="1"/>
  <c r="CK40" i="8"/>
  <c r="AI40" i="5"/>
  <c r="B40" i="7"/>
  <c r="Q40" i="7" s="1"/>
  <c r="A40" i="10"/>
  <c r="AA40" i="10" s="1"/>
  <c r="B42" i="5"/>
  <c r="BW40" i="8"/>
  <c r="CC40" i="8" s="1"/>
  <c r="CT40" i="8" s="1"/>
  <c r="CU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O38" i="8"/>
  <c r="CS38" i="8" s="1"/>
  <c r="CE38" i="8"/>
  <c r="CV38" i="8" s="1"/>
  <c r="CW38" i="8" s="1"/>
  <c r="CG45" i="8"/>
  <c r="AG51" i="9"/>
  <c r="CP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E48" i="8" l="1"/>
  <c r="AH63" i="9"/>
  <c r="G46" i="8"/>
  <c r="CF45" i="8"/>
  <c r="O45" i="2"/>
  <c r="BQ45" i="5" a="1"/>
  <c r="BQ45" i="5" s="1"/>
  <c r="BH45" i="5" a="1"/>
  <c r="BH45" i="5" s="1"/>
  <c r="BC45" i="5" a="1"/>
  <c r="BC45" i="5" s="1"/>
  <c r="BN45" i="5" a="1"/>
  <c r="BN45" i="5" s="1"/>
  <c r="BJ45" i="5" a="1"/>
  <c r="BJ45" i="5" s="1"/>
  <c r="AL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O39" i="8"/>
  <c r="CS39" i="8" s="1"/>
  <c r="AO40" i="5"/>
  <c r="AV41" i="5"/>
  <c r="BP44" i="5" a="1"/>
  <c r="BP44" i="5" s="1"/>
  <c r="J44" i="2" s="1"/>
  <c r="CE39" i="8"/>
  <c r="CV39" i="8" s="1"/>
  <c r="CW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P39" i="8"/>
  <c r="CA40" i="8"/>
  <c r="CB40" i="8"/>
  <c r="CR40" i="8" s="1"/>
  <c r="AR39" i="5"/>
  <c r="AE40" i="7"/>
  <c r="AF40" i="7" s="1"/>
  <c r="D41" i="9"/>
  <c r="Y39" i="11"/>
  <c r="AH39" i="1" s="1"/>
  <c r="N40" i="7"/>
  <c r="BX40" i="8"/>
  <c r="CD40" i="8" s="1"/>
  <c r="Z39" i="11"/>
  <c r="BZ40" i="8"/>
  <c r="N40" i="11"/>
  <c r="AA39" i="11"/>
  <c r="AK39" i="1" s="1"/>
  <c r="BY40" i="8"/>
  <c r="CI40" i="8"/>
  <c r="CY40" i="8" s="1"/>
  <c r="CH40" i="8"/>
  <c r="CX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Q38" i="8"/>
  <c r="DD38" i="8" s="1"/>
  <c r="G38" i="1" s="1"/>
  <c r="N38" i="8" s="1"/>
  <c r="DF41" i="8"/>
  <c r="DG41" i="8" s="1"/>
  <c r="CK41" i="8"/>
  <c r="CG46" i="8"/>
  <c r="BW41" i="8"/>
  <c r="BH41" i="8"/>
  <c r="BU41" i="8" s="1"/>
  <c r="BI41" i="8"/>
  <c r="AG52" i="9"/>
  <c r="C42" i="5"/>
  <c r="F42" i="5" s="1"/>
  <c r="AW42" i="5" s="1"/>
  <c r="CZ43" i="5"/>
  <c r="A41" i="11"/>
  <c r="BT41" i="5"/>
  <c r="AC41" i="8"/>
  <c r="BQ41" i="8" s="1"/>
  <c r="A41" i="10"/>
  <c r="AA41" i="10" s="1"/>
  <c r="B41" i="7"/>
  <c r="AJ41" i="5"/>
  <c r="AP41" i="5" s="1"/>
  <c r="X41" i="8"/>
  <c r="DB41" i="8" s="1"/>
  <c r="E41" i="1"/>
  <c r="AI41" i="5"/>
  <c r="B41" i="9"/>
  <c r="X41" i="9" s="1"/>
  <c r="AB43" i="1"/>
  <c r="DI43" i="5"/>
  <c r="AC42" i="1"/>
  <c r="DA42" i="5"/>
  <c r="DG42" i="5" s="1" a="1"/>
  <c r="DG42" i="5" s="1"/>
  <c r="AF52" i="9"/>
  <c r="AJ52" i="9"/>
  <c r="AD114" i="9"/>
  <c r="N28" i="1"/>
  <c r="S45" i="2"/>
  <c r="N46" i="2"/>
  <c r="R46" i="2"/>
  <c r="Q45" i="2"/>
  <c r="M46" i="2"/>
  <c r="J47" i="10"/>
  <c r="N47" i="5" s="1"/>
  <c r="P47" i="2"/>
  <c r="E49" i="8" l="1"/>
  <c r="AH64" i="9"/>
  <c r="G47" i="8"/>
  <c r="CF46" i="8"/>
  <c r="O46" i="2"/>
  <c r="BQ46" i="5" a="1"/>
  <c r="BQ46" i="5" s="1"/>
  <c r="AD44" i="1"/>
  <c r="AL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Q39" i="8"/>
  <c r="DD39" i="8" s="1"/>
  <c r="G39" i="1" s="1"/>
  <c r="N39" i="8" s="1"/>
  <c r="V44" i="2"/>
  <c r="P40" i="8"/>
  <c r="CO40" i="8"/>
  <c r="CS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V40" i="8" s="1"/>
  <c r="CW40" i="8" s="1"/>
  <c r="CP40" i="8"/>
  <c r="CZ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CY41" i="8" s="1"/>
  <c r="DF42" i="8"/>
  <c r="DG42" i="8" s="1"/>
  <c r="CG47" i="8"/>
  <c r="CK42" i="8"/>
  <c r="BW42" i="8"/>
  <c r="BX41" i="8"/>
  <c r="CD41" i="8" s="1"/>
  <c r="N41" i="7"/>
  <c r="BH42" i="8"/>
  <c r="BU42" i="8" s="1"/>
  <c r="BI42" i="8"/>
  <c r="AG53" i="9"/>
  <c r="AE41" i="7"/>
  <c r="AF41" i="7" s="1"/>
  <c r="Q41" i="7"/>
  <c r="CA41" i="8"/>
  <c r="CB41" i="8"/>
  <c r="CR41" i="8" s="1"/>
  <c r="BY41" i="8"/>
  <c r="BZ41" i="8"/>
  <c r="CC41" i="8"/>
  <c r="CT41" i="8" s="1"/>
  <c r="CU41" i="8" s="1"/>
  <c r="CH41" i="8"/>
  <c r="CX41" i="8" s="1"/>
  <c r="C43" i="5"/>
  <c r="F43" i="5" s="1"/>
  <c r="AW43" i="5" s="1"/>
  <c r="A42" i="11"/>
  <c r="AC42" i="8"/>
  <c r="BQ42" i="8" s="1"/>
  <c r="BT42" i="5"/>
  <c r="A42" i="10"/>
  <c r="AA42" i="10" s="1"/>
  <c r="B42" i="7"/>
  <c r="AJ42" i="5"/>
  <c r="AP42" i="5" s="1"/>
  <c r="X42" i="8"/>
  <c r="DB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E50" i="8" l="1"/>
  <c r="AH65" i="9"/>
  <c r="AO65" i="8" s="1"/>
  <c r="G48" i="8"/>
  <c r="CF47" i="8"/>
  <c r="O47" i="2"/>
  <c r="BG47" i="5" a="1"/>
  <c r="BG47" i="5" s="1"/>
  <c r="BH47" i="5" a="1"/>
  <c r="BH47" i="5" s="1"/>
  <c r="BN47" i="5" a="1"/>
  <c r="BN47" i="5" s="1"/>
  <c r="BC47" i="5" a="1"/>
  <c r="BC47" i="5" s="1"/>
  <c r="AL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Q40" i="8"/>
  <c r="DD40" i="8" s="1"/>
  <c r="G40" i="1" s="1"/>
  <c r="N40" i="8" s="1"/>
  <c r="P41" i="8"/>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O41" i="8"/>
  <c r="CS41" i="8" s="1"/>
  <c r="CI42" i="8"/>
  <c r="CY42" i="8" s="1"/>
  <c r="D43" i="9"/>
  <c r="CZ41" i="8"/>
  <c r="DF43" i="8"/>
  <c r="DG43" i="8" s="1"/>
  <c r="CE41" i="8"/>
  <c r="CV41" i="8" s="1"/>
  <c r="CW41" i="8" s="1"/>
  <c r="CK43" i="8"/>
  <c r="CG48" i="8"/>
  <c r="BW43" i="8"/>
  <c r="BX42" i="8"/>
  <c r="CD42" i="8" s="1"/>
  <c r="N42" i="7"/>
  <c r="BH43" i="8"/>
  <c r="BU43" i="8" s="1"/>
  <c r="BI43" i="8"/>
  <c r="AG54" i="9"/>
  <c r="AE42" i="7"/>
  <c r="AF42" i="7" s="1"/>
  <c r="Q42" i="7"/>
  <c r="AC43" i="8"/>
  <c r="BQ43" i="8" s="1"/>
  <c r="BT43" i="5"/>
  <c r="A43" i="10"/>
  <c r="AA43" i="10" s="1"/>
  <c r="B43" i="7"/>
  <c r="AJ43" i="5"/>
  <c r="AP43" i="5" s="1"/>
  <c r="X43" i="8"/>
  <c r="DB43" i="8" s="1"/>
  <c r="E43" i="1"/>
  <c r="AI43" i="5"/>
  <c r="B43" i="9"/>
  <c r="X43" i="9" s="1"/>
  <c r="A43" i="11"/>
  <c r="CZ45" i="5"/>
  <c r="B41" i="14"/>
  <c r="AQ41" i="5"/>
  <c r="Y41" i="11"/>
  <c r="AH41" i="1" s="1"/>
  <c r="AD41" i="11"/>
  <c r="AI41" i="1" s="1"/>
  <c r="Z41" i="11"/>
  <c r="AA41" i="11"/>
  <c r="AK41" i="1" s="1"/>
  <c r="N42" i="11"/>
  <c r="AB41" i="11"/>
  <c r="Q41" i="8" s="1"/>
  <c r="AC41" i="11"/>
  <c r="U41" i="8" s="1"/>
  <c r="AR41" i="5"/>
  <c r="BY42" i="8"/>
  <c r="BZ42" i="8"/>
  <c r="CA42" i="8"/>
  <c r="CB42" i="8"/>
  <c r="CR42" i="8" s="1"/>
  <c r="CH42" i="8"/>
  <c r="CX42" i="8" s="1"/>
  <c r="CC42" i="8"/>
  <c r="CT42" i="8" s="1"/>
  <c r="CU42" i="8" s="1"/>
  <c r="CP41" i="8"/>
  <c r="AC44" i="1"/>
  <c r="DA44" i="5"/>
  <c r="DG44" i="5" s="1" a="1"/>
  <c r="DG44" i="5" s="1"/>
  <c r="AB45" i="1"/>
  <c r="DI45" i="5"/>
  <c r="AF54" i="9"/>
  <c r="AJ54" i="9"/>
  <c r="AD116" i="9"/>
  <c r="N30" i="1"/>
  <c r="S47" i="2"/>
  <c r="N48" i="2"/>
  <c r="R48" i="2"/>
  <c r="Q47" i="2"/>
  <c r="M48" i="2"/>
  <c r="P49" i="2"/>
  <c r="J49" i="10"/>
  <c r="N49" i="5" s="1"/>
  <c r="E51" i="8" l="1"/>
  <c r="AH66" i="9"/>
  <c r="AO66" i="8" s="1"/>
  <c r="G49" i="8"/>
  <c r="CF48" i="8"/>
  <c r="O48" i="2"/>
  <c r="AD46" i="1"/>
  <c r="AL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B44" i="8" s="1"/>
  <c r="AG42" i="7"/>
  <c r="AI42" i="7" s="1"/>
  <c r="O52" i="1"/>
  <c r="BT43" i="8"/>
  <c r="BO43" i="8"/>
  <c r="BP43" i="8"/>
  <c r="BM43" i="8"/>
  <c r="BN43" i="8"/>
  <c r="BK43" i="8"/>
  <c r="BL43" i="8"/>
  <c r="BJ43" i="8"/>
  <c r="AC43" i="10"/>
  <c r="X43" i="10" s="1"/>
  <c r="AN43" i="5"/>
  <c r="AM43" i="5"/>
  <c r="AS47" i="5"/>
  <c r="DF44" i="8"/>
  <c r="DG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Z44" i="8" s="1"/>
  <c r="B44" i="7"/>
  <c r="Q44" i="7" s="1"/>
  <c r="A44" i="10"/>
  <c r="AA44" i="10" s="1"/>
  <c r="CK44" i="8"/>
  <c r="AJ44" i="5"/>
  <c r="AP44" i="5" s="1"/>
  <c r="BH44" i="8"/>
  <c r="BU44" i="8" s="1"/>
  <c r="B44" i="9"/>
  <c r="X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Q41" i="8"/>
  <c r="DD41" i="8" s="1"/>
  <c r="G41" i="1" s="1"/>
  <c r="N41" i="8" s="1"/>
  <c r="CO42" i="8"/>
  <c r="CS42" i="8" s="1"/>
  <c r="CE42" i="8"/>
  <c r="CV42" i="8" s="1"/>
  <c r="CW42" i="8" s="1"/>
  <c r="CZ42" i="8"/>
  <c r="CI43" i="8"/>
  <c r="CY43" i="8" s="1"/>
  <c r="D44" i="9"/>
  <c r="CG49" i="8"/>
  <c r="BX43" i="8"/>
  <c r="CE43" i="8" s="1"/>
  <c r="N43" i="7"/>
  <c r="AG55" i="9"/>
  <c r="CP42" i="8"/>
  <c r="CC43" i="8"/>
  <c r="CT43" i="8" s="1"/>
  <c r="CU43" i="8" s="1"/>
  <c r="BY43" i="8"/>
  <c r="CH43" i="8"/>
  <c r="CX43" i="8" s="1"/>
  <c r="CA43" i="8"/>
  <c r="CB43" i="8"/>
  <c r="CR43" i="8" s="1"/>
  <c r="BZ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E52" i="8" l="1"/>
  <c r="AH67" i="9"/>
  <c r="AO67" i="8" s="1"/>
  <c r="G50" i="8"/>
  <c r="CF49" i="8"/>
  <c r="O49" i="2"/>
  <c r="AZ49" i="5" a="1"/>
  <c r="AZ49" i="5" s="1"/>
  <c r="BK49" i="5" a="1"/>
  <c r="BK49" i="5" s="1"/>
  <c r="AL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CY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T44" i="8" s="1"/>
  <c r="CU44" i="8" s="1"/>
  <c r="AA43" i="11"/>
  <c r="AK43" i="1" s="1"/>
  <c r="AD43" i="11"/>
  <c r="AI43" i="1" s="1"/>
  <c r="AB43" i="11"/>
  <c r="Q43" i="8" s="1"/>
  <c r="N44" i="7"/>
  <c r="AE44" i="7"/>
  <c r="AF44" i="7" s="1"/>
  <c r="AC43" i="11"/>
  <c r="U43" i="8" s="1"/>
  <c r="Z43" i="11"/>
  <c r="CA44" i="8"/>
  <c r="CP44" i="8" s="1"/>
  <c r="CB44" i="8"/>
  <c r="CR44" i="8" s="1"/>
  <c r="BX44" i="8"/>
  <c r="CE44" i="8" s="1"/>
  <c r="N44" i="11"/>
  <c r="D45" i="9"/>
  <c r="CH44" i="8"/>
  <c r="CX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Q42" i="8"/>
  <c r="DD42" i="8" s="1"/>
  <c r="G42" i="1" s="1"/>
  <c r="N42" i="8" s="1"/>
  <c r="CD43" i="8"/>
  <c r="CO43" i="8"/>
  <c r="CS43" i="8" s="1"/>
  <c r="CZ43" i="8"/>
  <c r="DF45" i="8"/>
  <c r="DG45" i="8" s="1"/>
  <c r="CK45" i="8"/>
  <c r="CG50" i="8"/>
  <c r="BW45" i="8"/>
  <c r="BH45" i="8"/>
  <c r="BI45" i="8"/>
  <c r="AG56" i="9"/>
  <c r="CP43" i="8"/>
  <c r="C46" i="5"/>
  <c r="F46" i="5" s="1"/>
  <c r="AW46" i="5" s="1"/>
  <c r="CZ47" i="5"/>
  <c r="B43" i="14"/>
  <c r="AQ43" i="5"/>
  <c r="AR43" i="5"/>
  <c r="A45" i="10"/>
  <c r="AA45" i="10" s="1"/>
  <c r="AJ45" i="5"/>
  <c r="AP45" i="5" s="1"/>
  <c r="B45" i="9"/>
  <c r="X45" i="9" s="1"/>
  <c r="AI45" i="5"/>
  <c r="A45" i="11"/>
  <c r="AC45" i="8"/>
  <c r="BQ45" i="8" s="1"/>
  <c r="BT45" i="5"/>
  <c r="B45" i="7"/>
  <c r="X45" i="8"/>
  <c r="DB45" i="8" s="1"/>
  <c r="E45" i="1"/>
  <c r="AC46" i="1"/>
  <c r="DA46" i="5"/>
  <c r="DG46" i="5" s="1" a="1"/>
  <c r="DG46" i="5" s="1"/>
  <c r="AB47" i="1"/>
  <c r="DI47" i="5"/>
  <c r="AF56" i="9"/>
  <c r="AJ56" i="9"/>
  <c r="AD118" i="9"/>
  <c r="N32" i="1"/>
  <c r="S49" i="2"/>
  <c r="N50" i="2"/>
  <c r="R50" i="2"/>
  <c r="Q49" i="2"/>
  <c r="J51" i="10"/>
  <c r="N51" i="5" s="1"/>
  <c r="P51" i="2"/>
  <c r="M50" i="2"/>
  <c r="E53" i="8" l="1"/>
  <c r="AH68" i="9"/>
  <c r="AO68" i="8" s="1"/>
  <c r="G51" i="8"/>
  <c r="CF50" i="8"/>
  <c r="O50" i="2"/>
  <c r="BK50" i="5" a="1"/>
  <c r="BK50" i="5" s="1"/>
  <c r="AL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V43" i="8"/>
  <c r="CW43" i="8" s="1"/>
  <c r="P43" i="8"/>
  <c r="CO44" i="8"/>
  <c r="CS44" i="8" s="1"/>
  <c r="F53" i="8"/>
  <c r="AO45" i="5"/>
  <c r="AV46" i="5"/>
  <c r="BP49" i="5" a="1"/>
  <c r="BP49" i="5" s="1"/>
  <c r="J49" i="2" s="1"/>
  <c r="AG44" i="7"/>
  <c r="O54" i="1"/>
  <c r="BT45" i="8"/>
  <c r="BU45" i="8"/>
  <c r="BO45" i="8"/>
  <c r="BP45" i="8"/>
  <c r="BM45" i="8"/>
  <c r="BN45" i="8"/>
  <c r="BK45" i="8"/>
  <c r="BL45" i="8"/>
  <c r="BJ45" i="8"/>
  <c r="AN45" i="5"/>
  <c r="AC45" i="10"/>
  <c r="X45" i="10" s="1"/>
  <c r="AM45" i="5"/>
  <c r="AT49" i="5"/>
  <c r="AS49" i="5"/>
  <c r="CZ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Q43" i="8"/>
  <c r="CI45" i="8"/>
  <c r="CY45" i="8" s="1"/>
  <c r="DF46" i="8"/>
  <c r="DG46" i="8" s="1"/>
  <c r="CG51" i="8"/>
  <c r="CK46" i="8"/>
  <c r="BW46" i="8"/>
  <c r="BI46" i="8"/>
  <c r="BX45" i="8"/>
  <c r="CD45" i="8" s="1"/>
  <c r="N45" i="7"/>
  <c r="BT46" i="5"/>
  <c r="BH46" i="8"/>
  <c r="BU46" i="8" s="1"/>
  <c r="AG57" i="9"/>
  <c r="AC46" i="8"/>
  <c r="BQ46" i="8" s="1"/>
  <c r="AI46" i="5"/>
  <c r="AJ46" i="5"/>
  <c r="AP46" i="5" s="1"/>
  <c r="E46" i="1"/>
  <c r="X46" i="8"/>
  <c r="DB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Y45" i="8"/>
  <c r="BZ45" i="8"/>
  <c r="CB45" i="8"/>
  <c r="CR45" i="8" s="1"/>
  <c r="CC45" i="8"/>
  <c r="CT45" i="8" s="1"/>
  <c r="CU45" i="8" s="1"/>
  <c r="CH45" i="8"/>
  <c r="CX45" i="8" s="1"/>
  <c r="CA45" i="8"/>
  <c r="CZ48" i="5"/>
  <c r="AE45" i="7"/>
  <c r="AF45" i="7" s="1"/>
  <c r="Q45" i="7"/>
  <c r="AB48" i="1"/>
  <c r="DI48" i="5"/>
  <c r="AC47" i="1"/>
  <c r="DA47" i="5"/>
  <c r="DG47" i="5" s="1" a="1"/>
  <c r="DG47" i="5" s="1"/>
  <c r="AF57" i="9"/>
  <c r="AJ57" i="9"/>
  <c r="AD119" i="9"/>
  <c r="N33" i="1"/>
  <c r="S50" i="2"/>
  <c r="N51" i="2"/>
  <c r="R51" i="2"/>
  <c r="Q50" i="2"/>
  <c r="M51" i="2"/>
  <c r="P52" i="2"/>
  <c r="J52" i="10"/>
  <c r="N52" i="5" s="1"/>
  <c r="E54" i="8" l="1"/>
  <c r="AH69" i="9"/>
  <c r="AO69" i="8" s="1"/>
  <c r="G52" i="8"/>
  <c r="CF51" i="8"/>
  <c r="O51" i="2"/>
  <c r="AL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D43" i="8"/>
  <c r="G43" i="1" s="1"/>
  <c r="N43" i="8" s="1"/>
  <c r="CQ44" i="8"/>
  <c r="P45"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V44" i="8"/>
  <c r="CW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CY46" i="8" s="1"/>
  <c r="CO45" i="8"/>
  <c r="CS45" i="8" s="1"/>
  <c r="D47" i="9"/>
  <c r="CZ45" i="8"/>
  <c r="DF47" i="8"/>
  <c r="DG47" i="8" s="1"/>
  <c r="CE45" i="8"/>
  <c r="CV45" i="8" s="1"/>
  <c r="CW45" i="8" s="1"/>
  <c r="CK47" i="8"/>
  <c r="CG52" i="8"/>
  <c r="BW47" i="8"/>
  <c r="CH47" i="8" s="1"/>
  <c r="CX47" i="8" s="1"/>
  <c r="BI47" i="8"/>
  <c r="BX46" i="8"/>
  <c r="CD46" i="8" s="1"/>
  <c r="N46" i="7"/>
  <c r="BH47" i="8"/>
  <c r="BU47" i="8" s="1"/>
  <c r="AG58" i="9"/>
  <c r="B47" i="7"/>
  <c r="Q47" i="7" s="1"/>
  <c r="AI47" i="5"/>
  <c r="A47" i="11"/>
  <c r="B47" i="9"/>
  <c r="X47" i="9" s="1"/>
  <c r="X47" i="8"/>
  <c r="DB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T46" i="8" s="1"/>
  <c r="CU46" i="8" s="1"/>
  <c r="CH46" i="8"/>
  <c r="CX46" i="8" s="1"/>
  <c r="CA46" i="8"/>
  <c r="CB46" i="8"/>
  <c r="CR46" i="8" s="1"/>
  <c r="BZ46" i="8"/>
  <c r="C48" i="5"/>
  <c r="F48" i="5" s="1"/>
  <c r="AW48" i="5" s="1"/>
  <c r="CP45" i="8"/>
  <c r="CZ49" i="5"/>
  <c r="AC48" i="1"/>
  <c r="DA48" i="5"/>
  <c r="DG48" i="5" s="1" a="1"/>
  <c r="DG48" i="5" s="1"/>
  <c r="AB49" i="1"/>
  <c r="DI49" i="5"/>
  <c r="AF58" i="9"/>
  <c r="AJ58" i="9"/>
  <c r="AD120" i="9"/>
  <c r="N34" i="1"/>
  <c r="S51" i="2"/>
  <c r="N52" i="2"/>
  <c r="R52" i="2"/>
  <c r="Q51" i="2"/>
  <c r="J53" i="10"/>
  <c r="N53" i="5" s="1"/>
  <c r="M52" i="2"/>
  <c r="P53" i="2"/>
  <c r="E55" i="8" l="1"/>
  <c r="AH70" i="9"/>
  <c r="AO70" i="8" s="1"/>
  <c r="G53" i="8"/>
  <c r="CF52" i="8"/>
  <c r="O52" i="2"/>
  <c r="AT51" i="5"/>
  <c r="BI52" i="5" a="1"/>
  <c r="BI52" i="5" s="1"/>
  <c r="BF52" i="5" a="1"/>
  <c r="BF52" i="5" s="1"/>
  <c r="AE51" i="1" s="1"/>
  <c r="AL59" i="9"/>
  <c r="BR47" i="8"/>
  <c r="BS47" i="8"/>
  <c r="AD50" i="1"/>
  <c r="DD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Q45" i="8"/>
  <c r="DD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Z46" i="8"/>
  <c r="CO46" i="8"/>
  <c r="CS46" i="8" s="1"/>
  <c r="D48" i="9"/>
  <c r="CI47" i="8"/>
  <c r="CY47" i="8" s="1"/>
  <c r="CZ47" i="8" s="1"/>
  <c r="DF48" i="8"/>
  <c r="DG48" i="8" s="1"/>
  <c r="CE46" i="8"/>
  <c r="CV46" i="8" s="1"/>
  <c r="CW46" i="8" s="1"/>
  <c r="CK48" i="8"/>
  <c r="CG53" i="8"/>
  <c r="BW48" i="8"/>
  <c r="N47" i="7"/>
  <c r="BH48" i="8"/>
  <c r="BU48" i="8" s="1"/>
  <c r="BI48" i="8"/>
  <c r="AG59" i="9"/>
  <c r="B46" i="14"/>
  <c r="AR46" i="5"/>
  <c r="AQ46" i="5"/>
  <c r="CA47" i="8"/>
  <c r="AE47" i="7"/>
  <c r="AF47" i="7" s="1"/>
  <c r="CC47" i="8"/>
  <c r="CT47" i="8" s="1"/>
  <c r="CU47" i="8" s="1"/>
  <c r="AB46" i="11"/>
  <c r="Q46" i="8" s="1"/>
  <c r="Z46" i="11"/>
  <c r="Y46" i="11"/>
  <c r="AH46" i="1" s="1"/>
  <c r="AC46" i="11"/>
  <c r="U46" i="8" s="1"/>
  <c r="N47" i="11"/>
  <c r="AA46" i="11"/>
  <c r="AK46" i="1" s="1"/>
  <c r="AD46" i="11"/>
  <c r="AI46" i="1" s="1"/>
  <c r="BZ47" i="8"/>
  <c r="CB47" i="8"/>
  <c r="CR47" i="8" s="1"/>
  <c r="BY47" i="8"/>
  <c r="C49" i="5"/>
  <c r="F49" i="5" s="1"/>
  <c r="AW49" i="5" s="1"/>
  <c r="CP46" i="8"/>
  <c r="A48" i="10"/>
  <c r="AA48" i="10" s="1"/>
  <c r="B48" i="7"/>
  <c r="A48" i="11"/>
  <c r="X48" i="8"/>
  <c r="DB48" i="8" s="1"/>
  <c r="E48" i="1"/>
  <c r="AJ48" i="5"/>
  <c r="AP48" i="5" s="1"/>
  <c r="B48" i="9"/>
  <c r="X48" i="9" s="1"/>
  <c r="AI48" i="5"/>
  <c r="AC48" i="8"/>
  <c r="BQ48" i="8" s="1"/>
  <c r="BT48" i="5"/>
  <c r="CZ50" i="5"/>
  <c r="AB50" i="1"/>
  <c r="DI50" i="5"/>
  <c r="C50" i="5"/>
  <c r="AC49" i="1"/>
  <c r="DA49" i="5"/>
  <c r="DG49" i="5" s="1" a="1"/>
  <c r="DG49" i="5" s="1"/>
  <c r="AF59" i="9"/>
  <c r="AJ59" i="9"/>
  <c r="AD121" i="9"/>
  <c r="N35" i="1"/>
  <c r="S52" i="2"/>
  <c r="N53" i="2"/>
  <c r="R53" i="2"/>
  <c r="Q52" i="2"/>
  <c r="P54" i="2"/>
  <c r="M53" i="2"/>
  <c r="J54" i="10"/>
  <c r="N54" i="5" s="1"/>
  <c r="E56" i="8" l="1"/>
  <c r="AH71" i="9"/>
  <c r="AO71" i="8" s="1"/>
  <c r="G54" i="8"/>
  <c r="CF53" i="8"/>
  <c r="O53" i="2"/>
  <c r="AL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E47" i="8"/>
  <c r="CV47" i="8" s="1"/>
  <c r="CW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Q46" i="8"/>
  <c r="DD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O47" i="8"/>
  <c r="CS47" i="8" s="1"/>
  <c r="D49" i="9"/>
  <c r="CI48" i="8"/>
  <c r="CY48" i="8" s="1"/>
  <c r="DF49" i="8"/>
  <c r="DG49" i="8" s="1"/>
  <c r="CG54" i="8"/>
  <c r="CK49" i="8"/>
  <c r="BW49" i="8"/>
  <c r="BI49" i="8"/>
  <c r="BX48" i="8"/>
  <c r="CE48" i="8" s="1"/>
  <c r="N48" i="7"/>
  <c r="B49" i="9"/>
  <c r="X49" i="9" s="1"/>
  <c r="BH49" i="8"/>
  <c r="BU49" i="8" s="1"/>
  <c r="AG60" i="9"/>
  <c r="B47" i="14"/>
  <c r="CP47" i="8"/>
  <c r="AR47" i="5"/>
  <c r="AQ47" i="5"/>
  <c r="X49" i="8"/>
  <c r="DB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X48" i="8" s="1"/>
  <c r="CB48" i="8"/>
  <c r="CR48" i="8" s="1"/>
  <c r="BZ48" i="8"/>
  <c r="BY48" i="8"/>
  <c r="CC48" i="8"/>
  <c r="CT48" i="8" s="1"/>
  <c r="CU48" i="8" s="1"/>
  <c r="CA48" i="8"/>
  <c r="AC50" i="1"/>
  <c r="DA50" i="5"/>
  <c r="DG50" i="5" s="1" a="1"/>
  <c r="DG50" i="5" s="1"/>
  <c r="AB51" i="1"/>
  <c r="DI51" i="5"/>
  <c r="AF60" i="9"/>
  <c r="AJ60" i="9"/>
  <c r="AD122" i="9"/>
  <c r="N36" i="1"/>
  <c r="S53" i="2"/>
  <c r="N54" i="2"/>
  <c r="R54" i="2"/>
  <c r="Q53" i="2"/>
  <c r="P55" i="2"/>
  <c r="M54" i="2"/>
  <c r="J55" i="10"/>
  <c r="N55" i="5" s="1"/>
  <c r="E57" i="8" l="1"/>
  <c r="AH72" i="9"/>
  <c r="AO72" i="8" s="1"/>
  <c r="G55" i="8"/>
  <c r="CF54" i="8"/>
  <c r="O54" i="2"/>
  <c r="BK54" i="5" a="1"/>
  <c r="BK54" i="5" s="1"/>
  <c r="BF54" i="5" a="1"/>
  <c r="BF54" i="5" s="1"/>
  <c r="AE53" i="1" s="1"/>
  <c r="AL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Z48" i="8"/>
  <c r="A50" i="10"/>
  <c r="AA50" i="10" s="1"/>
  <c r="B50" i="7"/>
  <c r="AE50" i="7" s="1"/>
  <c r="AF50" i="7" s="1"/>
  <c r="E50" i="1"/>
  <c r="BI50" i="8"/>
  <c r="AI50" i="5"/>
  <c r="B50" i="9"/>
  <c r="X50" i="9" s="1"/>
  <c r="X50" i="8"/>
  <c r="DB50" i="8" s="1"/>
  <c r="AJ50" i="5"/>
  <c r="AP50" i="5" s="1"/>
  <c r="BH50" i="8"/>
  <c r="BU50" i="8" s="1"/>
  <c r="BW50" i="8"/>
  <c r="CH50" i="8" s="1"/>
  <c r="CX50" i="8" s="1"/>
  <c r="BT50" i="5"/>
  <c r="DF50" i="8"/>
  <c r="DG50" i="8" s="1"/>
  <c r="AC50" i="8"/>
  <c r="BQ50" i="8" s="1"/>
  <c r="CK50" i="8"/>
  <c r="CQ47" i="8"/>
  <c r="DD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O48" i="8"/>
  <c r="CS48" i="8" s="1"/>
  <c r="D50" i="9"/>
  <c r="CI49" i="8"/>
  <c r="CY49" i="8" s="1"/>
  <c r="CD48" i="8"/>
  <c r="CG55" i="8"/>
  <c r="BX49" i="8"/>
  <c r="CE49" i="8" s="1"/>
  <c r="N49" i="7"/>
  <c r="AG61" i="9"/>
  <c r="B48" i="14"/>
  <c r="AE49" i="7"/>
  <c r="AF49" i="7" s="1"/>
  <c r="AB48" i="11"/>
  <c r="Q48" i="8" s="1"/>
  <c r="AD48" i="11"/>
  <c r="AI48" i="1" s="1"/>
  <c r="Z48" i="11"/>
  <c r="AC48" i="11"/>
  <c r="U48" i="8" s="1"/>
  <c r="N49" i="11"/>
  <c r="Y48" i="11"/>
  <c r="AH48" i="1" s="1"/>
  <c r="CA49" i="8"/>
  <c r="CB49" i="8"/>
  <c r="CR49" i="8" s="1"/>
  <c r="CC49" i="8"/>
  <c r="CT49" i="8" s="1"/>
  <c r="CU49" i="8" s="1"/>
  <c r="CH49" i="8"/>
  <c r="CX49" i="8" s="1"/>
  <c r="BY49" i="8"/>
  <c r="BZ49" i="8"/>
  <c r="AR48" i="5"/>
  <c r="AQ48" i="5"/>
  <c r="CZ52" i="5"/>
  <c r="C51" i="5"/>
  <c r="F51" i="5" s="1"/>
  <c r="AW51" i="5" s="1"/>
  <c r="CP48" i="8"/>
  <c r="DI52" i="5"/>
  <c r="AB52" i="1"/>
  <c r="AC51" i="1"/>
  <c r="DA51" i="5"/>
  <c r="DG51" i="5" s="1" a="1"/>
  <c r="DG51" i="5" s="1"/>
  <c r="AQ5" i="5"/>
  <c r="AF61" i="9"/>
  <c r="AJ61" i="9"/>
  <c r="AD123" i="9"/>
  <c r="N37" i="1"/>
  <c r="S54" i="2"/>
  <c r="N55" i="2"/>
  <c r="R55" i="2"/>
  <c r="Q54" i="2"/>
  <c r="M55" i="2"/>
  <c r="J56" i="10"/>
  <c r="N56" i="5" s="1"/>
  <c r="P56" i="2"/>
  <c r="E58" i="8" l="1"/>
  <c r="AH73" i="9"/>
  <c r="AO73" i="8" s="1"/>
  <c r="G56" i="8"/>
  <c r="CF55" i="8"/>
  <c r="O55" i="2"/>
  <c r="BB55" i="5" a="1"/>
  <c r="BB55" i="5" s="1"/>
  <c r="AL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V48" i="8"/>
  <c r="CW48" i="8" s="1"/>
  <c r="P48" i="8"/>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CY50" i="8" s="1"/>
  <c r="CZ50" i="8" s="1"/>
  <c r="N50" i="7"/>
  <c r="CC50" i="8"/>
  <c r="CT50" i="8" s="1"/>
  <c r="CU50" i="8" s="1"/>
  <c r="CB50" i="8"/>
  <c r="CR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Q48" i="8"/>
  <c r="H54" i="5"/>
  <c r="C53" i="10"/>
  <c r="E53" i="7"/>
  <c r="K54" i="5"/>
  <c r="F53" i="10"/>
  <c r="H53" i="7"/>
  <c r="DD53" i="5"/>
  <c r="CO49" i="8"/>
  <c r="CS49" i="8" s="1"/>
  <c r="CZ49" i="8"/>
  <c r="DF51" i="8"/>
  <c r="DG51" i="8" s="1"/>
  <c r="CK51" i="8"/>
  <c r="CG56" i="8"/>
  <c r="CD49" i="8"/>
  <c r="BW51" i="8"/>
  <c r="BH51" i="8"/>
  <c r="BU51" i="8" s="1"/>
  <c r="BI51" i="8"/>
  <c r="AG62" i="9"/>
  <c r="B49" i="14"/>
  <c r="AR49" i="5"/>
  <c r="AQ49" i="5"/>
  <c r="CP49" i="8"/>
  <c r="CZ53" i="5"/>
  <c r="A51" i="11"/>
  <c r="B51" i="7"/>
  <c r="X51" i="8"/>
  <c r="DB51" i="8" s="1"/>
  <c r="E51" i="1"/>
  <c r="AJ51" i="5"/>
  <c r="AP51" i="5" s="1"/>
  <c r="AI51" i="5"/>
  <c r="AC51" i="8"/>
  <c r="BQ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E59" i="8" l="1"/>
  <c r="AH74" i="9"/>
  <c r="AO74" i="8" s="1"/>
  <c r="G57" i="8"/>
  <c r="CF56" i="8"/>
  <c r="O56" i="2"/>
  <c r="BB56" i="5" a="1"/>
  <c r="BB56" i="5" s="1"/>
  <c r="AL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D48" i="8"/>
  <c r="G48" i="1" s="1"/>
  <c r="N48" i="8" s="1"/>
  <c r="V54" i="2"/>
  <c r="CV49" i="8"/>
  <c r="CW49" i="8" s="1"/>
  <c r="P49" i="8"/>
  <c r="CO50" i="8"/>
  <c r="CS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P50" i="8"/>
  <c r="CD50" i="8"/>
  <c r="AQ50" i="5"/>
  <c r="CQ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CY51" i="8" s="1"/>
  <c r="DF52" i="8"/>
  <c r="DG52" i="8" s="1"/>
  <c r="CG57" i="8"/>
  <c r="CK52" i="8"/>
  <c r="BW52" i="8"/>
  <c r="BX51" i="8"/>
  <c r="CD51" i="8" s="1"/>
  <c r="N51" i="7"/>
  <c r="BH52" i="8"/>
  <c r="BU52" i="8" s="1"/>
  <c r="BI52" i="8"/>
  <c r="AG63" i="9"/>
  <c r="AI52" i="5"/>
  <c r="A52" i="11"/>
  <c r="AC52" i="8"/>
  <c r="BQ52" i="8" s="1"/>
  <c r="BT52" i="5"/>
  <c r="A52" i="10"/>
  <c r="AA52" i="10" s="1"/>
  <c r="B52" i="7"/>
  <c r="X52" i="8"/>
  <c r="DB52" i="8" s="1"/>
  <c r="E52" i="1"/>
  <c r="AJ52" i="5"/>
  <c r="AP52" i="5" s="1"/>
  <c r="B52" i="9"/>
  <c r="X52" i="9" s="1"/>
  <c r="AE51" i="7"/>
  <c r="AF51" i="7" s="1"/>
  <c r="Q51" i="7"/>
  <c r="Z50" i="11"/>
  <c r="AC50" i="11"/>
  <c r="U50" i="8" s="1"/>
  <c r="AB50" i="11"/>
  <c r="Q50" i="8" s="1"/>
  <c r="N51" i="11"/>
  <c r="AD50" i="11"/>
  <c r="AI50" i="1" s="1"/>
  <c r="AA50" i="11"/>
  <c r="AK50" i="1" s="1"/>
  <c r="Y50" i="11"/>
  <c r="AH50" i="1" s="1"/>
  <c r="CZ54" i="5"/>
  <c r="CB51" i="8"/>
  <c r="CR51" i="8" s="1"/>
  <c r="BZ51" i="8"/>
  <c r="BY51" i="8"/>
  <c r="CA51" i="8"/>
  <c r="CC51" i="8"/>
  <c r="CT51" i="8" s="1"/>
  <c r="CU51" i="8" s="1"/>
  <c r="CH51" i="8"/>
  <c r="CX51" i="8" s="1"/>
  <c r="C53" i="5"/>
  <c r="F53" i="5" s="1"/>
  <c r="AW53" i="5" s="1"/>
  <c r="AB54" i="1"/>
  <c r="DI54" i="5"/>
  <c r="AC53" i="1"/>
  <c r="DA53" i="5"/>
  <c r="DG53" i="5" s="1" a="1"/>
  <c r="DG53" i="5" s="1"/>
  <c r="AF63" i="9"/>
  <c r="AJ63" i="9"/>
  <c r="AD125" i="9"/>
  <c r="N39" i="1"/>
  <c r="S56" i="2"/>
  <c r="N57" i="2"/>
  <c r="R57" i="2"/>
  <c r="Q56" i="2"/>
  <c r="P58" i="2"/>
  <c r="M57" i="2"/>
  <c r="J58" i="10"/>
  <c r="N58" i="5" s="1"/>
  <c r="E60" i="8" l="1"/>
  <c r="AH75" i="9"/>
  <c r="AO75" i="8" s="1"/>
  <c r="G58" i="8"/>
  <c r="CF57" i="8"/>
  <c r="O57" i="2"/>
  <c r="AL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Q50" i="8"/>
  <c r="DD49" i="8"/>
  <c r="G49" i="1" s="1"/>
  <c r="N49" i="8" s="1"/>
  <c r="P51" i="8"/>
  <c r="CV50" i="8"/>
  <c r="CW50" i="8" s="1"/>
  <c r="P50" i="8"/>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CY52" i="8" s="1"/>
  <c r="CO51" i="8"/>
  <c r="CS51" i="8" s="1"/>
  <c r="D53" i="9"/>
  <c r="CZ51" i="8"/>
  <c r="DF53" i="8"/>
  <c r="DG53" i="8" s="1"/>
  <c r="CE51" i="8"/>
  <c r="CV51" i="8" s="1"/>
  <c r="CW51" i="8" s="1"/>
  <c r="CK53" i="8"/>
  <c r="CG58" i="8"/>
  <c r="BW53" i="8"/>
  <c r="N52" i="7"/>
  <c r="BH53" i="8"/>
  <c r="BU53" i="8" s="1"/>
  <c r="BI53" i="8"/>
  <c r="AG64" i="9"/>
  <c r="B51" i="14"/>
  <c r="CP51" i="8"/>
  <c r="AR51" i="5"/>
  <c r="C54" i="5"/>
  <c r="F54" i="5" s="1"/>
  <c r="AW54" i="5" s="1"/>
  <c r="CZ55" i="5"/>
  <c r="CH52" i="8"/>
  <c r="CX52" i="8" s="1"/>
  <c r="CC52" i="8"/>
  <c r="CT52" i="8" s="1"/>
  <c r="CU52" i="8" s="1"/>
  <c r="CA52" i="8"/>
  <c r="CB52" i="8"/>
  <c r="CR52" i="8" s="1"/>
  <c r="BY52" i="8"/>
  <c r="BZ52" i="8"/>
  <c r="AJ53" i="5"/>
  <c r="AP53" i="5" s="1"/>
  <c r="X53" i="8"/>
  <c r="DB53" i="8" s="1"/>
  <c r="AI53" i="5"/>
  <c r="A53" i="11"/>
  <c r="B53" i="9"/>
  <c r="X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E61" i="8" l="1"/>
  <c r="AH76" i="9"/>
  <c r="AO76" i="8" s="1"/>
  <c r="G59" i="8"/>
  <c r="CF58" i="8"/>
  <c r="O58" i="2"/>
  <c r="BC58" i="5" a="1"/>
  <c r="BC58" i="5" s="1"/>
  <c r="AL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D50" i="8"/>
  <c r="G50" i="1" s="1"/>
  <c r="N50" i="8" s="1"/>
  <c r="V56" i="2"/>
  <c r="P52" i="8"/>
  <c r="F61" i="8"/>
  <c r="AO53" i="5"/>
  <c r="AV54" i="5"/>
  <c r="BP57" i="5" a="1"/>
  <c r="BP57" i="5" s="1"/>
  <c r="J57" i="2" s="1"/>
  <c r="AG52" i="7"/>
  <c r="O62" i="1"/>
  <c r="CE52" i="8"/>
  <c r="CV52" i="8" s="1"/>
  <c r="CW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CZ52" i="8"/>
  <c r="CQ51" i="8"/>
  <c r="DD51" i="8" s="1"/>
  <c r="G51" i="1" s="1"/>
  <c r="N51" i="8" s="1"/>
  <c r="CO52" i="8"/>
  <c r="CS52" i="8" s="1"/>
  <c r="D54" i="9"/>
  <c r="CI53" i="8"/>
  <c r="CY53" i="8" s="1"/>
  <c r="DF54" i="8"/>
  <c r="DG54" i="8" s="1"/>
  <c r="CK54" i="8"/>
  <c r="CG59" i="8"/>
  <c r="BW54" i="8"/>
  <c r="BX53" i="8"/>
  <c r="CD53" i="8" s="1"/>
  <c r="N53" i="7"/>
  <c r="BH54" i="8"/>
  <c r="BU54" i="8" s="1"/>
  <c r="BI54" i="8"/>
  <c r="AG65" i="9"/>
  <c r="B52" i="14"/>
  <c r="AQ52" i="5"/>
  <c r="AR52" i="5"/>
  <c r="AE53" i="7"/>
  <c r="AF53" i="7" s="1"/>
  <c r="Q53" i="7"/>
  <c r="CP52" i="8"/>
  <c r="CZ56" i="5"/>
  <c r="AC52" i="11"/>
  <c r="U52" i="8" s="1"/>
  <c r="N53" i="11"/>
  <c r="Z52" i="11"/>
  <c r="AA52" i="11"/>
  <c r="AK52" i="1" s="1"/>
  <c r="Y52" i="11"/>
  <c r="AH52" i="1" s="1"/>
  <c r="AB52" i="11"/>
  <c r="Q52" i="8" s="1"/>
  <c r="AD52" i="11"/>
  <c r="AI52" i="1" s="1"/>
  <c r="BZ53" i="8"/>
  <c r="CC53" i="8"/>
  <c r="CT53" i="8" s="1"/>
  <c r="CU53" i="8" s="1"/>
  <c r="CH53" i="8"/>
  <c r="CX53" i="8" s="1"/>
  <c r="CA53" i="8"/>
  <c r="CB53" i="8"/>
  <c r="CR53" i="8" s="1"/>
  <c r="BY53" i="8"/>
  <c r="B54" i="7"/>
  <c r="AC54" i="8"/>
  <c r="BQ54" i="8" s="1"/>
  <c r="BT54" i="5"/>
  <c r="E54" i="1"/>
  <c r="AJ54" i="5"/>
  <c r="AP54" i="5" s="1"/>
  <c r="X54" i="8"/>
  <c r="DB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E62" i="8" l="1"/>
  <c r="AH77" i="9"/>
  <c r="AO77" i="8" s="1"/>
  <c r="G60" i="8"/>
  <c r="CF59" i="8"/>
  <c r="O59" i="2"/>
  <c r="BQ59" i="5" a="1"/>
  <c r="BQ59" i="5" s="1"/>
  <c r="BN59" i="5" a="1"/>
  <c r="BN59" i="5" s="1"/>
  <c r="AZ59" i="5" a="1"/>
  <c r="AZ59" i="5" s="1"/>
  <c r="BJ59" i="5" a="1"/>
  <c r="BJ59" i="5" s="1"/>
  <c r="BD59" i="5" a="1"/>
  <c r="BD59" i="5" s="1"/>
  <c r="AL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X55" i="9" s="1"/>
  <c r="A55" i="11"/>
  <c r="N55" i="11" s="1"/>
  <c r="E55" i="1"/>
  <c r="BH55" i="8"/>
  <c r="BU55" i="8" s="1"/>
  <c r="CK55" i="8"/>
  <c r="BI55" i="8"/>
  <c r="AI55" i="5"/>
  <c r="X55" i="8"/>
  <c r="DB55" i="8" s="1"/>
  <c r="DF55" i="8"/>
  <c r="DG55" i="8" s="1"/>
  <c r="AJ55" i="5"/>
  <c r="AP55" i="5" s="1"/>
  <c r="AC55" i="8"/>
  <c r="BQ55" i="8" s="1"/>
  <c r="B55" i="7"/>
  <c r="Q55" i="7" s="1"/>
  <c r="BW55" i="8"/>
  <c r="BY55" i="8" s="1"/>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Q52" i="8"/>
  <c r="DD52" i="8" s="1"/>
  <c r="G52" i="1" s="1"/>
  <c r="N52" i="8" s="1"/>
  <c r="L58" i="5"/>
  <c r="G57" i="10"/>
  <c r="I57" i="7"/>
  <c r="CO53" i="8"/>
  <c r="CS53" i="8" s="1"/>
  <c r="CI54" i="8"/>
  <c r="CY54" i="8" s="1"/>
  <c r="CZ53" i="8"/>
  <c r="D55" i="9"/>
  <c r="CG60" i="8"/>
  <c r="CE53" i="8"/>
  <c r="CV53" i="8" s="1"/>
  <c r="CW53" i="8" s="1"/>
  <c r="N54" i="7"/>
  <c r="AG66" i="9"/>
  <c r="CP53" i="8"/>
  <c r="BZ54" i="8"/>
  <c r="CC54" i="8"/>
  <c r="CT54" i="8" s="1"/>
  <c r="CU54" i="8" s="1"/>
  <c r="CH54" i="8"/>
  <c r="CX54" i="8" s="1"/>
  <c r="CA54" i="8"/>
  <c r="CB54" i="8"/>
  <c r="CR54" i="8" s="1"/>
  <c r="BY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E63" i="8" l="1"/>
  <c r="AH78" i="9"/>
  <c r="AO78" i="8" s="1"/>
  <c r="G61" i="8"/>
  <c r="CF60" i="8"/>
  <c r="O60" i="2"/>
  <c r="AD58" i="1"/>
  <c r="BN60" i="5" a="1"/>
  <c r="BN60" i="5" s="1"/>
  <c r="BH60" i="5" a="1"/>
  <c r="BH60" i="5" s="1"/>
  <c r="BC60" i="5" a="1"/>
  <c r="BC60" i="5" s="1"/>
  <c r="BE60" i="5" a="1"/>
  <c r="BE60" i="5" s="1"/>
  <c r="AL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O55" i="8"/>
  <c r="CS55" i="8" s="1"/>
  <c r="F63" i="8"/>
  <c r="AO55" i="5"/>
  <c r="AV56" i="5"/>
  <c r="BP59" i="5" a="1"/>
  <c r="BP59" i="5" s="1"/>
  <c r="J59" i="2" s="1"/>
  <c r="AG54" i="7"/>
  <c r="O64" i="1"/>
  <c r="CE54" i="8"/>
  <c r="CV54" i="8" s="1"/>
  <c r="CW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T55" i="8" s="1"/>
  <c r="CU55" i="8" s="1"/>
  <c r="BZ55" i="8"/>
  <c r="CA55" i="8"/>
  <c r="CI55" i="8"/>
  <c r="CY55" i="8" s="1"/>
  <c r="CH55" i="8"/>
  <c r="CX55" i="8" s="1"/>
  <c r="CB55" i="8"/>
  <c r="CR55" i="8" s="1"/>
  <c r="B58" i="5"/>
  <c r="CQ53" i="8"/>
  <c r="DD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O54" i="8"/>
  <c r="CS54" i="8" s="1"/>
  <c r="CZ54" i="8"/>
  <c r="DF56" i="8"/>
  <c r="DG56" i="8" s="1"/>
  <c r="CK56" i="8"/>
  <c r="CG61" i="8"/>
  <c r="BW56" i="8"/>
  <c r="BH56" i="8"/>
  <c r="BU56" i="8" s="1"/>
  <c r="BI56" i="8"/>
  <c r="AG67" i="9"/>
  <c r="B54" i="14"/>
  <c r="AR54" i="5"/>
  <c r="AQ54" i="5"/>
  <c r="A56" i="11"/>
  <c r="AC56" i="8"/>
  <c r="BQ56" i="8" s="1"/>
  <c r="BT56" i="5"/>
  <c r="X56" i="8"/>
  <c r="DB56" i="8" s="1"/>
  <c r="AJ56" i="5"/>
  <c r="AP56" i="5" s="1"/>
  <c r="A56" i="10"/>
  <c r="AA56" i="10" s="1"/>
  <c r="B56" i="7"/>
  <c r="E56" i="1"/>
  <c r="AI56" i="5"/>
  <c r="B56" i="9"/>
  <c r="X56" i="9" s="1"/>
  <c r="CZ58" i="5"/>
  <c r="C57" i="5"/>
  <c r="F57" i="5" s="1"/>
  <c r="AW57" i="5" s="1"/>
  <c r="CP54" i="8"/>
  <c r="AB58" i="1"/>
  <c r="DI58" i="5"/>
  <c r="AC57" i="1"/>
  <c r="DA57" i="5"/>
  <c r="DG57" i="5" s="1" a="1"/>
  <c r="DG57" i="5" s="1"/>
  <c r="AF67" i="9"/>
  <c r="AJ67" i="9"/>
  <c r="AD129" i="9"/>
  <c r="N43" i="1"/>
  <c r="S60" i="2"/>
  <c r="N61" i="2"/>
  <c r="R61" i="2"/>
  <c r="Q60" i="2"/>
  <c r="J62" i="10"/>
  <c r="N62" i="5" s="1"/>
  <c r="M61" i="2"/>
  <c r="P62" i="2"/>
  <c r="E64" i="8" l="1"/>
  <c r="AH79" i="9"/>
  <c r="AO79" i="8" s="1"/>
  <c r="G62" i="8"/>
  <c r="CF61" i="8"/>
  <c r="O61" i="2"/>
  <c r="AS60" i="5"/>
  <c r="AD59" i="1"/>
  <c r="AL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P55" i="8"/>
  <c r="CQ55" i="8" s="1"/>
  <c r="CZ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Q54" i="8"/>
  <c r="DD54" i="8" s="1"/>
  <c r="G54" i="1" s="1"/>
  <c r="N54" i="8" s="1"/>
  <c r="D57" i="9"/>
  <c r="CI56" i="8"/>
  <c r="CY56" i="8" s="1"/>
  <c r="DF57" i="8"/>
  <c r="DG57" i="8" s="1"/>
  <c r="CK57" i="8"/>
  <c r="CG62" i="8"/>
  <c r="BW57" i="8"/>
  <c r="BX56" i="8"/>
  <c r="CD56" i="8" s="1"/>
  <c r="N56" i="7"/>
  <c r="BH57" i="8"/>
  <c r="BU57" i="8" s="1"/>
  <c r="BI57" i="8"/>
  <c r="AG68" i="9"/>
  <c r="AI57" i="5"/>
  <c r="A57" i="11"/>
  <c r="AC57" i="8"/>
  <c r="BQ57" i="8" s="1"/>
  <c r="BT57" i="5"/>
  <c r="A57" i="10"/>
  <c r="AA57" i="10" s="1"/>
  <c r="B57" i="7"/>
  <c r="X57" i="8"/>
  <c r="DB57" i="8" s="1"/>
  <c r="E57" i="1"/>
  <c r="AJ57" i="5"/>
  <c r="AP57" i="5" s="1"/>
  <c r="B57" i="9"/>
  <c r="X57" i="9" s="1"/>
  <c r="CH56" i="8"/>
  <c r="CX56" i="8" s="1"/>
  <c r="CA56" i="8"/>
  <c r="CB56" i="8"/>
  <c r="CR56" i="8" s="1"/>
  <c r="BY56" i="8"/>
  <c r="BZ56" i="8"/>
  <c r="CC56" i="8"/>
  <c r="CT56" i="8" s="1"/>
  <c r="CU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E65" i="8" l="1"/>
  <c r="AH80" i="9"/>
  <c r="AO80" i="8" s="1"/>
  <c r="G63" i="8"/>
  <c r="CF62" i="8"/>
  <c r="O62" i="2"/>
  <c r="AS61" i="5"/>
  <c r="BG62" i="5" a="1"/>
  <c r="BG62" i="5" s="1"/>
  <c r="AL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V55" i="8"/>
  <c r="CW55" i="8" s="1"/>
  <c r="DD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O56" i="8"/>
  <c r="CS56" i="8" s="1"/>
  <c r="D58" i="9"/>
  <c r="CZ56" i="8"/>
  <c r="CI57" i="8"/>
  <c r="CY57" i="8" s="1"/>
  <c r="DF58" i="8"/>
  <c r="DG58" i="8" s="1"/>
  <c r="CE56" i="8"/>
  <c r="CV56" i="8" s="1"/>
  <c r="CW56" i="8" s="1"/>
  <c r="CK58" i="8"/>
  <c r="CG63" i="8"/>
  <c r="BW58" i="8"/>
  <c r="N57" i="7"/>
  <c r="BH58" i="8"/>
  <c r="BU58" i="8" s="1"/>
  <c r="BI58" i="8"/>
  <c r="AG69" i="9"/>
  <c r="B56" i="14"/>
  <c r="AQ56" i="5"/>
  <c r="AR56" i="5"/>
  <c r="CP56" i="8"/>
  <c r="C59" i="5"/>
  <c r="F59" i="5" s="1"/>
  <c r="AW59" i="5" s="1"/>
  <c r="CZ60" i="5"/>
  <c r="AI58" i="5"/>
  <c r="A58" i="11"/>
  <c r="B58" i="9"/>
  <c r="X58" i="9" s="1"/>
  <c r="AC58" i="8"/>
  <c r="BQ58" i="8" s="1"/>
  <c r="BT58" i="5"/>
  <c r="AJ58" i="5"/>
  <c r="AP58" i="5" s="1"/>
  <c r="A58" i="10"/>
  <c r="AA58" i="10" s="1"/>
  <c r="B58" i="7"/>
  <c r="E58" i="1"/>
  <c r="X58" i="8"/>
  <c r="DB58" i="8" s="1"/>
  <c r="CH57" i="8"/>
  <c r="CX57" i="8" s="1"/>
  <c r="CA57" i="8"/>
  <c r="CB57" i="8"/>
  <c r="CR57" i="8" s="1"/>
  <c r="BY57" i="8"/>
  <c r="BZ57" i="8"/>
  <c r="CC57" i="8"/>
  <c r="CT57" i="8" s="1"/>
  <c r="CU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E66" i="8" l="1"/>
  <c r="AH81" i="9"/>
  <c r="AO81" i="8" s="1"/>
  <c r="G64" i="8"/>
  <c r="CF63" i="8"/>
  <c r="O63" i="2"/>
  <c r="AS62" i="5"/>
  <c r="AL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Q56" i="8"/>
  <c r="DD56" i="8" s="1"/>
  <c r="G56" i="1" s="1"/>
  <c r="N56" i="8" s="1"/>
  <c r="CO57" i="8"/>
  <c r="CS57" i="8" s="1"/>
  <c r="D59" i="9"/>
  <c r="CZ57" i="8"/>
  <c r="CI58" i="8"/>
  <c r="CY58" i="8" s="1"/>
  <c r="DF59" i="8"/>
  <c r="DG59" i="8" s="1"/>
  <c r="CK59" i="8"/>
  <c r="CG64" i="8"/>
  <c r="BW59" i="8"/>
  <c r="N58" i="7"/>
  <c r="BH59" i="8"/>
  <c r="BU59" i="8" s="1"/>
  <c r="BI59" i="8"/>
  <c r="AG70" i="9"/>
  <c r="B57" i="14"/>
  <c r="AR57" i="5"/>
  <c r="AQ57" i="5"/>
  <c r="CP57" i="8"/>
  <c r="CZ61" i="5"/>
  <c r="C60" i="5"/>
  <c r="F60" i="5" s="1"/>
  <c r="AW60" i="5" s="1"/>
  <c r="AE58" i="7"/>
  <c r="AF58" i="7" s="1"/>
  <c r="Q58" i="7"/>
  <c r="Y57" i="11"/>
  <c r="AH57" i="1" s="1"/>
  <c r="N58" i="11"/>
  <c r="AB57" i="11"/>
  <c r="Q57" i="8" s="1"/>
  <c r="Z57" i="11"/>
  <c r="AD57" i="11"/>
  <c r="AI57" i="1" s="1"/>
  <c r="AA57" i="11"/>
  <c r="AK57" i="1" s="1"/>
  <c r="AC57" i="11"/>
  <c r="U57" i="8" s="1"/>
  <c r="BY58" i="8"/>
  <c r="BZ58" i="8"/>
  <c r="CB58" i="8"/>
  <c r="CR58" i="8" s="1"/>
  <c r="CC58" i="8"/>
  <c r="CT58" i="8" s="1"/>
  <c r="CU58" i="8" s="1"/>
  <c r="CH58" i="8"/>
  <c r="CX58" i="8" s="1"/>
  <c r="CA58" i="8"/>
  <c r="A59" i="11"/>
  <c r="A59" i="10"/>
  <c r="AA59" i="10" s="1"/>
  <c r="B59" i="7"/>
  <c r="AC59" i="8"/>
  <c r="BQ59" i="8" s="1"/>
  <c r="BT59" i="5"/>
  <c r="X59" i="8"/>
  <c r="DB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E67" i="8" l="1"/>
  <c r="AH82" i="9"/>
  <c r="AO82" i="8" s="1"/>
  <c r="G65" i="8"/>
  <c r="CF64" i="8"/>
  <c r="O64" i="2"/>
  <c r="AS63" i="5"/>
  <c r="BM64" i="5" a="1"/>
  <c r="BM64" i="5" s="1"/>
  <c r="AL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V57" i="8"/>
  <c r="CW57" i="8" s="1"/>
  <c r="P57" i="8"/>
  <c r="F67" i="8"/>
  <c r="AO59" i="5"/>
  <c r="AV60" i="5"/>
  <c r="BP63" i="5" a="1"/>
  <c r="BP63" i="5" s="1"/>
  <c r="J63" i="2" s="1"/>
  <c r="AG58" i="7"/>
  <c r="O68" i="1"/>
  <c r="CE58" i="8"/>
  <c r="CV58" i="8" s="1"/>
  <c r="CW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Q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O58" i="8"/>
  <c r="CS58" i="8" s="1"/>
  <c r="CI59" i="8"/>
  <c r="CY59" i="8" s="1"/>
  <c r="CZ58" i="8"/>
  <c r="D60" i="9"/>
  <c r="DF60" i="8"/>
  <c r="DG60" i="8" s="1"/>
  <c r="CK60" i="8"/>
  <c r="CG65" i="8"/>
  <c r="BW60" i="8"/>
  <c r="N59" i="7"/>
  <c r="BH60" i="8"/>
  <c r="BU60" i="8" s="1"/>
  <c r="BI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Q60" i="8" s="1"/>
  <c r="BT60" i="5"/>
  <c r="X60" i="8"/>
  <c r="DB60" i="8" s="1"/>
  <c r="C61" i="5"/>
  <c r="F61" i="5" s="1"/>
  <c r="AW61" i="5" s="1"/>
  <c r="CZ62" i="5"/>
  <c r="CP58" i="8"/>
  <c r="CC59" i="8"/>
  <c r="CT59" i="8" s="1"/>
  <c r="CU59" i="8" s="1"/>
  <c r="CA59" i="8"/>
  <c r="CB59" i="8"/>
  <c r="CR59" i="8" s="1"/>
  <c r="BY59" i="8"/>
  <c r="BZ59" i="8"/>
  <c r="CH59" i="8"/>
  <c r="CX59" i="8" s="1"/>
  <c r="DI62" i="5"/>
  <c r="AB62" i="1"/>
  <c r="AC61" i="1"/>
  <c r="DA61" i="5"/>
  <c r="DG61" i="5" s="1" a="1"/>
  <c r="DG61" i="5" s="1"/>
  <c r="AF71" i="9"/>
  <c r="AJ71" i="9"/>
  <c r="AD133" i="9"/>
  <c r="N47" i="1"/>
  <c r="S64" i="2"/>
  <c r="N65" i="2"/>
  <c r="R65" i="2"/>
  <c r="Q64" i="2"/>
  <c r="J66" i="10"/>
  <c r="N66" i="5" s="1"/>
  <c r="P66" i="2"/>
  <c r="M65" i="2"/>
  <c r="E68" i="8" l="1"/>
  <c r="AH83" i="9"/>
  <c r="AO83" i="8" s="1"/>
  <c r="G66" i="8"/>
  <c r="CF65" i="8"/>
  <c r="O65" i="2"/>
  <c r="AS64" i="5"/>
  <c r="BC65" i="5" a="1"/>
  <c r="BC65" i="5" s="1"/>
  <c r="AL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D57" i="8"/>
  <c r="G57" i="1" s="1"/>
  <c r="N57" i="8" s="1"/>
  <c r="P59" i="8"/>
  <c r="F68" i="8"/>
  <c r="AO60" i="5"/>
  <c r="AV61" i="5"/>
  <c r="BP64" i="5" a="1"/>
  <c r="BP64" i="5" s="1"/>
  <c r="J64" i="2" s="1"/>
  <c r="AG59" i="7"/>
  <c r="O69" i="1"/>
  <c r="CE59" i="8"/>
  <c r="CV59" i="8" s="1"/>
  <c r="CW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Q58" i="8"/>
  <c r="DD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CZ59" i="8"/>
  <c r="CO59" i="8"/>
  <c r="CS59" i="8" s="1"/>
  <c r="CI60" i="8"/>
  <c r="CY60" i="8" s="1"/>
  <c r="D61" i="9"/>
  <c r="DF61" i="8"/>
  <c r="DG61" i="8" s="1"/>
  <c r="CK61" i="8"/>
  <c r="CG66" i="8"/>
  <c r="BW61" i="8"/>
  <c r="BX60" i="8"/>
  <c r="CD60" i="8" s="1"/>
  <c r="N60" i="7"/>
  <c r="BH61" i="8"/>
  <c r="BU61" i="8" s="1"/>
  <c r="BI61" i="8"/>
  <c r="AG72" i="9"/>
  <c r="B59" i="14"/>
  <c r="CP59" i="8"/>
  <c r="CZ63" i="5"/>
  <c r="BT61" i="5"/>
  <c r="E61" i="1"/>
  <c r="AC61" i="8"/>
  <c r="BQ61" i="8" s="1"/>
  <c r="B61" i="7"/>
  <c r="A61" i="10"/>
  <c r="AA61" i="10" s="1"/>
  <c r="AJ61" i="5"/>
  <c r="AP61" i="5" s="1"/>
  <c r="X61" i="8"/>
  <c r="DB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C60" i="8"/>
  <c r="CT60" i="8" s="1"/>
  <c r="CU60" i="8" s="1"/>
  <c r="CH60" i="8"/>
  <c r="CX60" i="8" s="1"/>
  <c r="CA60" i="8"/>
  <c r="CB60" i="8"/>
  <c r="CR60" i="8" s="1"/>
  <c r="BZ60" i="8"/>
  <c r="BY60" i="8"/>
  <c r="AC62" i="1"/>
  <c r="DA62" i="5"/>
  <c r="DG62" i="5" s="1" a="1"/>
  <c r="DG62" i="5" s="1"/>
  <c r="AB63" i="1"/>
  <c r="DI63" i="5"/>
  <c r="AF72" i="9"/>
  <c r="AJ72" i="9"/>
  <c r="AD134" i="9"/>
  <c r="N48" i="1"/>
  <c r="S65" i="2"/>
  <c r="N66" i="2"/>
  <c r="R66" i="2"/>
  <c r="Q65" i="2"/>
  <c r="J67" i="10"/>
  <c r="N67" i="5" s="1"/>
  <c r="M66" i="2"/>
  <c r="P67" i="2"/>
  <c r="E69" i="8" l="1"/>
  <c r="AH84" i="9"/>
  <c r="AO84" i="8" s="1"/>
  <c r="G67" i="8"/>
  <c r="CF66" i="8"/>
  <c r="O66" i="2"/>
  <c r="AQ60" i="5"/>
  <c r="AS65" i="5"/>
  <c r="BC66" i="5" a="1"/>
  <c r="BC66" i="5" s="1"/>
  <c r="BQ66" i="5" a="1"/>
  <c r="BQ66" i="5" s="1"/>
  <c r="BA66" i="5" a="1"/>
  <c r="BA66" i="5" s="1"/>
  <c r="BK66" i="5" a="1"/>
  <c r="BK66" i="5" s="1"/>
  <c r="BH66" i="5" a="1"/>
  <c r="BH66" i="5" s="1"/>
  <c r="BM66" i="5" a="1"/>
  <c r="BM66" i="5" s="1"/>
  <c r="BN66" i="5" a="1"/>
  <c r="BN66" i="5" s="1"/>
  <c r="AL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Q59" i="8"/>
  <c r="DD59" i="8" s="1"/>
  <c r="G59" i="1" s="1"/>
  <c r="N59" i="8" s="1"/>
  <c r="CO60" i="8"/>
  <c r="CS60" i="8" s="1"/>
  <c r="CZ60" i="8"/>
  <c r="D62" i="9"/>
  <c r="CI61" i="8"/>
  <c r="CY61" i="8" s="1"/>
  <c r="DF62" i="8"/>
  <c r="DG62" i="8" s="1"/>
  <c r="CE60" i="8"/>
  <c r="CV60" i="8" s="1"/>
  <c r="CW60" i="8" s="1"/>
  <c r="CG67" i="8"/>
  <c r="CK62" i="8"/>
  <c r="BW62" i="8"/>
  <c r="N61" i="7"/>
  <c r="BH62" i="8"/>
  <c r="BU62" i="8" s="1"/>
  <c r="BI62" i="8"/>
  <c r="AG73" i="9"/>
  <c r="CZ64" i="5"/>
  <c r="CP60" i="8"/>
  <c r="CH61" i="8"/>
  <c r="CX61" i="8" s="1"/>
  <c r="CB61" i="8"/>
  <c r="CR61" i="8" s="1"/>
  <c r="BY61" i="8"/>
  <c r="BZ61" i="8"/>
  <c r="CC61" i="8"/>
  <c r="CT61" i="8" s="1"/>
  <c r="CU61" i="8" s="1"/>
  <c r="CA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Q62" i="8" s="1"/>
  <c r="BT62" i="5"/>
  <c r="A62" i="10"/>
  <c r="AA62" i="10" s="1"/>
  <c r="B62" i="7"/>
  <c r="X62" i="8"/>
  <c r="DB62" i="8" s="1"/>
  <c r="E62" i="1"/>
  <c r="AJ62" i="5"/>
  <c r="AP62" i="5" s="1"/>
  <c r="AB64" i="1"/>
  <c r="DI64" i="5"/>
  <c r="AC63" i="1"/>
  <c r="DA63" i="5"/>
  <c r="DG63" i="5" s="1" a="1"/>
  <c r="DG63" i="5" s="1"/>
  <c r="AF73" i="9"/>
  <c r="AJ73" i="9"/>
  <c r="AD135" i="9"/>
  <c r="N49" i="1"/>
  <c r="S66" i="2"/>
  <c r="N67" i="2"/>
  <c r="R67" i="2"/>
  <c r="Q66" i="2"/>
  <c r="P68" i="2"/>
  <c r="J68" i="10"/>
  <c r="N68" i="5" s="1"/>
  <c r="M67" i="2"/>
  <c r="E70" i="8" l="1"/>
  <c r="AH85" i="9"/>
  <c r="AO85" i="8" s="1"/>
  <c r="G68" i="8"/>
  <c r="CF67" i="8"/>
  <c r="O67" i="2"/>
  <c r="AQ61" i="5"/>
  <c r="AS66" i="5"/>
  <c r="AD65" i="1"/>
  <c r="BA67" i="5" a="1"/>
  <c r="BA67" i="5" s="1"/>
  <c r="AZ67" i="5" a="1"/>
  <c r="AZ67" i="5" s="1"/>
  <c r="BB67" i="5" a="1"/>
  <c r="BB67" i="5" s="1"/>
  <c r="AL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O61" i="8"/>
  <c r="CS61" i="8" s="1"/>
  <c r="CQ60" i="8"/>
  <c r="DD60" i="8" s="1"/>
  <c r="G60" i="1" s="1"/>
  <c r="N60" i="8" s="1"/>
  <c r="D63" i="9"/>
  <c r="CI62" i="8"/>
  <c r="CY62" i="8" s="1"/>
  <c r="CZ61" i="8"/>
  <c r="DF63" i="8"/>
  <c r="DG63" i="8" s="1"/>
  <c r="CK63" i="8"/>
  <c r="CG68" i="8"/>
  <c r="BW63" i="8"/>
  <c r="N62" i="7"/>
  <c r="BH63" i="8"/>
  <c r="BU63" i="8" s="1"/>
  <c r="BI63" i="8"/>
  <c r="AG74" i="9"/>
  <c r="AJ63" i="5"/>
  <c r="AP63" i="5" s="1"/>
  <c r="X63" i="8"/>
  <c r="DB63" i="8" s="1"/>
  <c r="E63" i="1"/>
  <c r="A63" i="10"/>
  <c r="AA63" i="10" s="1"/>
  <c r="B63" i="7"/>
  <c r="AI63" i="5"/>
  <c r="B63" i="9"/>
  <c r="X63" i="9" s="1"/>
  <c r="A63" i="11"/>
  <c r="AC63" i="8"/>
  <c r="BQ63" i="8" s="1"/>
  <c r="BT63" i="5"/>
  <c r="B61" i="14"/>
  <c r="N62" i="11"/>
  <c r="Z61" i="11"/>
  <c r="Y61" i="11"/>
  <c r="AH61" i="1" s="1"/>
  <c r="AB61" i="11"/>
  <c r="Q61" i="8" s="1"/>
  <c r="AA61" i="11"/>
  <c r="AK61" i="1" s="1"/>
  <c r="AC61" i="11"/>
  <c r="U61" i="8" s="1"/>
  <c r="AD61" i="11"/>
  <c r="AI61" i="1" s="1"/>
  <c r="CZ65" i="5"/>
  <c r="CC62" i="8"/>
  <c r="CT62" i="8" s="1"/>
  <c r="CU62" i="8" s="1"/>
  <c r="CH62" i="8"/>
  <c r="CX62" i="8" s="1"/>
  <c r="CA62" i="8"/>
  <c r="CB62" i="8"/>
  <c r="CR62" i="8" s="1"/>
  <c r="BY62" i="8"/>
  <c r="BZ62" i="8"/>
  <c r="CP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AH86" i="9" l="1"/>
  <c r="AO86" i="8" s="1"/>
  <c r="G69" i="8"/>
  <c r="CF68" i="8"/>
  <c r="O68" i="2"/>
  <c r="AQ62" i="5"/>
  <c r="AS67" i="5"/>
  <c r="AL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V61" i="8"/>
  <c r="CW61" i="8" s="1"/>
  <c r="P61" i="8"/>
  <c r="F71" i="8"/>
  <c r="AO63" i="5"/>
  <c r="AV64" i="5"/>
  <c r="BP67" i="5" a="1"/>
  <c r="BP67" i="5" s="1"/>
  <c r="J67" i="2" s="1"/>
  <c r="AG62" i="7"/>
  <c r="AI62" i="7" s="1"/>
  <c r="O72" i="1"/>
  <c r="CE62" i="8"/>
  <c r="CV62" i="8" s="1"/>
  <c r="CW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Q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O62" i="8"/>
  <c r="CS62" i="8" s="1"/>
  <c r="CZ62" i="8"/>
  <c r="CI63" i="8"/>
  <c r="CY63" i="8" s="1"/>
  <c r="D64" i="9"/>
  <c r="DF64" i="8"/>
  <c r="DG64" i="8" s="1"/>
  <c r="CK64" i="8"/>
  <c r="CG69" i="8"/>
  <c r="BW64" i="8"/>
  <c r="BX63" i="8"/>
  <c r="CD63" i="8" s="1"/>
  <c r="N63" i="7"/>
  <c r="BH64" i="8"/>
  <c r="BU64" i="8" s="1"/>
  <c r="BI64" i="8"/>
  <c r="AG75" i="9"/>
  <c r="CP62" i="8"/>
  <c r="AA62" i="11"/>
  <c r="AK62" i="1" s="1"/>
  <c r="Z62" i="11"/>
  <c r="AB62" i="11"/>
  <c r="Q62" i="8" s="1"/>
  <c r="AD62" i="11"/>
  <c r="AI62" i="1" s="1"/>
  <c r="AC62" i="11"/>
  <c r="U62" i="8" s="1"/>
  <c r="Y62" i="11"/>
  <c r="AH62" i="1" s="1"/>
  <c r="N63" i="11"/>
  <c r="CA63" i="8"/>
  <c r="CB63" i="8"/>
  <c r="CR63" i="8" s="1"/>
  <c r="BY63" i="8"/>
  <c r="BZ63" i="8"/>
  <c r="CC63" i="8"/>
  <c r="CT63" i="8" s="1"/>
  <c r="CU63" i="8" s="1"/>
  <c r="CH63" i="8"/>
  <c r="CX63" i="8" s="1"/>
  <c r="B62" i="14"/>
  <c r="Q63" i="7"/>
  <c r="AE63" i="7"/>
  <c r="AF63" i="7" s="1"/>
  <c r="CZ66" i="5"/>
  <c r="AI64" i="5"/>
  <c r="B64" i="9"/>
  <c r="X64" i="9" s="1"/>
  <c r="B64" i="7"/>
  <c r="A64" i="11"/>
  <c r="A64" i="10"/>
  <c r="AA64" i="10" s="1"/>
  <c r="AC64" i="8"/>
  <c r="BQ64" i="8" s="1"/>
  <c r="BT64" i="5"/>
  <c r="AJ64" i="5"/>
  <c r="AP64" i="5" s="1"/>
  <c r="X64" i="8"/>
  <c r="DB64" i="8" s="1"/>
  <c r="E64" i="1"/>
  <c r="AB66" i="1"/>
  <c r="DI66" i="5"/>
  <c r="C66" i="5"/>
  <c r="AC65" i="1"/>
  <c r="DA65" i="5"/>
  <c r="DG65" i="5" s="1" a="1"/>
  <c r="DG65" i="5" s="1"/>
  <c r="AF75" i="9"/>
  <c r="AJ75" i="9"/>
  <c r="N51" i="1"/>
  <c r="S68" i="2"/>
  <c r="N69" i="2"/>
  <c r="R69" i="2"/>
  <c r="Q68" i="2"/>
  <c r="M69" i="2"/>
  <c r="J70" i="10"/>
  <c r="N70" i="5" s="1"/>
  <c r="P70" i="2"/>
  <c r="AH87" i="9" l="1"/>
  <c r="AO87" i="8" s="1"/>
  <c r="G70" i="8"/>
  <c r="CF69" i="8"/>
  <c r="O69" i="2"/>
  <c r="AQ63" i="5"/>
  <c r="AS68" i="5"/>
  <c r="BD69" i="5" a="1"/>
  <c r="BD69" i="5" s="1"/>
  <c r="BG69" i="5" a="1"/>
  <c r="BG69" i="5" s="1"/>
  <c r="AL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D61" i="8"/>
  <c r="G61" i="1" s="1"/>
  <c r="N61" i="8" s="1"/>
  <c r="P63" i="8"/>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CA65" i="8" s="1"/>
  <c r="AI65" i="5"/>
  <c r="CQ62" i="8"/>
  <c r="DD62" i="8" s="1"/>
  <c r="G62" i="1" s="1"/>
  <c r="N62" i="8" s="1"/>
  <c r="B65" i="9"/>
  <c r="X65" i="9" s="1"/>
  <c r="AJ65" i="5"/>
  <c r="AP65" i="5" s="1"/>
  <c r="BI65" i="8"/>
  <c r="B65" i="7"/>
  <c r="Q65" i="7" s="1"/>
  <c r="BH65" i="8"/>
  <c r="BU65" i="8" s="1"/>
  <c r="BT65" i="5"/>
  <c r="A65" i="10"/>
  <c r="AA65" i="10" s="1"/>
  <c r="DF65" i="8"/>
  <c r="DG65" i="8" s="1"/>
  <c r="F66" i="5"/>
  <c r="AW66" i="5" s="1"/>
  <c r="CK65" i="8"/>
  <c r="E65" i="1"/>
  <c r="A65" i="11"/>
  <c r="AB64" i="11" s="1"/>
  <c r="Q64" i="8" s="1"/>
  <c r="X65" i="8"/>
  <c r="DB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O63" i="8"/>
  <c r="CS63" i="8" s="1"/>
  <c r="CZ63" i="8"/>
  <c r="D65" i="9"/>
  <c r="CI64" i="8"/>
  <c r="CY64" i="8" s="1"/>
  <c r="CG70" i="8"/>
  <c r="CE63" i="8"/>
  <c r="CV63" i="8" s="1"/>
  <c r="CW63" i="8" s="1"/>
  <c r="N64" i="7"/>
  <c r="AG76" i="9"/>
  <c r="CP63" i="8"/>
  <c r="AD63" i="11"/>
  <c r="AI63" i="1" s="1"/>
  <c r="AB63" i="11"/>
  <c r="Q63" i="8" s="1"/>
  <c r="AC63" i="11"/>
  <c r="U63" i="8" s="1"/>
  <c r="Y63" i="11"/>
  <c r="AH63" i="1" s="1"/>
  <c r="N64" i="11"/>
  <c r="Z63" i="11"/>
  <c r="AA63" i="11"/>
  <c r="AK63" i="1" s="1"/>
  <c r="Q64" i="7"/>
  <c r="AE64" i="7"/>
  <c r="AF64" i="7" s="1"/>
  <c r="CZ67" i="5"/>
  <c r="B63" i="14"/>
  <c r="BY64" i="8"/>
  <c r="BZ64" i="8"/>
  <c r="CH64" i="8"/>
  <c r="CX64" i="8" s="1"/>
  <c r="CC64" i="8"/>
  <c r="CT64" i="8" s="1"/>
  <c r="CU64" i="8" s="1"/>
  <c r="CA64" i="8"/>
  <c r="CB64" i="8"/>
  <c r="CR64" i="8" s="1"/>
  <c r="AC66" i="1"/>
  <c r="DA66" i="5"/>
  <c r="DG66" i="5" s="1" a="1"/>
  <c r="DG66" i="5" s="1"/>
  <c r="AB67" i="1"/>
  <c r="DI67" i="5"/>
  <c r="AF76" i="9"/>
  <c r="AJ76" i="9"/>
  <c r="N52" i="1"/>
  <c r="S69" i="2"/>
  <c r="N70" i="2"/>
  <c r="R70" i="2"/>
  <c r="Q69" i="2"/>
  <c r="J71" i="10"/>
  <c r="N71" i="5" s="1"/>
  <c r="P71" i="2"/>
  <c r="M70" i="2"/>
  <c r="AH88" i="9" l="1"/>
  <c r="AO88" i="8" s="1"/>
  <c r="G71" i="8"/>
  <c r="CF70" i="8"/>
  <c r="O70" i="2"/>
  <c r="AQ64" i="5"/>
  <c r="AS69" i="5"/>
  <c r="BD70" i="5" a="1"/>
  <c r="BD70" i="5" s="1"/>
  <c r="BI70" i="5" a="1"/>
  <c r="BI70" i="5" s="1"/>
  <c r="BN70" i="5" a="1"/>
  <c r="BN70" i="5" s="1"/>
  <c r="BC70" i="5" a="1"/>
  <c r="BC70" i="5" s="1"/>
  <c r="AL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P64" i="8" s="1"/>
  <c r="AV66" i="5"/>
  <c r="AO65" i="5"/>
  <c r="BP69" i="5" a="1"/>
  <c r="BP69" i="5" s="1"/>
  <c r="J69" i="2" s="1"/>
  <c r="AG64" i="7"/>
  <c r="AI64" i="7" s="1"/>
  <c r="O74" i="1"/>
  <c r="BT65" i="8"/>
  <c r="BO65" i="8"/>
  <c r="BP65" i="8"/>
  <c r="BM65" i="8"/>
  <c r="BN65" i="8"/>
  <c r="BK65" i="8"/>
  <c r="BL65" i="8"/>
  <c r="BJ65" i="8"/>
  <c r="AM65" i="5"/>
  <c r="AN65" i="5"/>
  <c r="AR65" i="5" s="1"/>
  <c r="AH69" i="11"/>
  <c r="AC65" i="10"/>
  <c r="X65" i="10" s="1"/>
  <c r="BW66" i="8"/>
  <c r="CH66" i="8" s="1"/>
  <c r="CX66" i="8" s="1"/>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R65" i="8" s="1"/>
  <c r="E66" i="1"/>
  <c r="CC65" i="8"/>
  <c r="CT65" i="8" s="1"/>
  <c r="CU65" i="8" s="1"/>
  <c r="BZ65" i="8"/>
  <c r="CP65" i="8" s="1"/>
  <c r="B66" i="7"/>
  <c r="AE66" i="7" s="1"/>
  <c r="AF66" i="7" s="1"/>
  <c r="B66" i="9"/>
  <c r="X66" i="9" s="1"/>
  <c r="CH65" i="8"/>
  <c r="CX65" i="8" s="1"/>
  <c r="BI66" i="8"/>
  <c r="DF66" i="8"/>
  <c r="DG66" i="8" s="1"/>
  <c r="X66" i="8"/>
  <c r="DB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CY65" i="8" s="1"/>
  <c r="B68" i="5"/>
  <c r="CQ63" i="8"/>
  <c r="DD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O64" i="8"/>
  <c r="CS64" i="8" s="1"/>
  <c r="CZ64" i="8"/>
  <c r="AG77" i="9"/>
  <c r="CP64" i="8"/>
  <c r="CZ68" i="5"/>
  <c r="B64" i="14"/>
  <c r="C67" i="5"/>
  <c r="F67" i="5" s="1"/>
  <c r="AW67" i="5" s="1"/>
  <c r="AB68" i="1"/>
  <c r="DI68" i="5"/>
  <c r="AC67" i="1"/>
  <c r="DA67" i="5"/>
  <c r="DG67" i="5" s="1" a="1"/>
  <c r="DG67" i="5" s="1"/>
  <c r="AF77" i="9"/>
  <c r="AJ77" i="9"/>
  <c r="N53" i="1"/>
  <c r="S70" i="2"/>
  <c r="N71" i="2"/>
  <c r="R71" i="2"/>
  <c r="Q70" i="2"/>
  <c r="J72" i="10"/>
  <c r="N72" i="5" s="1"/>
  <c r="P72" i="2"/>
  <c r="AH89" i="9" l="1"/>
  <c r="AO89" i="8" s="1"/>
  <c r="G72" i="8"/>
  <c r="CF71" i="8"/>
  <c r="O71" i="2"/>
  <c r="AS70" i="5"/>
  <c r="AQ65" i="5"/>
  <c r="BI71" i="5" a="1"/>
  <c r="BI71" i="5" s="1"/>
  <c r="AD69" i="1"/>
  <c r="BC71" i="5" a="1"/>
  <c r="BC71" i="5" s="1"/>
  <c r="BN71" i="5" a="1"/>
  <c r="BN71" i="5" s="1"/>
  <c r="BQ71" i="5" a="1"/>
  <c r="BQ71" i="5" s="1"/>
  <c r="AL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V64" i="8"/>
  <c r="CW64" i="8" s="1"/>
  <c r="P65" i="8"/>
  <c r="CO65" i="8"/>
  <c r="CS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R66" i="8" s="1"/>
  <c r="BY66" i="8"/>
  <c r="BZ66" i="8"/>
  <c r="CC66" i="8"/>
  <c r="CT66" i="8" s="1"/>
  <c r="CU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Z65" i="8"/>
  <c r="AD65" i="11"/>
  <c r="AI65" i="1" s="1"/>
  <c r="Q66" i="7"/>
  <c r="Z65" i="11"/>
  <c r="AB65" i="11"/>
  <c r="Q65" i="8" s="1"/>
  <c r="N66" i="11"/>
  <c r="D67" i="9"/>
  <c r="CI66" i="8"/>
  <c r="CY66" i="8" s="1"/>
  <c r="CZ66" i="8" s="1"/>
  <c r="B65" i="14"/>
  <c r="CE65" i="8"/>
  <c r="CV65" i="8" s="1"/>
  <c r="CW65" i="8" s="1"/>
  <c r="CQ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F67" i="8"/>
  <c r="DG67" i="8" s="1"/>
  <c r="CK67" i="8"/>
  <c r="BW67" i="8"/>
  <c r="BH67" i="8"/>
  <c r="BI67" i="8"/>
  <c r="AG78" i="9"/>
  <c r="C68" i="5"/>
  <c r="F68" i="5" s="1"/>
  <c r="AW68" i="5" s="1"/>
  <c r="CZ69" i="5"/>
  <c r="AI67" i="5"/>
  <c r="B67" i="9"/>
  <c r="X67" i="9" s="1"/>
  <c r="A67" i="11"/>
  <c r="AC67" i="8"/>
  <c r="BQ67" i="8" s="1"/>
  <c r="BT67" i="5"/>
  <c r="B67" i="7"/>
  <c r="X67" i="8"/>
  <c r="DB67" i="8" s="1"/>
  <c r="E67" i="1"/>
  <c r="A67" i="10"/>
  <c r="AA67" i="10" s="1"/>
  <c r="AJ67" i="5"/>
  <c r="AP67" i="5" s="1"/>
  <c r="AC68" i="1"/>
  <c r="DA68" i="5"/>
  <c r="DG68" i="5" s="1" a="1"/>
  <c r="DG68" i="5" s="1"/>
  <c r="AB69" i="1"/>
  <c r="DI69" i="5"/>
  <c r="AF78" i="9"/>
  <c r="AJ78" i="9"/>
  <c r="N54" i="1"/>
  <c r="S71" i="2"/>
  <c r="N72" i="2"/>
  <c r="R72" i="2"/>
  <c r="Q71" i="2"/>
  <c r="P73" i="2"/>
  <c r="J73" i="10"/>
  <c r="N73" i="5" s="1"/>
  <c r="AH90" i="9" l="1"/>
  <c r="AO90" i="8" s="1"/>
  <c r="G73" i="8"/>
  <c r="CF72" i="8"/>
  <c r="O72" i="2"/>
  <c r="AQ66" i="5"/>
  <c r="AS71" i="5"/>
  <c r="BQ72" i="5" a="1"/>
  <c r="BQ72" i="5" s="1"/>
  <c r="AD70" i="1"/>
  <c r="BH72" i="5" a="1"/>
  <c r="BH72" i="5" s="1"/>
  <c r="AL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D64" i="8"/>
  <c r="G64" i="1" s="1"/>
  <c r="N64" i="8" s="1"/>
  <c r="V70" i="2"/>
  <c r="CQ65" i="8"/>
  <c r="DD65" i="8" s="1"/>
  <c r="G65" i="1" s="1"/>
  <c r="N65" i="8" s="1"/>
  <c r="F75" i="8"/>
  <c r="CO66" i="8"/>
  <c r="CS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P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F68" i="8"/>
  <c r="DG68" i="8" s="1"/>
  <c r="CK68" i="8"/>
  <c r="BW68" i="8"/>
  <c r="N67" i="7"/>
  <c r="BH68" i="8"/>
  <c r="BU68" i="8" s="1"/>
  <c r="BI68" i="8"/>
  <c r="AG79" i="9"/>
  <c r="C69" i="5"/>
  <c r="F69" i="5" s="1"/>
  <c r="AW69" i="5" s="1"/>
  <c r="AE67" i="7"/>
  <c r="AF67" i="7" s="1"/>
  <c r="Q67" i="7"/>
  <c r="CZ70" i="5"/>
  <c r="CI67" i="8"/>
  <c r="CY67" i="8" s="1"/>
  <c r="AA66" i="11"/>
  <c r="AK66" i="1" s="1"/>
  <c r="Y66" i="11"/>
  <c r="AH66" i="1" s="1"/>
  <c r="AC66" i="11"/>
  <c r="U66" i="8" s="1"/>
  <c r="AB66" i="11"/>
  <c r="Q66" i="8" s="1"/>
  <c r="AD66" i="11"/>
  <c r="AI66" i="1" s="1"/>
  <c r="N67" i="11"/>
  <c r="Z66" i="11"/>
  <c r="AC68" i="8"/>
  <c r="BQ68" i="8" s="1"/>
  <c r="X68" i="8"/>
  <c r="DB68" i="8" s="1"/>
  <c r="AI68" i="5"/>
  <c r="A68" i="11"/>
  <c r="BT68" i="5"/>
  <c r="A68" i="10"/>
  <c r="AA68" i="10" s="1"/>
  <c r="B68" i="7"/>
  <c r="E68" i="1"/>
  <c r="AJ68" i="5"/>
  <c r="AP68" i="5" s="1"/>
  <c r="B68" i="9"/>
  <c r="X68" i="9" s="1"/>
  <c r="CA67" i="8"/>
  <c r="CB67" i="8"/>
  <c r="CR67" i="8" s="1"/>
  <c r="BY67" i="8"/>
  <c r="BZ67" i="8"/>
  <c r="CC67" i="8"/>
  <c r="CT67" i="8" s="1"/>
  <c r="CU67" i="8" s="1"/>
  <c r="CH67" i="8"/>
  <c r="CX67" i="8" s="1"/>
  <c r="AB70" i="1"/>
  <c r="DI70" i="5"/>
  <c r="C70" i="5"/>
  <c r="AC69" i="1"/>
  <c r="DA69" i="5"/>
  <c r="DG69" i="5" s="1" a="1"/>
  <c r="DG69" i="5" s="1"/>
  <c r="AF79" i="9"/>
  <c r="AJ79" i="9"/>
  <c r="N55" i="1"/>
  <c r="S72" i="2"/>
  <c r="N73" i="2"/>
  <c r="R73" i="2"/>
  <c r="Q72" i="2"/>
  <c r="P74" i="2"/>
  <c r="J74" i="10"/>
  <c r="N74" i="5" s="1"/>
  <c r="AH91" i="9" l="1"/>
  <c r="AO91" i="8" s="1"/>
  <c r="AQ67" i="5"/>
  <c r="G74" i="8"/>
  <c r="CF73" i="8"/>
  <c r="O73" i="2"/>
  <c r="AS72" i="5"/>
  <c r="BJ73" i="5" a="1"/>
  <c r="BJ73" i="5" s="1"/>
  <c r="BC73" i="5" a="1"/>
  <c r="BC73" i="5" s="1"/>
  <c r="BE73" i="5" a="1"/>
  <c r="BE73" i="5" s="1"/>
  <c r="BF73" i="5" a="1"/>
  <c r="BF73" i="5" s="1"/>
  <c r="AE72" i="1" s="1"/>
  <c r="BM73" i="5" a="1"/>
  <c r="BM73" i="5" s="1"/>
  <c r="AL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Q66" i="8"/>
  <c r="CV66" i="8"/>
  <c r="CW66" i="8" s="1"/>
  <c r="P66" i="8"/>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O67" i="8"/>
  <c r="CS67" i="8" s="1"/>
  <c r="F76" i="8"/>
  <c r="CD67" i="8"/>
  <c r="D69" i="9"/>
  <c r="DF69" i="8"/>
  <c r="DG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CC69" i="8" s="1"/>
  <c r="CT69" i="8" s="1"/>
  <c r="CU69" i="8" s="1"/>
  <c r="BI69" i="8"/>
  <c r="N68" i="7"/>
  <c r="B69" i="7"/>
  <c r="Q69" i="7" s="1"/>
  <c r="BH69" i="8"/>
  <c r="BU69" i="8" s="1"/>
  <c r="AG80" i="9"/>
  <c r="A69" i="10"/>
  <c r="AA69" i="10" s="1"/>
  <c r="CZ67" i="8"/>
  <c r="E69" i="1"/>
  <c r="X69" i="8"/>
  <c r="DB69" i="8" s="1"/>
  <c r="BT69" i="5"/>
  <c r="AJ69" i="5"/>
  <c r="AP69" i="5" s="1"/>
  <c r="AC69" i="8"/>
  <c r="BQ69" i="8" s="1"/>
  <c r="A69" i="11"/>
  <c r="AA68" i="11" s="1"/>
  <c r="AK68" i="1" s="1"/>
  <c r="B69" i="9"/>
  <c r="X69" i="9" s="1"/>
  <c r="AI69" i="5"/>
  <c r="CZ71" i="5"/>
  <c r="AE68" i="7"/>
  <c r="AF68" i="7" s="1"/>
  <c r="Q68" i="7"/>
  <c r="CB68" i="8"/>
  <c r="CR68" i="8" s="1"/>
  <c r="BY68" i="8"/>
  <c r="BZ68" i="8"/>
  <c r="CH68" i="8"/>
  <c r="CX68" i="8" s="1"/>
  <c r="CC68" i="8"/>
  <c r="CT68" i="8" s="1"/>
  <c r="CU68" i="8" s="1"/>
  <c r="CA68" i="8"/>
  <c r="B67" i="14"/>
  <c r="AB67" i="11"/>
  <c r="Q67" i="8" s="1"/>
  <c r="Z67" i="11"/>
  <c r="AA67" i="11"/>
  <c r="AK67" i="1" s="1"/>
  <c r="AC67" i="11"/>
  <c r="U67" i="8" s="1"/>
  <c r="Y67" i="11"/>
  <c r="AH67" i="1" s="1"/>
  <c r="AD67" i="11"/>
  <c r="AI67" i="1" s="1"/>
  <c r="N68" i="11"/>
  <c r="CP67" i="8"/>
  <c r="CI68" i="8"/>
  <c r="CY68" i="8" s="1"/>
  <c r="AC70" i="1"/>
  <c r="DA70" i="5"/>
  <c r="DG70" i="5" s="1" a="1"/>
  <c r="DG70" i="5" s="1"/>
  <c r="AB71" i="1"/>
  <c r="DI71" i="5"/>
  <c r="AF80" i="9"/>
  <c r="AJ80" i="9"/>
  <c r="N56" i="1"/>
  <c r="S73" i="2"/>
  <c r="N74" i="2"/>
  <c r="R74" i="2"/>
  <c r="Q73" i="2"/>
  <c r="J75" i="10"/>
  <c r="N75" i="5" s="1"/>
  <c r="P75" i="2"/>
  <c r="AH92" i="9" l="1"/>
  <c r="AO92" i="8" s="1"/>
  <c r="G75" i="8"/>
  <c r="CF74" i="8"/>
  <c r="O74" i="2"/>
  <c r="AQ68" i="5"/>
  <c r="AS73" i="5"/>
  <c r="AL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D66" i="8"/>
  <c r="G66" i="1" s="1"/>
  <c r="N66" i="8" s="1"/>
  <c r="V72" i="2"/>
  <c r="P68" i="8"/>
  <c r="CV67" i="8"/>
  <c r="CW67" i="8" s="1"/>
  <c r="P67" i="8"/>
  <c r="F77" i="8"/>
  <c r="AO69" i="5"/>
  <c r="AV70" i="5"/>
  <c r="BP73" i="5" a="1"/>
  <c r="BP73" i="5" s="1"/>
  <c r="J73" i="2" s="1"/>
  <c r="AG68" i="7"/>
  <c r="AI68" i="7" s="1"/>
  <c r="O78" i="1"/>
  <c r="AH73" i="11"/>
  <c r="CE68" i="8"/>
  <c r="CV68" i="8" s="1"/>
  <c r="CW68" i="8" s="1"/>
  <c r="BT69" i="8"/>
  <c r="BO69" i="8"/>
  <c r="BP69" i="8"/>
  <c r="BM69" i="8"/>
  <c r="BN69" i="8"/>
  <c r="BK69" i="8"/>
  <c r="BL69" i="8"/>
  <c r="BJ69" i="8"/>
  <c r="AC69" i="10"/>
  <c r="X69" i="10" s="1"/>
  <c r="AM69" i="5"/>
  <c r="AN69" i="5"/>
  <c r="AR69" i="5" s="1"/>
  <c r="BW70" i="8"/>
  <c r="CC70" i="8" s="1"/>
  <c r="CT70" i="8" s="1"/>
  <c r="CU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Q67" i="8"/>
  <c r="X70" i="8"/>
  <c r="DB70" i="8" s="1"/>
  <c r="B70" i="9"/>
  <c r="X70" i="9" s="1"/>
  <c r="AC70" i="8"/>
  <c r="BQ70" i="8" s="1"/>
  <c r="B70" i="7"/>
  <c r="AE70" i="7" s="1"/>
  <c r="AF70" i="7" s="1"/>
  <c r="B72" i="5"/>
  <c r="BT70" i="5"/>
  <c r="DF70" i="8"/>
  <c r="DG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O68" i="8"/>
  <c r="CS68" i="8" s="1"/>
  <c r="AE69" i="7"/>
  <c r="AF69" i="7" s="1"/>
  <c r="D70" i="9"/>
  <c r="BX69" i="8"/>
  <c r="CD69" i="8" s="1"/>
  <c r="N69" i="7"/>
  <c r="AG81" i="9"/>
  <c r="CB69" i="8"/>
  <c r="CR69" i="8" s="1"/>
  <c r="CA69" i="8"/>
  <c r="BY69" i="8"/>
  <c r="CH69" i="8"/>
  <c r="CX69" i="8" s="1"/>
  <c r="BZ69" i="8"/>
  <c r="CI69" i="8"/>
  <c r="CY69" i="8" s="1"/>
  <c r="N69" i="11"/>
  <c r="Z68" i="11"/>
  <c r="AC68" i="11"/>
  <c r="U68" i="8" s="1"/>
  <c r="AD68" i="11"/>
  <c r="AI68" i="1" s="1"/>
  <c r="Y68" i="11"/>
  <c r="AH68" i="1" s="1"/>
  <c r="AB68" i="11"/>
  <c r="Q68" i="8" s="1"/>
  <c r="CZ68" i="8"/>
  <c r="CP68" i="8"/>
  <c r="B68" i="14"/>
  <c r="CZ72" i="5"/>
  <c r="C71" i="5"/>
  <c r="F71" i="5" s="1"/>
  <c r="AW71" i="5" s="1"/>
  <c r="AB72" i="1"/>
  <c r="DI72" i="5"/>
  <c r="C72" i="5"/>
  <c r="AC71" i="1"/>
  <c r="DA71" i="5"/>
  <c r="DG71" i="5" s="1" a="1"/>
  <c r="DG71" i="5" s="1"/>
  <c r="AF81" i="9"/>
  <c r="AJ81" i="9"/>
  <c r="L51" i="11"/>
  <c r="AV51" i="8"/>
  <c r="L39" i="11"/>
  <c r="AV39" i="8"/>
  <c r="L37" i="11"/>
  <c r="AV37" i="8"/>
  <c r="L40" i="11"/>
  <c r="AV40" i="8"/>
  <c r="B15" i="14"/>
  <c r="N57" i="1"/>
  <c r="S74" i="2"/>
  <c r="N75" i="2"/>
  <c r="R75" i="2"/>
  <c r="Q74" i="2"/>
  <c r="J76" i="10"/>
  <c r="N76" i="5" s="1"/>
  <c r="P76" i="2"/>
  <c r="AH93" i="9" l="1"/>
  <c r="AO93" i="8" s="1"/>
  <c r="CF75" i="8"/>
  <c r="G76" i="8"/>
  <c r="O75" i="2"/>
  <c r="AQ69" i="5"/>
  <c r="AS74" i="5"/>
  <c r="BD75" i="5" a="1"/>
  <c r="BD75" i="5" s="1"/>
  <c r="BO75" i="5" a="1"/>
  <c r="BO75" i="5" s="1"/>
  <c r="BE75" i="5" a="1"/>
  <c r="BE75" i="5" s="1"/>
  <c r="BG75" i="5" a="1"/>
  <c r="BG75" i="5" s="1"/>
  <c r="BA75" i="5" a="1"/>
  <c r="BA75" i="5" s="1"/>
  <c r="AL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D67" i="8"/>
  <c r="G67" i="1" s="1"/>
  <c r="N67" i="8" s="1"/>
  <c r="P69" i="8"/>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R70" i="8" s="1"/>
  <c r="CH70" i="8"/>
  <c r="CX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CY70" i="8" s="1"/>
  <c r="F72" i="5"/>
  <c r="AW72" i="5" s="1"/>
  <c r="B70" i="14"/>
  <c r="Q70" i="7"/>
  <c r="Y69" i="11"/>
  <c r="AH69" i="1" s="1"/>
  <c r="AA69" i="11"/>
  <c r="AK69" i="1" s="1"/>
  <c r="D71" i="9"/>
  <c r="CQ68" i="8"/>
  <c r="DD68" i="8" s="1"/>
  <c r="G68" i="1" s="1"/>
  <c r="N68" i="8" s="1"/>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O69" i="8"/>
  <c r="CS69" i="8" s="1"/>
  <c r="B69" i="14"/>
  <c r="CE69" i="8"/>
  <c r="CV69" i="8" s="1"/>
  <c r="CW69" i="8" s="1"/>
  <c r="DF71" i="8"/>
  <c r="DG71" i="8" s="1"/>
  <c r="CK71" i="8"/>
  <c r="BW71" i="8"/>
  <c r="BH71" i="8"/>
  <c r="BU71" i="8" s="1"/>
  <c r="BI71" i="8"/>
  <c r="AG82" i="9"/>
  <c r="CZ69" i="8"/>
  <c r="CP69" i="8"/>
  <c r="CZ73" i="5"/>
  <c r="A71" i="11"/>
  <c r="X71" i="8"/>
  <c r="DB71" i="8" s="1"/>
  <c r="B71" i="9"/>
  <c r="X71" i="9" s="1"/>
  <c r="E71" i="1"/>
  <c r="AJ71" i="5"/>
  <c r="AP71" i="5" s="1"/>
  <c r="AI71" i="5"/>
  <c r="AC71" i="8"/>
  <c r="BQ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P77" i="2"/>
  <c r="B39" i="4"/>
  <c r="AH94" i="9" l="1"/>
  <c r="AO94" i="8" s="1"/>
  <c r="B38" i="4"/>
  <c r="D88" i="4" s="1"/>
  <c r="CF76" i="8"/>
  <c r="G77" i="8"/>
  <c r="O76" i="2"/>
  <c r="AS75" i="5"/>
  <c r="AQ70" i="5"/>
  <c r="BO76" i="5" a="1"/>
  <c r="BO76" i="5" s="1"/>
  <c r="AL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O70" i="8"/>
  <c r="CS70" i="8" s="1"/>
  <c r="F79" i="8"/>
  <c r="AO71" i="5"/>
  <c r="AV72" i="5"/>
  <c r="BP75" i="5" a="1"/>
  <c r="BP75" i="5" s="1"/>
  <c r="J75" i="2" s="1"/>
  <c r="DF72" i="8"/>
  <c r="DG72" i="8" s="1"/>
  <c r="O80" i="1"/>
  <c r="BX71" i="8"/>
  <c r="CD71" i="8" s="1"/>
  <c r="BT71" i="8"/>
  <c r="BO71" i="8"/>
  <c r="BP71" i="8"/>
  <c r="BM71" i="8"/>
  <c r="BN71" i="8"/>
  <c r="BK71" i="8"/>
  <c r="BL71" i="8"/>
  <c r="BJ71" i="8"/>
  <c r="AC71" i="10"/>
  <c r="X71" i="10" s="1"/>
  <c r="AM71" i="5"/>
  <c r="AN71" i="5"/>
  <c r="AR71" i="5" s="1"/>
  <c r="CP70" i="8"/>
  <c r="CZ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V70" i="8" s="1"/>
  <c r="CW70" i="8" s="1"/>
  <c r="E72" i="1"/>
  <c r="X72" i="8"/>
  <c r="DB72" i="8" s="1"/>
  <c r="BI72" i="8"/>
  <c r="BW72" i="8"/>
  <c r="CA72" i="8" s="1"/>
  <c r="A72" i="11"/>
  <c r="AA71" i="11" s="1"/>
  <c r="AK71" i="1" s="1"/>
  <c r="BH72" i="8"/>
  <c r="BU72" i="8" s="1"/>
  <c r="B72" i="7"/>
  <c r="AE72" i="7" s="1"/>
  <c r="AF72" i="7" s="1"/>
  <c r="B72" i="9"/>
  <c r="X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Q69" i="8"/>
  <c r="DD69" i="8" s="1"/>
  <c r="G69" i="1" s="1"/>
  <c r="N69" i="8" s="1"/>
  <c r="D72" i="9"/>
  <c r="N71" i="7"/>
  <c r="AG83" i="9"/>
  <c r="CZ74" i="5"/>
  <c r="CH71" i="8"/>
  <c r="CX71" i="8" s="1"/>
  <c r="CA71" i="8"/>
  <c r="CB71" i="8"/>
  <c r="CR71" i="8" s="1"/>
  <c r="BY71" i="8"/>
  <c r="BZ71" i="8"/>
  <c r="CC71" i="8"/>
  <c r="CT71" i="8" s="1"/>
  <c r="CU71" i="8" s="1"/>
  <c r="AC70" i="11"/>
  <c r="U70" i="8" s="1"/>
  <c r="AD70" i="11"/>
  <c r="AI70" i="1" s="1"/>
  <c r="Y70" i="11"/>
  <c r="AH70" i="1" s="1"/>
  <c r="N71" i="11"/>
  <c r="Z70" i="11"/>
  <c r="AB70" i="11"/>
  <c r="Q70" i="8" s="1"/>
  <c r="AA70" i="11"/>
  <c r="AK70" i="1" s="1"/>
  <c r="Q71" i="7"/>
  <c r="AE71" i="7"/>
  <c r="AF71" i="7" s="1"/>
  <c r="CI71" i="8"/>
  <c r="CY71" i="8" s="1"/>
  <c r="AC73" i="1"/>
  <c r="DA73" i="5"/>
  <c r="DG73" i="5" s="1" a="1"/>
  <c r="DG73" i="5" s="1"/>
  <c r="AB74" i="1"/>
  <c r="DI74" i="5"/>
  <c r="AF83" i="9"/>
  <c r="AJ83" i="9"/>
  <c r="L36" i="11"/>
  <c r="AV36" i="8"/>
  <c r="L49" i="11"/>
  <c r="AV49" i="8"/>
  <c r="L54" i="11"/>
  <c r="AV54" i="8"/>
  <c r="L41" i="11"/>
  <c r="AV41" i="8"/>
  <c r="L38" i="11"/>
  <c r="AV38" i="8"/>
  <c r="L52" i="11"/>
  <c r="AV52" i="8"/>
  <c r="B36" i="14"/>
  <c r="N59" i="1"/>
  <c r="S76" i="2"/>
  <c r="B48" i="4"/>
  <c r="N77" i="2"/>
  <c r="C37" i="4"/>
  <c r="R77" i="2"/>
  <c r="Q76" i="2"/>
  <c r="B45" i="4"/>
  <c r="J78" i="10"/>
  <c r="N78" i="5" s="1"/>
  <c r="P78" i="2"/>
  <c r="AH95" i="9" l="1"/>
  <c r="AO95" i="8" s="1"/>
  <c r="G78" i="8"/>
  <c r="CF77" i="8"/>
  <c r="O77" i="2"/>
  <c r="AS76" i="5"/>
  <c r="AQ71" i="5"/>
  <c r="AL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Q70" i="8"/>
  <c r="DD70" i="8" s="1"/>
  <c r="G70" i="1" s="1"/>
  <c r="N70" i="8" s="1"/>
  <c r="CI72" i="8"/>
  <c r="CY72" i="8" s="1"/>
  <c r="F80" i="8"/>
  <c r="AO72" i="5"/>
  <c r="AV73" i="5"/>
  <c r="BP76" i="5" a="1"/>
  <c r="BP76" i="5" s="1"/>
  <c r="J76" i="2" s="1"/>
  <c r="AG72" i="7"/>
  <c r="AI72" i="7" s="1"/>
  <c r="AG71" i="7"/>
  <c r="AI71" i="7" s="1"/>
  <c r="O81" i="1"/>
  <c r="CE71" i="8"/>
  <c r="CV71" i="8" s="1"/>
  <c r="CW71" i="8" s="1"/>
  <c r="BX72" i="8"/>
  <c r="CD72" i="8" s="1"/>
  <c r="BT72" i="8"/>
  <c r="BO72" i="8"/>
  <c r="BP72" i="8"/>
  <c r="BM72" i="8"/>
  <c r="BN72" i="8"/>
  <c r="BK72" i="8"/>
  <c r="BL72" i="8"/>
  <c r="BJ72" i="8"/>
  <c r="AC72" i="10"/>
  <c r="X72" i="10" s="1"/>
  <c r="AM72" i="5"/>
  <c r="AN72" i="5"/>
  <c r="AR72" i="5" s="1"/>
  <c r="AH76" i="11"/>
  <c r="DE75" i="5"/>
  <c r="BW73" i="8"/>
  <c r="CH73" i="8" s="1"/>
  <c r="CX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P72" i="8" s="1"/>
  <c r="CH72" i="8"/>
  <c r="CX72" i="8" s="1"/>
  <c r="BY72" i="8"/>
  <c r="D73" i="9"/>
  <c r="N72" i="7"/>
  <c r="AD71" i="11"/>
  <c r="AI71" i="1" s="1"/>
  <c r="AB71" i="11"/>
  <c r="Q71" i="8" s="1"/>
  <c r="CB72" i="8"/>
  <c r="CR72" i="8" s="1"/>
  <c r="CC72" i="8"/>
  <c r="CT72" i="8" s="1"/>
  <c r="CU72" i="8" s="1"/>
  <c r="Z71" i="11"/>
  <c r="Y71" i="11"/>
  <c r="AH71" i="1" s="1"/>
  <c r="AC71" i="11"/>
  <c r="U71" i="8" s="1"/>
  <c r="B72" i="14"/>
  <c r="B73" i="7"/>
  <c r="AE73" i="7" s="1"/>
  <c r="AF73" i="7" s="1"/>
  <c r="N72" i="11"/>
  <c r="Q72" i="7"/>
  <c r="B73" i="9"/>
  <c r="X73" i="9" s="1"/>
  <c r="AJ73" i="5"/>
  <c r="AP73" i="5" s="1"/>
  <c r="A73" i="10"/>
  <c r="AA73" i="10" s="1"/>
  <c r="AC73" i="8"/>
  <c r="BQ73" i="8" s="1"/>
  <c r="A73" i="11"/>
  <c r="Z72" i="11" s="1"/>
  <c r="E73" i="1"/>
  <c r="BT73" i="5"/>
  <c r="BI73" i="8"/>
  <c r="X73" i="8"/>
  <c r="DB73" i="8" s="1"/>
  <c r="AI73" i="5"/>
  <c r="DF73" i="8"/>
  <c r="DG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O71" i="8"/>
  <c r="CS71" i="8" s="1"/>
  <c r="AG84" i="9"/>
  <c r="CP71" i="8"/>
  <c r="CZ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H96" i="9" l="1"/>
  <c r="AO96" i="8" s="1"/>
  <c r="G79" i="8"/>
  <c r="CF78" i="8"/>
  <c r="O78" i="2"/>
  <c r="AQ72" i="5"/>
  <c r="BE78" i="5" a="1"/>
  <c r="BE78" i="5" s="1"/>
  <c r="BN78" i="5" a="1"/>
  <c r="BN78" i="5" s="1"/>
  <c r="BI78" i="5" a="1"/>
  <c r="BI78" i="5" s="1"/>
  <c r="BC78" i="5" a="1"/>
  <c r="BC78" i="5" s="1"/>
  <c r="AZ78" i="5" a="1"/>
  <c r="AZ78" i="5" s="1"/>
  <c r="AL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Z72" i="8"/>
  <c r="CO72" i="8"/>
  <c r="CS72" i="8" s="1"/>
  <c r="F81" i="8"/>
  <c r="AO73" i="5"/>
  <c r="AV74" i="5"/>
  <c r="BP77" i="5" a="1"/>
  <c r="BP77" i="5" s="1"/>
  <c r="J77" i="2" s="1"/>
  <c r="E65" i="4"/>
  <c r="AG73" i="7"/>
  <c r="AI73" i="7" s="1"/>
  <c r="O82" i="1"/>
  <c r="CE72" i="8"/>
  <c r="CV72" i="8" s="1"/>
  <c r="CW72" i="8" s="1"/>
  <c r="BX73" i="8"/>
  <c r="CD73" i="8" s="1"/>
  <c r="BT73" i="8"/>
  <c r="BO73" i="8"/>
  <c r="BP73" i="8"/>
  <c r="BM73" i="8"/>
  <c r="BN73" i="8"/>
  <c r="BK73" i="8"/>
  <c r="BL73" i="8"/>
  <c r="BJ73" i="8"/>
  <c r="AC73" i="10"/>
  <c r="X73" i="10" s="1"/>
  <c r="AM73" i="5"/>
  <c r="AN73" i="5"/>
  <c r="AR73" i="5" s="1"/>
  <c r="AS77" i="5"/>
  <c r="AH77" i="11"/>
  <c r="CA73" i="8"/>
  <c r="CC73" i="8"/>
  <c r="CT73" i="8" s="1"/>
  <c r="CU73" i="8" s="1"/>
  <c r="CB73" i="8"/>
  <c r="CR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CY73" i="8" s="1"/>
  <c r="CZ73" i="8" s="1"/>
  <c r="D74" i="9"/>
  <c r="F75" i="5"/>
  <c r="AW75" i="5" s="1"/>
  <c r="B76" i="5"/>
  <c r="CQ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F74" i="8"/>
  <c r="DG74" i="8" s="1"/>
  <c r="CK74" i="8"/>
  <c r="BW74" i="8"/>
  <c r="BH74" i="8"/>
  <c r="BU74" i="8" s="1"/>
  <c r="BI74" i="8"/>
  <c r="AG85" i="9"/>
  <c r="CZ76" i="5"/>
  <c r="B74" i="9"/>
  <c r="X74" i="9" s="1"/>
  <c r="BT74" i="5"/>
  <c r="X74" i="8"/>
  <c r="DB74" i="8" s="1"/>
  <c r="E74" i="1"/>
  <c r="AC74" i="8"/>
  <c r="BQ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J80" i="10"/>
  <c r="N80" i="5" s="1"/>
  <c r="P80" i="2"/>
  <c r="AH97" i="9" l="1"/>
  <c r="AO97" i="8" s="1"/>
  <c r="G80" i="8"/>
  <c r="CF79" i="8"/>
  <c r="O79" i="2"/>
  <c r="AQ73" i="5"/>
  <c r="BE79" i="5" a="1"/>
  <c r="BE79" i="5" s="1"/>
  <c r="AD77" i="1"/>
  <c r="AL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Q72" i="8"/>
  <c r="F82" i="8"/>
  <c r="CO73" i="8"/>
  <c r="CS73" i="8" s="1"/>
  <c r="AO74" i="5"/>
  <c r="AV75" i="5"/>
  <c r="BP78" i="5" a="1"/>
  <c r="BP78" i="5" s="1"/>
  <c r="J78" i="2" s="1"/>
  <c r="O83" i="1"/>
  <c r="CE73" i="8"/>
  <c r="CV73" i="8" s="1"/>
  <c r="CW73" i="8" s="1"/>
  <c r="BX74" i="8"/>
  <c r="CD74" i="8" s="1"/>
  <c r="BT74" i="8"/>
  <c r="BO74" i="8"/>
  <c r="BP74" i="8"/>
  <c r="BM74" i="8"/>
  <c r="BN74" i="8"/>
  <c r="BK74" i="8"/>
  <c r="BL74" i="8"/>
  <c r="BJ74" i="8"/>
  <c r="AC74" i="10"/>
  <c r="X74" i="10" s="1"/>
  <c r="AN74" i="5"/>
  <c r="AR74" i="5" s="1"/>
  <c r="AM74" i="5"/>
  <c r="AS78" i="5"/>
  <c r="CK75" i="8"/>
  <c r="CP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X75" i="9" s="1"/>
  <c r="BT75" i="5"/>
  <c r="E75" i="1"/>
  <c r="A75" i="11"/>
  <c r="N75" i="11" s="1"/>
  <c r="BW75" i="8"/>
  <c r="BY75" i="8" s="1"/>
  <c r="X75" i="8"/>
  <c r="DB75" i="8" s="1"/>
  <c r="BI75" i="8"/>
  <c r="A75" i="10"/>
  <c r="AA75" i="10" s="1"/>
  <c r="DF75" i="8"/>
  <c r="DG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G86" i="9"/>
  <c r="AB73" i="11"/>
  <c r="Q73" i="8" s="1"/>
  <c r="AD73" i="11"/>
  <c r="AI73" i="1" s="1"/>
  <c r="N74" i="11"/>
  <c r="Z73" i="11"/>
  <c r="AA73" i="11"/>
  <c r="AK73" i="1" s="1"/>
  <c r="Y73" i="11"/>
  <c r="AH73" i="1" s="1"/>
  <c r="AC73" i="11"/>
  <c r="U73" i="8" s="1"/>
  <c r="CI74" i="8"/>
  <c r="CY74" i="8" s="1"/>
  <c r="Q74" i="7"/>
  <c r="AE74" i="7"/>
  <c r="AF74" i="7" s="1"/>
  <c r="C76" i="5"/>
  <c r="F76" i="5" s="1"/>
  <c r="AW76" i="5" s="1"/>
  <c r="CZ77" i="5"/>
  <c r="CB74" i="8"/>
  <c r="CR74" i="8" s="1"/>
  <c r="BY74" i="8"/>
  <c r="BZ74" i="8"/>
  <c r="CA74" i="8"/>
  <c r="CC74" i="8"/>
  <c r="CT74" i="8" s="1"/>
  <c r="CU74" i="8" s="1"/>
  <c r="CH74" i="8"/>
  <c r="CX74" i="8" s="1"/>
  <c r="C77" i="5"/>
  <c r="AC76" i="1"/>
  <c r="E53" i="4"/>
  <c r="DA76" i="5"/>
  <c r="DG76" i="5" s="1" a="1"/>
  <c r="DG76" i="5" s="1"/>
  <c r="E67" i="4" s="1"/>
  <c r="AB77" i="1"/>
  <c r="DI77" i="5"/>
  <c r="AF86" i="9"/>
  <c r="AJ86" i="9"/>
  <c r="L55" i="11"/>
  <c r="AV55" i="8"/>
  <c r="B60" i="14"/>
  <c r="N62" i="1"/>
  <c r="S79" i="2"/>
  <c r="N80" i="2"/>
  <c r="R80" i="2"/>
  <c r="Q79" i="2"/>
  <c r="P81" i="2"/>
  <c r="J81" i="10"/>
  <c r="N81" i="5" s="1"/>
  <c r="AH98" i="9" l="1"/>
  <c r="AO98" i="8" s="1"/>
  <c r="G81" i="8"/>
  <c r="CF80" i="8"/>
  <c r="O80" i="2"/>
  <c r="AQ74" i="5"/>
  <c r="BG80" i="5" a="1"/>
  <c r="BG80" i="5" s="1"/>
  <c r="BK80" i="5" a="1"/>
  <c r="BK80" i="5" s="1"/>
  <c r="BO80" i="5" a="1"/>
  <c r="BO80" i="5" s="1"/>
  <c r="AL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Q73" i="8"/>
  <c r="CO75" i="8"/>
  <c r="CS75" i="8" s="1"/>
  <c r="F83" i="8"/>
  <c r="AO75" i="5"/>
  <c r="AV76" i="5"/>
  <c r="BP79" i="5" a="1"/>
  <c r="BP79" i="5" s="1"/>
  <c r="J79" i="2" s="1"/>
  <c r="AG74" i="7"/>
  <c r="AI74" i="7" s="1"/>
  <c r="AG75" i="7"/>
  <c r="AI75" i="7" s="1"/>
  <c r="O84" i="1"/>
  <c r="CE74" i="8"/>
  <c r="CV74" i="8" s="1"/>
  <c r="CW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Z75" i="8"/>
  <c r="CH75" i="8"/>
  <c r="CX75" i="8" s="1"/>
  <c r="CC75" i="8"/>
  <c r="CT75" i="8" s="1"/>
  <c r="CU75" i="8" s="1"/>
  <c r="CB75" i="8"/>
  <c r="CR75" i="8" s="1"/>
  <c r="CA75" i="8"/>
  <c r="CI75" i="8"/>
  <c r="CY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O74" i="8"/>
  <c r="CS74" i="8" s="1"/>
  <c r="DF76" i="8"/>
  <c r="DG76" i="8" s="1"/>
  <c r="CK76" i="8"/>
  <c r="BW76" i="8"/>
  <c r="BH76" i="8"/>
  <c r="BU76" i="8" s="1"/>
  <c r="BI76" i="8"/>
  <c r="AG87" i="9"/>
  <c r="CZ74" i="8"/>
  <c r="AJ76" i="5"/>
  <c r="AP76" i="5" s="1"/>
  <c r="AC76" i="8"/>
  <c r="BQ76" i="8" s="1"/>
  <c r="BT76" i="5"/>
  <c r="E47" i="4" s="1"/>
  <c r="A76" i="10"/>
  <c r="AA76" i="10" s="1"/>
  <c r="B76" i="7"/>
  <c r="AI76" i="5"/>
  <c r="A76" i="11"/>
  <c r="X76" i="8"/>
  <c r="DB76" i="8" s="1"/>
  <c r="E76" i="1"/>
  <c r="B76" i="9"/>
  <c r="X76" i="9" s="1"/>
  <c r="B74" i="14"/>
  <c r="CZ78" i="5"/>
  <c r="CP74" i="8"/>
  <c r="AB78" i="1"/>
  <c r="DI78" i="5"/>
  <c r="C78" i="5"/>
  <c r="AC77" i="1"/>
  <c r="DA77" i="5"/>
  <c r="DG77" i="5" s="1" a="1"/>
  <c r="DG77" i="5" s="1"/>
  <c r="AH55" i="5"/>
  <c r="BU55" i="5"/>
  <c r="AF87" i="9"/>
  <c r="AJ87" i="9"/>
  <c r="B55" i="2"/>
  <c r="B55" i="1"/>
  <c r="BG55" i="1" s="1"/>
  <c r="B66" i="14"/>
  <c r="N63" i="1"/>
  <c r="S80" i="2"/>
  <c r="N81" i="2"/>
  <c r="R81" i="2"/>
  <c r="Q80" i="2"/>
  <c r="P82" i="2"/>
  <c r="J82" i="10"/>
  <c r="N82" i="5" s="1"/>
  <c r="AH99" i="9" l="1"/>
  <c r="AO99" i="8" s="1"/>
  <c r="G82" i="8"/>
  <c r="CF81" i="8"/>
  <c r="O81" i="2"/>
  <c r="AQ75" i="5"/>
  <c r="BO81" i="5" a="1"/>
  <c r="BO81" i="5" s="1"/>
  <c r="BA81" i="5" a="1"/>
  <c r="BA81" i="5" s="1"/>
  <c r="BN81" i="5" a="1"/>
  <c r="BN81" i="5" s="1"/>
  <c r="BH81" i="5" a="1"/>
  <c r="BH81" i="5" s="1"/>
  <c r="AL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V75" i="8" s="1"/>
  <c r="CW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F77" i="8"/>
  <c r="DG77" i="8" s="1"/>
  <c r="B77" i="7"/>
  <c r="Q77" i="7" s="1"/>
  <c r="BH77" i="8"/>
  <c r="BU77" i="8" s="1"/>
  <c r="A77" i="11"/>
  <c r="AB76" i="11" s="1"/>
  <c r="Q76" i="8" s="1"/>
  <c r="E77" i="1"/>
  <c r="CK77" i="8"/>
  <c r="X77" i="8"/>
  <c r="DB77" i="8" s="1"/>
  <c r="A77" i="10"/>
  <c r="AA77" i="10" s="1"/>
  <c r="AI77" i="5"/>
  <c r="BT77" i="5"/>
  <c r="BW77" i="8"/>
  <c r="CH77" i="8" s="1"/>
  <c r="CX77" i="8" s="1"/>
  <c r="AJ77" i="5"/>
  <c r="AP77" i="5" s="1"/>
  <c r="AC77" i="8"/>
  <c r="BQ77" i="8" s="1"/>
  <c r="CZ75" i="8"/>
  <c r="CP75" i="8"/>
  <c r="CQ75" i="8" s="1"/>
  <c r="F78" i="5"/>
  <c r="AW78" i="5" s="1"/>
  <c r="AH79" i="5"/>
  <c r="BU79" i="5"/>
  <c r="B79" i="2"/>
  <c r="B79" i="1"/>
  <c r="BG79" i="1" s="1"/>
  <c r="CQ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CY76" i="8" s="1"/>
  <c r="CA76" i="8"/>
  <c r="CC76" i="8"/>
  <c r="CT76" i="8" s="1"/>
  <c r="CU76" i="8" s="1"/>
  <c r="CH76" i="8"/>
  <c r="CX76" i="8" s="1"/>
  <c r="BY76" i="8"/>
  <c r="BZ76" i="8"/>
  <c r="CB76" i="8"/>
  <c r="CR76" i="8" s="1"/>
  <c r="AE76" i="7"/>
  <c r="AF76" i="7" s="1"/>
  <c r="Q76" i="7"/>
  <c r="M29" i="7" s="1"/>
  <c r="AC78" i="1"/>
  <c r="DA78" i="5"/>
  <c r="DG78" i="5" s="1" a="1"/>
  <c r="DG78" i="5" s="1"/>
  <c r="AB79" i="1"/>
  <c r="DI79" i="5"/>
  <c r="AF88" i="9"/>
  <c r="AJ88" i="9"/>
  <c r="L35" i="11"/>
  <c r="AV35" i="8"/>
  <c r="B71" i="14"/>
  <c r="N64" i="1"/>
  <c r="S81" i="2"/>
  <c r="N82" i="2"/>
  <c r="R82" i="2"/>
  <c r="Q81" i="2"/>
  <c r="P83" i="2"/>
  <c r="J83" i="10"/>
  <c r="N83" i="5" s="1"/>
  <c r="AH100" i="9" l="1"/>
  <c r="AO100" i="8" s="1"/>
  <c r="G83" i="8"/>
  <c r="CF82" i="8"/>
  <c r="O82" i="2"/>
  <c r="AQ76" i="5"/>
  <c r="I61" i="4" s="1"/>
  <c r="C77" i="4"/>
  <c r="D76" i="4"/>
  <c r="BA82" i="5" a="1"/>
  <c r="BA82" i="5" s="1"/>
  <c r="D81" i="4"/>
  <c r="AD80" i="1"/>
  <c r="BF82" i="5" a="1"/>
  <c r="BF82" i="5" s="1"/>
  <c r="AE81" i="1" s="1"/>
  <c r="BM82" i="5" a="1"/>
  <c r="BM82" i="5" s="1"/>
  <c r="BE82" i="5" a="1"/>
  <c r="BE82" i="5" s="1"/>
  <c r="AL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CC78" i="8" s="1"/>
  <c r="CT78" i="8" s="1"/>
  <c r="CU78" i="8" s="1"/>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CY77" i="8" s="1"/>
  <c r="CZ77" i="8" s="1"/>
  <c r="BY77" i="8"/>
  <c r="AE77" i="7"/>
  <c r="AF77" i="7" s="1"/>
  <c r="AA76" i="11"/>
  <c r="AK76" i="1" s="1"/>
  <c r="Z76" i="11"/>
  <c r="AD76" i="11"/>
  <c r="AI76" i="1" s="1"/>
  <c r="N77" i="11"/>
  <c r="AC76" i="11"/>
  <c r="N77" i="7"/>
  <c r="D78" i="9"/>
  <c r="A78" i="10"/>
  <c r="AA78" i="10" s="1"/>
  <c r="CA77" i="8"/>
  <c r="CC77" i="8"/>
  <c r="CT77" i="8" s="1"/>
  <c r="CU77" i="8" s="1"/>
  <c r="BT78" i="5"/>
  <c r="CB77" i="8"/>
  <c r="CR77" i="8" s="1"/>
  <c r="AJ78" i="5"/>
  <c r="AP78" i="5" s="1"/>
  <c r="AC78" i="8"/>
  <c r="BQ78" i="8" s="1"/>
  <c r="BZ77" i="8"/>
  <c r="DF78" i="8"/>
  <c r="DG78" i="8" s="1"/>
  <c r="E78" i="1"/>
  <c r="B80" i="5"/>
  <c r="B78" i="7"/>
  <c r="AE78" i="7" s="1"/>
  <c r="AF78" i="7" s="1"/>
  <c r="B78" i="9"/>
  <c r="X78" i="9" s="1"/>
  <c r="A78" i="11"/>
  <c r="AC77" i="11" s="1"/>
  <c r="U77" i="8" s="1"/>
  <c r="AI78" i="5"/>
  <c r="BH78" i="8"/>
  <c r="BU78" i="8" s="1"/>
  <c r="CK78" i="8"/>
  <c r="X78" i="8"/>
  <c r="DB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O76" i="8"/>
  <c r="CS76" i="8" s="1"/>
  <c r="CE76" i="8"/>
  <c r="CV76" i="8" s="1"/>
  <c r="CW76" i="8" s="1"/>
  <c r="AG89" i="9"/>
  <c r="D80" i="4"/>
  <c r="CP76" i="8"/>
  <c r="CZ76" i="8"/>
  <c r="CZ80" i="5"/>
  <c r="B76" i="14"/>
  <c r="C79" i="5"/>
  <c r="F79" i="5" s="1"/>
  <c r="AW79" i="5" s="1"/>
  <c r="AB80" i="1"/>
  <c r="DI80" i="5"/>
  <c r="AC79" i="1"/>
  <c r="DA79" i="5"/>
  <c r="DG79" i="5" s="1" a="1"/>
  <c r="DG79" i="5" s="1"/>
  <c r="AH35" i="5"/>
  <c r="BU35" i="5"/>
  <c r="AF89" i="9"/>
  <c r="AJ89" i="9"/>
  <c r="B35" i="2"/>
  <c r="B35" i="1"/>
  <c r="BG35" i="1" s="1"/>
  <c r="L56" i="11"/>
  <c r="AV56" i="8"/>
  <c r="B75" i="14"/>
  <c r="N65" i="1"/>
  <c r="S82" i="2"/>
  <c r="N83" i="2"/>
  <c r="R83" i="2"/>
  <c r="Q82" i="2"/>
  <c r="P84" i="2"/>
  <c r="J84" i="10"/>
  <c r="N84" i="5" s="1"/>
  <c r="AH101" i="9" l="1"/>
  <c r="AO101" i="8" s="1"/>
  <c r="G84" i="8"/>
  <c r="CF83" i="8"/>
  <c r="O83" i="2"/>
  <c r="B25" i="4"/>
  <c r="C24" i="4"/>
  <c r="F38" i="4" s="1"/>
  <c r="AL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O77" i="8"/>
  <c r="CS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X78" i="8" s="1"/>
  <c r="CA78" i="8"/>
  <c r="BZ78" i="8"/>
  <c r="DF81" i="5"/>
  <c r="CB78" i="8"/>
  <c r="CR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CY78" i="8" s="1"/>
  <c r="CP77" i="8"/>
  <c r="N78" i="7"/>
  <c r="N78" i="11"/>
  <c r="CQ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F79" i="8"/>
  <c r="DG79" i="8" s="1"/>
  <c r="CK79" i="8"/>
  <c r="BW79" i="8"/>
  <c r="BH79" i="8"/>
  <c r="BI79" i="8"/>
  <c r="AG90" i="9"/>
  <c r="CZ81" i="5"/>
  <c r="C80" i="5"/>
  <c r="F80" i="5" s="1"/>
  <c r="AW80" i="5" s="1"/>
  <c r="AJ79" i="5"/>
  <c r="AP79" i="5" s="1"/>
  <c r="AC79" i="8"/>
  <c r="BQ79" i="8" s="1"/>
  <c r="AI79" i="5"/>
  <c r="A79" i="10"/>
  <c r="AA79" i="10" s="1"/>
  <c r="BT79" i="5"/>
  <c r="X79" i="8"/>
  <c r="DB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AH102" i="9" l="1"/>
  <c r="AO102" i="8" s="1"/>
  <c r="BN84" i="5" a="1"/>
  <c r="BN84" i="5" s="1"/>
  <c r="AZ84" i="5" a="1"/>
  <c r="AZ84" i="5" s="1"/>
  <c r="G85" i="8"/>
  <c r="CF84" i="8"/>
  <c r="O84" i="2"/>
  <c r="BI84" i="5" a="1"/>
  <c r="BI84" i="5" s="1"/>
  <c r="AL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Q77" i="8"/>
  <c r="CV77" i="8"/>
  <c r="CW77" i="8" s="1"/>
  <c r="CO78" i="8"/>
  <c r="CS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P78" i="8"/>
  <c r="CZ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F80" i="8"/>
  <c r="DG80" i="8" s="1"/>
  <c r="CK80" i="8"/>
  <c r="BW80" i="8"/>
  <c r="N79" i="7"/>
  <c r="BH80" i="8"/>
  <c r="BU80" i="8" s="1"/>
  <c r="BI80" i="8"/>
  <c r="AG91" i="9"/>
  <c r="BZ79" i="8"/>
  <c r="CA79" i="8"/>
  <c r="CC79" i="8"/>
  <c r="CT79" i="8" s="1"/>
  <c r="CU79" i="8" s="1"/>
  <c r="CH79" i="8"/>
  <c r="CX79" i="8" s="1"/>
  <c r="CB79" i="8"/>
  <c r="CR79" i="8" s="1"/>
  <c r="BY79" i="8"/>
  <c r="X80" i="8"/>
  <c r="DB80" i="8" s="1"/>
  <c r="AJ80" i="5"/>
  <c r="AP80" i="5" s="1"/>
  <c r="B80" i="9"/>
  <c r="X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CY79" i="8" s="1"/>
  <c r="AE79" i="7"/>
  <c r="AF79" i="7" s="1"/>
  <c r="Q79" i="7"/>
  <c r="DI82" i="5"/>
  <c r="AB82" i="1"/>
  <c r="AC81" i="1"/>
  <c r="DA81" i="5"/>
  <c r="DG81" i="5" s="1" a="1"/>
  <c r="DG81" i="5" s="1"/>
  <c r="AF91" i="9"/>
  <c r="AJ91" i="9"/>
  <c r="N67" i="1"/>
  <c r="S84" i="2"/>
  <c r="N85" i="2"/>
  <c r="R85" i="2"/>
  <c r="Q84" i="2"/>
  <c r="P86" i="2"/>
  <c r="J86" i="10"/>
  <c r="N86" i="5" s="1"/>
  <c r="AH103" i="9" l="1"/>
  <c r="AO103" i="8" s="1"/>
  <c r="AD83" i="1"/>
  <c r="G86" i="8"/>
  <c r="CF85" i="8"/>
  <c r="O85" i="2"/>
  <c r="AL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Q78" i="8"/>
  <c r="CV78" i="8"/>
  <c r="CW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O79" i="8"/>
  <c r="CS79" i="8" s="1"/>
  <c r="CE79" i="8"/>
  <c r="CV79" i="8" s="1"/>
  <c r="CW79" i="8" s="1"/>
  <c r="D81" i="9"/>
  <c r="DF81" i="8"/>
  <c r="DG81" i="8" s="1"/>
  <c r="CK81" i="8"/>
  <c r="BW81" i="8"/>
  <c r="N80" i="7"/>
  <c r="BH81" i="8"/>
  <c r="BU81" i="8" s="1"/>
  <c r="BI81" i="8"/>
  <c r="AG92" i="9"/>
  <c r="C82" i="5"/>
  <c r="F82" i="5" s="1"/>
  <c r="AW82" i="5" s="1"/>
  <c r="B79" i="14"/>
  <c r="CB80" i="8"/>
  <c r="CR80" i="8" s="1"/>
  <c r="CC80" i="8"/>
  <c r="CT80" i="8" s="1"/>
  <c r="CU80" i="8" s="1"/>
  <c r="CH80" i="8"/>
  <c r="CX80" i="8" s="1"/>
  <c r="CA80" i="8"/>
  <c r="BY80" i="8"/>
  <c r="BZ80" i="8"/>
  <c r="AQ79" i="5"/>
  <c r="CI80" i="8"/>
  <c r="CY80" i="8" s="1"/>
  <c r="AR79" i="5"/>
  <c r="Q80" i="7"/>
  <c r="AE80" i="7"/>
  <c r="AF80" i="7" s="1"/>
  <c r="AD79" i="11"/>
  <c r="AI79" i="1" s="1"/>
  <c r="AC79" i="11"/>
  <c r="U79" i="8" s="1"/>
  <c r="Z79" i="11"/>
  <c r="AB79" i="11"/>
  <c r="Q79" i="8" s="1"/>
  <c r="Y79" i="11"/>
  <c r="AH79" i="1" s="1"/>
  <c r="N80" i="11"/>
  <c r="AA79" i="11"/>
  <c r="AK79" i="1" s="1"/>
  <c r="CZ79" i="8"/>
  <c r="CZ83" i="5"/>
  <c r="A81" i="10"/>
  <c r="AA81" i="10" s="1"/>
  <c r="BT81" i="5"/>
  <c r="A81" i="11"/>
  <c r="AJ81" i="5"/>
  <c r="AP81" i="5" s="1"/>
  <c r="X81" i="8"/>
  <c r="DB81" i="8" s="1"/>
  <c r="B81" i="7"/>
  <c r="E81" i="1"/>
  <c r="B81" i="9"/>
  <c r="X81" i="9" s="1"/>
  <c r="AI81" i="5"/>
  <c r="AC81" i="8"/>
  <c r="BQ81" i="8" s="1"/>
  <c r="CP79" i="8"/>
  <c r="AC82" i="1"/>
  <c r="DA82" i="5"/>
  <c r="DG82" i="5" s="1" a="1"/>
  <c r="DG82" i="5" s="1"/>
  <c r="AB83" i="1"/>
  <c r="DI83" i="5"/>
  <c r="AF92" i="9"/>
  <c r="AJ92" i="9"/>
  <c r="N68" i="1"/>
  <c r="S85" i="2"/>
  <c r="N86" i="2"/>
  <c r="R86" i="2"/>
  <c r="Q85" i="2"/>
  <c r="J87" i="10"/>
  <c r="N87" i="5" s="1"/>
  <c r="P87" i="2"/>
  <c r="AH104" i="9" l="1"/>
  <c r="AO104" i="8" s="1"/>
  <c r="BA86" i="5" a="1"/>
  <c r="BA86" i="5" s="1"/>
  <c r="G87" i="8"/>
  <c r="CF86" i="8"/>
  <c r="O86" i="2"/>
  <c r="AZ86" i="5" a="1"/>
  <c r="AZ86" i="5" s="1"/>
  <c r="BG86" i="5" a="1"/>
  <c r="BG86" i="5" s="1"/>
  <c r="BQ86" i="5" a="1"/>
  <c r="BQ86" i="5" s="1"/>
  <c r="BN86" i="5" a="1"/>
  <c r="BN86" i="5" s="1"/>
  <c r="BJ86" i="5" a="1"/>
  <c r="BJ86" i="5" s="1"/>
  <c r="AL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V80" i="8" s="1"/>
  <c r="CW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Q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O80" i="8"/>
  <c r="CS80" i="8" s="1"/>
  <c r="D82" i="9"/>
  <c r="DF82" i="8"/>
  <c r="DG82" i="8" s="1"/>
  <c r="CK82" i="8"/>
  <c r="BW82" i="8"/>
  <c r="N81" i="7"/>
  <c r="BH82" i="8"/>
  <c r="BU82" i="8" s="1"/>
  <c r="BI82" i="8"/>
  <c r="AG93" i="9"/>
  <c r="CP80" i="8"/>
  <c r="C83" i="5"/>
  <c r="F83" i="5" s="1"/>
  <c r="AW83" i="5" s="1"/>
  <c r="CZ80" i="8"/>
  <c r="BY81" i="8"/>
  <c r="CH81" i="8"/>
  <c r="CX81" i="8" s="1"/>
  <c r="BZ81" i="8"/>
  <c r="CC81" i="8"/>
  <c r="CT81" i="8" s="1"/>
  <c r="CU81" i="8" s="1"/>
  <c r="CA81" i="8"/>
  <c r="CB81" i="8"/>
  <c r="CR81" i="8" s="1"/>
  <c r="AQ80" i="5"/>
  <c r="Q81" i="7"/>
  <c r="AE81" i="7"/>
  <c r="AF81" i="7" s="1"/>
  <c r="AR80" i="5"/>
  <c r="B80" i="14"/>
  <c r="CZ84" i="5"/>
  <c r="AC82" i="8"/>
  <c r="BQ82" i="8" s="1"/>
  <c r="B82" i="7"/>
  <c r="A82" i="10"/>
  <c r="AA82" i="10" s="1"/>
  <c r="BT82" i="5"/>
  <c r="AJ82" i="5"/>
  <c r="AP82" i="5" s="1"/>
  <c r="E82" i="1"/>
  <c r="AI82" i="5"/>
  <c r="B82" i="9"/>
  <c r="X82" i="9" s="1"/>
  <c r="A82" i="11"/>
  <c r="X82" i="8"/>
  <c r="DB82" i="8" s="1"/>
  <c r="AB80" i="11"/>
  <c r="Q80" i="8" s="1"/>
  <c r="Y80" i="11"/>
  <c r="AH80" i="1" s="1"/>
  <c r="AD80" i="11"/>
  <c r="AI80" i="1" s="1"/>
  <c r="N81" i="11"/>
  <c r="Z80" i="11"/>
  <c r="AA80" i="11"/>
  <c r="AK80" i="1" s="1"/>
  <c r="AC80" i="11"/>
  <c r="U80" i="8" s="1"/>
  <c r="CI81" i="8"/>
  <c r="CY81" i="8" s="1"/>
  <c r="AB84" i="1"/>
  <c r="DI84" i="5"/>
  <c r="AC83" i="1"/>
  <c r="DA83" i="5"/>
  <c r="DG83" i="5" s="1" a="1"/>
  <c r="DG83" i="5" s="1"/>
  <c r="AF93" i="9"/>
  <c r="AJ93" i="9"/>
  <c r="N69" i="1"/>
  <c r="S86" i="2"/>
  <c r="N87" i="2"/>
  <c r="R87" i="2"/>
  <c r="Q86" i="2"/>
  <c r="J88" i="10"/>
  <c r="N88" i="5" s="1"/>
  <c r="P88" i="2"/>
  <c r="AH105" i="9" l="1"/>
  <c r="AO105" i="8" s="1"/>
  <c r="G88" i="8"/>
  <c r="CF87" i="8"/>
  <c r="O87" i="2"/>
  <c r="AD85" i="1"/>
  <c r="BN87" i="5" a="1"/>
  <c r="BN87" i="5" s="1"/>
  <c r="BK87" i="5" a="1"/>
  <c r="BK87" i="5" s="1"/>
  <c r="BA87" i="5" a="1"/>
  <c r="BA87" i="5" s="1"/>
  <c r="BB87" i="5" a="1"/>
  <c r="BB87" i="5" s="1"/>
  <c r="AL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V81" i="8" s="1"/>
  <c r="CW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Q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O81" i="8"/>
  <c r="CS81" i="8" s="1"/>
  <c r="D83" i="9"/>
  <c r="DF83" i="8"/>
  <c r="DG83" i="8" s="1"/>
  <c r="CK83" i="8"/>
  <c r="BW83" i="8"/>
  <c r="BI83" i="8"/>
  <c r="N82" i="7"/>
  <c r="A83" i="11"/>
  <c r="AC82" i="11" s="1"/>
  <c r="U82" i="8" s="1"/>
  <c r="BH83" i="8"/>
  <c r="BU83" i="8" s="1"/>
  <c r="AG94" i="9"/>
  <c r="AJ83" i="5"/>
  <c r="AP83" i="5" s="1"/>
  <c r="AC83" i="8"/>
  <c r="BQ83" i="8" s="1"/>
  <c r="E83" i="1"/>
  <c r="B83" i="7"/>
  <c r="AI83" i="5"/>
  <c r="A83" i="10"/>
  <c r="AA83" i="10" s="1"/>
  <c r="B83" i="9"/>
  <c r="X83" i="9" s="1"/>
  <c r="BT83" i="5"/>
  <c r="X83" i="8"/>
  <c r="DB83" i="8" s="1"/>
  <c r="AQ81" i="5"/>
  <c r="CI82" i="8"/>
  <c r="CY82" i="8" s="1"/>
  <c r="C84" i="5"/>
  <c r="F84" i="5" s="1"/>
  <c r="AW84" i="5" s="1"/>
  <c r="CP81" i="8"/>
  <c r="CZ85" i="5"/>
  <c r="CZ81" i="8"/>
  <c r="AA81" i="11"/>
  <c r="AK81" i="1" s="1"/>
  <c r="AB81" i="11"/>
  <c r="Q81" i="8" s="1"/>
  <c r="Z81" i="11"/>
  <c r="Y81" i="11"/>
  <c r="AH81" i="1" s="1"/>
  <c r="AC81" i="11"/>
  <c r="U81" i="8" s="1"/>
  <c r="AD81" i="11"/>
  <c r="AI81" i="1" s="1"/>
  <c r="N82" i="11"/>
  <c r="AE82" i="7"/>
  <c r="AF82" i="7" s="1"/>
  <c r="Q82" i="7"/>
  <c r="B81" i="14"/>
  <c r="AR81" i="5"/>
  <c r="CA82" i="8"/>
  <c r="CB82" i="8"/>
  <c r="CR82" i="8" s="1"/>
  <c r="BY82" i="8"/>
  <c r="BZ82" i="8"/>
  <c r="CC82" i="8"/>
  <c r="CT82" i="8" s="1"/>
  <c r="CU82" i="8" s="1"/>
  <c r="CH82" i="8"/>
  <c r="CX82" i="8" s="1"/>
  <c r="C85" i="5"/>
  <c r="AC84" i="1"/>
  <c r="DA84" i="5"/>
  <c r="DG84" i="5" s="1" a="1"/>
  <c r="DG84" i="5" s="1"/>
  <c r="AB85" i="1"/>
  <c r="DI85" i="5"/>
  <c r="AF94" i="9"/>
  <c r="AJ94" i="9"/>
  <c r="N70" i="1"/>
  <c r="S87" i="2"/>
  <c r="N88" i="2"/>
  <c r="R88" i="2"/>
  <c r="Q87" i="2"/>
  <c r="P89" i="2"/>
  <c r="J89" i="10"/>
  <c r="N89" i="5" s="1"/>
  <c r="AH106" i="9" l="1"/>
  <c r="AO106" i="8" s="1"/>
  <c r="G89" i="8"/>
  <c r="CF88" i="8"/>
  <c r="O88" i="2"/>
  <c r="AD86" i="1"/>
  <c r="BK88" i="5" a="1"/>
  <c r="BK88" i="5" s="1"/>
  <c r="AL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Q81" i="8"/>
  <c r="G87" i="5"/>
  <c r="D86" i="7"/>
  <c r="B86" i="10"/>
  <c r="K87" i="5"/>
  <c r="F86" i="10"/>
  <c r="H86" i="7"/>
  <c r="DD86" i="5"/>
  <c r="M87" i="5"/>
  <c r="H86" i="10"/>
  <c r="J86" i="7"/>
  <c r="J87" i="5"/>
  <c r="DC87" i="5" s="1"/>
  <c r="E86" i="10"/>
  <c r="G86" i="7"/>
  <c r="H87" i="5"/>
  <c r="C86" i="10"/>
  <c r="E86" i="7"/>
  <c r="L87" i="5"/>
  <c r="G86" i="10"/>
  <c r="I86" i="7"/>
  <c r="I87" i="5"/>
  <c r="D86" i="10"/>
  <c r="F86" i="7"/>
  <c r="CO82" i="8"/>
  <c r="CS82" i="8" s="1"/>
  <c r="D84" i="9"/>
  <c r="DF84" i="8"/>
  <c r="DG84" i="8" s="1"/>
  <c r="CK84" i="8"/>
  <c r="BW84" i="8"/>
  <c r="Z82" i="11"/>
  <c r="Y82" i="11"/>
  <c r="AH82" i="1" s="1"/>
  <c r="N83" i="11"/>
  <c r="AD82" i="11"/>
  <c r="AI82" i="1" s="1"/>
  <c r="AB82" i="11"/>
  <c r="Q82" i="8" s="1"/>
  <c r="AA82" i="11"/>
  <c r="AK82" i="1" s="1"/>
  <c r="N83" i="7"/>
  <c r="BH84" i="8"/>
  <c r="BU84" i="8" s="1"/>
  <c r="BI84" i="8"/>
  <c r="AG95" i="9"/>
  <c r="CZ82" i="8"/>
  <c r="CI83" i="8"/>
  <c r="CY83" i="8" s="1"/>
  <c r="BY83" i="8"/>
  <c r="BZ83" i="8"/>
  <c r="CC83" i="8"/>
  <c r="CT83" i="8" s="1"/>
  <c r="CU83" i="8" s="1"/>
  <c r="CA83" i="8"/>
  <c r="CH83" i="8"/>
  <c r="CX83" i="8" s="1"/>
  <c r="CB83" i="8"/>
  <c r="CR83" i="8" s="1"/>
  <c r="CP82" i="8"/>
  <c r="Q83" i="7"/>
  <c r="AE83" i="7"/>
  <c r="AF83" i="7" s="1"/>
  <c r="AQ82" i="5"/>
  <c r="AR82" i="5"/>
  <c r="B82" i="14"/>
  <c r="B84" i="9"/>
  <c r="X84" i="9" s="1"/>
  <c r="AI84" i="5"/>
  <c r="A84" i="11"/>
  <c r="AC84" i="8"/>
  <c r="BQ84" i="8" s="1"/>
  <c r="BT84" i="5"/>
  <c r="A84" i="10"/>
  <c r="AA84" i="10" s="1"/>
  <c r="B84" i="7"/>
  <c r="X84" i="8"/>
  <c r="DB84" i="8" s="1"/>
  <c r="E84" i="1"/>
  <c r="AJ84" i="5"/>
  <c r="AP84" i="5" s="1"/>
  <c r="CZ86" i="5"/>
  <c r="AB86" i="1"/>
  <c r="DI86" i="5"/>
  <c r="AC85" i="1"/>
  <c r="DA85" i="5"/>
  <c r="DG85" i="5" s="1" a="1"/>
  <c r="DG85" i="5" s="1"/>
  <c r="AF95" i="9"/>
  <c r="AJ95" i="9"/>
  <c r="N71" i="1"/>
  <c r="S88" i="2"/>
  <c r="N89" i="2"/>
  <c r="R89" i="2"/>
  <c r="Q88" i="2"/>
  <c r="J90" i="10"/>
  <c r="N90" i="5" s="1"/>
  <c r="P90" i="2"/>
  <c r="U1269" i="14"/>
  <c r="U1270" i="14" s="1"/>
  <c r="AH107" i="9" l="1"/>
  <c r="AO107" i="8" s="1"/>
  <c r="G90" i="8"/>
  <c r="CF89" i="8"/>
  <c r="O89" i="2"/>
  <c r="BF89" i="5" a="1"/>
  <c r="BF89" i="5" s="1"/>
  <c r="AE88" i="1" s="1"/>
  <c r="AL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V82" i="8"/>
  <c r="CW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BZ85" i="8" s="1"/>
  <c r="A85" i="10"/>
  <c r="AA85" i="10" s="1"/>
  <c r="X85" i="8"/>
  <c r="DB85" i="8" s="1"/>
  <c r="AJ85" i="5"/>
  <c r="AP85" i="5" s="1"/>
  <c r="AI85" i="5"/>
  <c r="BH85" i="8"/>
  <c r="BU85" i="8" s="1"/>
  <c r="E85" i="1"/>
  <c r="DF85" i="8"/>
  <c r="DG85" i="8" s="1"/>
  <c r="A85" i="11"/>
  <c r="Y84" i="11" s="1"/>
  <c r="AH84" i="1" s="1"/>
  <c r="BI85" i="8"/>
  <c r="B85" i="7"/>
  <c r="AE85" i="7" s="1"/>
  <c r="AF85" i="7" s="1"/>
  <c r="CK85" i="8"/>
  <c r="B85" i="9"/>
  <c r="X85" i="9" s="1"/>
  <c r="B87" i="5"/>
  <c r="AH87" i="5"/>
  <c r="BU87" i="5"/>
  <c r="B87" i="2"/>
  <c r="B87" i="1"/>
  <c r="BG87" i="1" s="1"/>
  <c r="BY89" i="11"/>
  <c r="AA88" i="7"/>
  <c r="AF88" i="8" s="1"/>
  <c r="AV88" i="8" s="1"/>
  <c r="K88" i="10"/>
  <c r="L88" i="11"/>
  <c r="H88" i="5"/>
  <c r="C87" i="10"/>
  <c r="E87" i="7"/>
  <c r="CQ82" i="8"/>
  <c r="I88" i="5"/>
  <c r="D87" i="10"/>
  <c r="F87" i="7"/>
  <c r="K88" i="5"/>
  <c r="F87" i="10"/>
  <c r="H87" i="7"/>
  <c r="DD87" i="5"/>
  <c r="J88" i="5"/>
  <c r="DC88" i="5" s="1"/>
  <c r="E87" i="10"/>
  <c r="G87" i="7"/>
  <c r="L88" i="5"/>
  <c r="G87" i="10"/>
  <c r="I87" i="7"/>
  <c r="G88" i="5"/>
  <c r="B87" i="10"/>
  <c r="D87" i="7"/>
  <c r="M88" i="5"/>
  <c r="H87" i="10"/>
  <c r="J87" i="7"/>
  <c r="DF87" i="5"/>
  <c r="CO83" i="8"/>
  <c r="CS83" i="8" s="1"/>
  <c r="D85" i="9"/>
  <c r="N84" i="7"/>
  <c r="AG96" i="9"/>
  <c r="AQ83" i="5"/>
  <c r="AR83" i="5"/>
  <c r="CZ83" i="8"/>
  <c r="B83" i="14"/>
  <c r="CP83" i="8"/>
  <c r="CI84" i="8"/>
  <c r="CY84" i="8" s="1"/>
  <c r="Y83" i="11"/>
  <c r="AH83" i="1" s="1"/>
  <c r="Z83" i="11"/>
  <c r="AA83" i="11"/>
  <c r="AK83" i="1" s="1"/>
  <c r="AC83" i="11"/>
  <c r="U83" i="8" s="1"/>
  <c r="AB83" i="11"/>
  <c r="Q83" i="8" s="1"/>
  <c r="N84" i="11"/>
  <c r="AD83" i="11"/>
  <c r="AI83" i="1" s="1"/>
  <c r="C86" i="5"/>
  <c r="F86" i="5" s="1"/>
  <c r="AW86" i="5" s="1"/>
  <c r="BY84" i="8"/>
  <c r="BZ84" i="8"/>
  <c r="CH84" i="8"/>
  <c r="CX84" i="8" s="1"/>
  <c r="CC84" i="8"/>
  <c r="CT84" i="8" s="1"/>
  <c r="CU84" i="8" s="1"/>
  <c r="CB84" i="8"/>
  <c r="CR84" i="8" s="1"/>
  <c r="CA84" i="8"/>
  <c r="CZ87" i="5"/>
  <c r="AE84" i="7"/>
  <c r="AF84" i="7" s="1"/>
  <c r="Q84" i="7"/>
  <c r="C87" i="5"/>
  <c r="AC86" i="1"/>
  <c r="DA86" i="5"/>
  <c r="DG86" i="5" s="1" a="1"/>
  <c r="DG86" i="5" s="1"/>
  <c r="DI87" i="5"/>
  <c r="AB87" i="1"/>
  <c r="AF96" i="9"/>
  <c r="AJ96" i="9"/>
  <c r="N72" i="1"/>
  <c r="S89" i="2"/>
  <c r="N90" i="2"/>
  <c r="R90" i="2"/>
  <c r="Q89" i="2"/>
  <c r="J91" i="10"/>
  <c r="N91" i="5" s="1"/>
  <c r="P91" i="2"/>
  <c r="AH108" i="9" l="1"/>
  <c r="AO108" i="8" s="1"/>
  <c r="G91" i="8"/>
  <c r="CF90" i="8"/>
  <c r="O90" i="2"/>
  <c r="BF90" i="5" a="1"/>
  <c r="BF90" i="5" s="1"/>
  <c r="AE89" i="1" s="1"/>
  <c r="BB90" i="5" a="1"/>
  <c r="BB90" i="5" s="1"/>
  <c r="BJ90" i="5" a="1"/>
  <c r="BJ90" i="5" s="1"/>
  <c r="BE90" i="5" a="1"/>
  <c r="BE90" i="5" s="1"/>
  <c r="BI90" i="5" a="1"/>
  <c r="BI90" i="5" s="1"/>
  <c r="AL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V83" i="8"/>
  <c r="CW83" i="8" s="1"/>
  <c r="F93" i="8"/>
  <c r="AO85" i="5"/>
  <c r="AV86" i="5"/>
  <c r="BP89" i="5" a="1"/>
  <c r="BP89" i="5" s="1"/>
  <c r="J89" i="2" s="1"/>
  <c r="AG85" i="7"/>
  <c r="AI85" i="7" s="1"/>
  <c r="AG84" i="7"/>
  <c r="AI84" i="7" s="1"/>
  <c r="O94" i="1"/>
  <c r="CE84" i="8"/>
  <c r="CV84" i="8" s="1"/>
  <c r="CW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R85" i="8" s="1"/>
  <c r="F87" i="5"/>
  <c r="AW87" i="5" s="1"/>
  <c r="BY85" i="8"/>
  <c r="CA85" i="8"/>
  <c r="CP85" i="8" s="1"/>
  <c r="CC85" i="8"/>
  <c r="CT85" i="8" s="1"/>
  <c r="CU85" i="8" s="1"/>
  <c r="CH85" i="8"/>
  <c r="CX85" i="8" s="1"/>
  <c r="AC84" i="11"/>
  <c r="U84" i="8" s="1"/>
  <c r="AB84" i="11"/>
  <c r="Q84" i="8" s="1"/>
  <c r="N85" i="7"/>
  <c r="CI85" i="8"/>
  <c r="CY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Q83" i="8"/>
  <c r="CO84" i="8"/>
  <c r="CS84" i="8" s="1"/>
  <c r="DF86" i="8"/>
  <c r="DG86" i="8" s="1"/>
  <c r="CK86" i="8"/>
  <c r="BW86" i="8"/>
  <c r="BH86" i="8"/>
  <c r="BU86" i="8" s="1"/>
  <c r="BI86" i="8"/>
  <c r="AG97" i="9"/>
  <c r="CZ84" i="8"/>
  <c r="CP84" i="8"/>
  <c r="AQ84" i="5"/>
  <c r="CZ88" i="5"/>
  <c r="AR84" i="5"/>
  <c r="B84" i="14"/>
  <c r="X86" i="8"/>
  <c r="DB86" i="8" s="1"/>
  <c r="E86" i="1"/>
  <c r="AI86" i="5"/>
  <c r="B86" i="9"/>
  <c r="X86" i="9" s="1"/>
  <c r="A86" i="11"/>
  <c r="AJ86" i="5"/>
  <c r="AP86" i="5" s="1"/>
  <c r="AC86" i="8"/>
  <c r="BQ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H109" i="9" l="1"/>
  <c r="AO109" i="8" s="1"/>
  <c r="G92" i="8"/>
  <c r="CF91" i="8"/>
  <c r="O91" i="2"/>
  <c r="BI91" i="5" a="1"/>
  <c r="BI91" i="5" s="1"/>
  <c r="AL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O85" i="8"/>
  <c r="CS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B87" i="8" s="1"/>
  <c r="B87" i="9"/>
  <c r="X87" i="9" s="1"/>
  <c r="DF87" i="8"/>
  <c r="DG87" i="8" s="1"/>
  <c r="BI87" i="8"/>
  <c r="A87" i="10"/>
  <c r="AA87" i="10" s="1"/>
  <c r="AR85" i="5"/>
  <c r="AJ87" i="5"/>
  <c r="AP87" i="5" s="1"/>
  <c r="BW87" i="8"/>
  <c r="CA87" i="8" s="1"/>
  <c r="BH87" i="8"/>
  <c r="BU87" i="8" s="1"/>
  <c r="CZ85" i="8"/>
  <c r="AQ85" i="5"/>
  <c r="CQ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G98" i="9"/>
  <c r="CZ89" i="5"/>
  <c r="CA86" i="8"/>
  <c r="CB86" i="8"/>
  <c r="CR86" i="8" s="1"/>
  <c r="BY86" i="8"/>
  <c r="BZ86" i="8"/>
  <c r="CH86" i="8"/>
  <c r="CX86" i="8" s="1"/>
  <c r="CC86" i="8"/>
  <c r="CT86" i="8" s="1"/>
  <c r="CU86" i="8" s="1"/>
  <c r="C88" i="5"/>
  <c r="F88" i="5" s="1"/>
  <c r="AW88" i="5" s="1"/>
  <c r="CI86" i="8"/>
  <c r="CY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J93" i="10"/>
  <c r="N93" i="5" s="1"/>
  <c r="AH110" i="9" l="1"/>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Q85" i="8"/>
  <c r="CV85" i="8"/>
  <c r="CW85" i="8" s="1"/>
  <c r="F95" i="8"/>
  <c r="BP87" i="8"/>
  <c r="BO87" i="8"/>
  <c r="N87" i="7"/>
  <c r="BJ87" i="8"/>
  <c r="AO87" i="5"/>
  <c r="BM87" i="8"/>
  <c r="AV88" i="5"/>
  <c r="BL87" i="8"/>
  <c r="BK87" i="8"/>
  <c r="BP91" i="5" a="1"/>
  <c r="BP91" i="5" s="1"/>
  <c r="J91" i="2" s="1"/>
  <c r="BN87" i="8"/>
  <c r="AG86" i="7"/>
  <c r="AI86" i="7" s="1"/>
  <c r="AG87" i="7"/>
  <c r="AI87" i="7" s="1"/>
  <c r="O96" i="1"/>
  <c r="CE86" i="8"/>
  <c r="CV86" i="8" s="1"/>
  <c r="CW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CY87" i="8" s="1"/>
  <c r="CB87" i="8"/>
  <c r="CR87" i="8" s="1"/>
  <c r="CC87" i="8"/>
  <c r="CT87" i="8" s="1"/>
  <c r="CU87" i="8" s="1"/>
  <c r="BY87" i="8"/>
  <c r="BZ87" i="8"/>
  <c r="CP87" i="8" s="1"/>
  <c r="CH87" i="8"/>
  <c r="CX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O86" i="8"/>
  <c r="CS86" i="8" s="1"/>
  <c r="DF88" i="8"/>
  <c r="DG88" i="8" s="1"/>
  <c r="CK88" i="8"/>
  <c r="BW88" i="8"/>
  <c r="BH88" i="8"/>
  <c r="BU88" i="8" s="1"/>
  <c r="BI88" i="8"/>
  <c r="AG99" i="9"/>
  <c r="X88" i="8"/>
  <c r="DB88" i="8" s="1"/>
  <c r="E88" i="1"/>
  <c r="B88" i="9"/>
  <c r="X88" i="9" s="1"/>
  <c r="AJ88" i="5"/>
  <c r="AP88" i="5" s="1"/>
  <c r="AI88" i="5"/>
  <c r="A88" i="11"/>
  <c r="AC88" i="8"/>
  <c r="BQ88" i="8" s="1"/>
  <c r="BT88" i="5"/>
  <c r="A88" i="10"/>
  <c r="AA88" i="10" s="1"/>
  <c r="B88" i="7"/>
  <c r="CZ90" i="5"/>
  <c r="AR86" i="5"/>
  <c r="AQ86" i="5"/>
  <c r="B86" i="14"/>
  <c r="CZ86" i="8"/>
  <c r="C89" i="5"/>
  <c r="F89" i="5" s="1"/>
  <c r="AW89" i="5" s="1"/>
  <c r="CP86" i="8"/>
  <c r="AB90" i="1"/>
  <c r="DI90" i="5"/>
  <c r="AC89" i="1"/>
  <c r="DA89" i="5"/>
  <c r="DG89" i="5" s="1" a="1"/>
  <c r="DG89" i="5" s="1"/>
  <c r="AF99" i="9"/>
  <c r="AJ99" i="9"/>
  <c r="AF1269" i="14"/>
  <c r="AF1270" i="14" s="1"/>
  <c r="N75" i="1"/>
  <c r="S92" i="2"/>
  <c r="N93" i="2"/>
  <c r="R93" i="2"/>
  <c r="Q92" i="2"/>
  <c r="J94" i="10"/>
  <c r="N94" i="5" s="1"/>
  <c r="P94" i="2"/>
  <c r="AH111" i="9" l="1"/>
  <c r="AO111" i="8" s="1"/>
  <c r="G94" i="8"/>
  <c r="CF93" i="8"/>
  <c r="O93" i="2"/>
  <c r="BM93" i="5" a="1"/>
  <c r="BM93" i="5" s="1"/>
  <c r="AD91" i="1"/>
  <c r="AL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O87" i="8"/>
  <c r="CS87" i="8" s="1"/>
  <c r="F96" i="8"/>
  <c r="AO88" i="5"/>
  <c r="AV89" i="5"/>
  <c r="BP92" i="5" a="1"/>
  <c r="BP92" i="5" s="1"/>
  <c r="J92" i="2" s="1"/>
  <c r="O97" i="1"/>
  <c r="CE87" i="8"/>
  <c r="CV87" i="8" s="1"/>
  <c r="CW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Z87" i="8"/>
  <c r="AQ87" i="5"/>
  <c r="B91" i="5"/>
  <c r="BY93" i="11"/>
  <c r="K92" i="10"/>
  <c r="AA92" i="7"/>
  <c r="AF92" i="8" s="1"/>
  <c r="AV92" i="8" s="1"/>
  <c r="L92" i="11"/>
  <c r="CQ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F89" i="8"/>
  <c r="DG89" i="8" s="1"/>
  <c r="CK89" i="8"/>
  <c r="BW89" i="8"/>
  <c r="BX88" i="8"/>
  <c r="CD88" i="8" s="1"/>
  <c r="N88" i="7"/>
  <c r="BH89" i="8"/>
  <c r="BU89" i="8" s="1"/>
  <c r="BI89" i="8"/>
  <c r="AG100" i="9"/>
  <c r="A89" i="11"/>
  <c r="A89" i="10"/>
  <c r="AA89" i="10" s="1"/>
  <c r="B89" i="7"/>
  <c r="B89" i="9"/>
  <c r="X89" i="9" s="1"/>
  <c r="AC89" i="8"/>
  <c r="BQ89" i="8" s="1"/>
  <c r="BT89" i="5"/>
  <c r="AJ89" i="5"/>
  <c r="AP89" i="5" s="1"/>
  <c r="X89" i="8"/>
  <c r="DB89" i="8" s="1"/>
  <c r="E89" i="1"/>
  <c r="AI89" i="5"/>
  <c r="AB87" i="11"/>
  <c r="Q87" i="8" s="1"/>
  <c r="AC87" i="11"/>
  <c r="U87" i="8" s="1"/>
  <c r="AD87" i="11"/>
  <c r="AI87" i="1" s="1"/>
  <c r="Y87" i="11"/>
  <c r="AH87" i="1" s="1"/>
  <c r="Z87" i="11"/>
  <c r="N88" i="11"/>
  <c r="AA87" i="11"/>
  <c r="AK87" i="1" s="1"/>
  <c r="C90" i="5"/>
  <c r="F90" i="5" s="1"/>
  <c r="AW90" i="5" s="1"/>
  <c r="AE88" i="7"/>
  <c r="AF88" i="7" s="1"/>
  <c r="Q88" i="7"/>
  <c r="CB88" i="8"/>
  <c r="CR88" i="8" s="1"/>
  <c r="BY88" i="8"/>
  <c r="BZ88" i="8"/>
  <c r="CA88" i="8"/>
  <c r="CC88" i="8"/>
  <c r="CT88" i="8" s="1"/>
  <c r="CU88" i="8" s="1"/>
  <c r="CH88" i="8"/>
  <c r="CX88" i="8" s="1"/>
  <c r="CZ91" i="5"/>
  <c r="CI88" i="8"/>
  <c r="CY88" i="8" s="1"/>
  <c r="C91" i="5"/>
  <c r="AC90" i="1"/>
  <c r="DA90" i="5"/>
  <c r="DG90" i="5" s="1" a="1"/>
  <c r="DG90" i="5" s="1"/>
  <c r="AB91" i="1"/>
  <c r="DI91" i="5"/>
  <c r="AF100" i="9"/>
  <c r="AJ100" i="9"/>
  <c r="N1269" i="14"/>
  <c r="N1270" i="14" s="1"/>
  <c r="N76" i="1"/>
  <c r="S93" i="2"/>
  <c r="N94" i="2"/>
  <c r="R94" i="2"/>
  <c r="Q93" i="2"/>
  <c r="J95" i="10"/>
  <c r="N95" i="5" s="1"/>
  <c r="P95" i="2"/>
  <c r="AH112" i="9" l="1"/>
  <c r="AO112" i="8" s="1"/>
  <c r="G95" i="8"/>
  <c r="CF94" i="8"/>
  <c r="O94" i="2"/>
  <c r="BN94" i="5" a="1"/>
  <c r="BN94" i="5" s="1"/>
  <c r="AL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Q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O88" i="8"/>
  <c r="CS88" i="8" s="1"/>
  <c r="D90" i="9"/>
  <c r="DF90" i="8"/>
  <c r="DG90" i="8" s="1"/>
  <c r="CE88" i="8"/>
  <c r="CV88" i="8" s="1"/>
  <c r="CW88" i="8" s="1"/>
  <c r="CK90" i="8"/>
  <c r="BW90" i="8"/>
  <c r="N89" i="7"/>
  <c r="BH90" i="8"/>
  <c r="BU90" i="8" s="1"/>
  <c r="BI90" i="8"/>
  <c r="AG101" i="9"/>
  <c r="AQ88" i="5"/>
  <c r="CP88" i="8"/>
  <c r="AR88" i="5"/>
  <c r="B88" i="14"/>
  <c r="CZ92" i="5"/>
  <c r="AE89" i="7"/>
  <c r="AF89" i="7" s="1"/>
  <c r="Q89" i="7"/>
  <c r="CI89" i="8"/>
  <c r="CY89" i="8" s="1"/>
  <c r="BT90" i="5"/>
  <c r="AC90" i="8"/>
  <c r="BQ90" i="8" s="1"/>
  <c r="A90" i="10"/>
  <c r="AA90" i="10" s="1"/>
  <c r="B90" i="7"/>
  <c r="E90" i="1"/>
  <c r="AJ90" i="5"/>
  <c r="AP90" i="5" s="1"/>
  <c r="X90" i="8"/>
  <c r="DB90" i="8" s="1"/>
  <c r="AI90" i="5"/>
  <c r="B90" i="9"/>
  <c r="X90" i="9" s="1"/>
  <c r="A90" i="11"/>
  <c r="Y88" i="11"/>
  <c r="AH88" i="1" s="1"/>
  <c r="AA88" i="11"/>
  <c r="AK88" i="1" s="1"/>
  <c r="AC88" i="11"/>
  <c r="U88" i="8" s="1"/>
  <c r="AD88" i="11"/>
  <c r="AI88" i="1" s="1"/>
  <c r="Z88" i="11"/>
  <c r="N89" i="11"/>
  <c r="AB88" i="11"/>
  <c r="Q88" i="8" s="1"/>
  <c r="BY89" i="8"/>
  <c r="CB89" i="8"/>
  <c r="CR89" i="8" s="1"/>
  <c r="BZ89" i="8"/>
  <c r="CH89" i="8"/>
  <c r="CX89" i="8" s="1"/>
  <c r="CA89" i="8"/>
  <c r="CC89" i="8"/>
  <c r="CT89" i="8" s="1"/>
  <c r="CU89" i="8" s="1"/>
  <c r="CZ88" i="8"/>
  <c r="AB92" i="1"/>
  <c r="DI92" i="5"/>
  <c r="AC91" i="1"/>
  <c r="DA91" i="5"/>
  <c r="DG91" i="5" s="1" a="1"/>
  <c r="DG91" i="5" s="1"/>
  <c r="AF101" i="9"/>
  <c r="AJ101" i="9"/>
  <c r="B66" i="4"/>
  <c r="N77" i="1"/>
  <c r="S94" i="2"/>
  <c r="N95" i="2"/>
  <c r="R95" i="2"/>
  <c r="Q94" i="2"/>
  <c r="J96" i="10"/>
  <c r="N96" i="5" s="1"/>
  <c r="P96" i="2"/>
  <c r="AH113" i="9" l="1"/>
  <c r="AO113" i="8" s="1"/>
  <c r="G96" i="8"/>
  <c r="CF95" i="8"/>
  <c r="O95" i="2"/>
  <c r="AD93" i="1"/>
  <c r="AL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CC91" i="8" s="1"/>
  <c r="CT91" i="8" s="1"/>
  <c r="CU91" i="8" s="1"/>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X91" i="9" s="1"/>
  <c r="AC91" i="8"/>
  <c r="BQ91" i="8" s="1"/>
  <c r="DF91" i="8"/>
  <c r="DG91" i="8" s="1"/>
  <c r="A91" i="10"/>
  <c r="AA91" i="10" s="1"/>
  <c r="BI91" i="8"/>
  <c r="A91" i="11"/>
  <c r="Y90" i="11" s="1"/>
  <c r="AH90" i="1" s="1"/>
  <c r="AJ91" i="5"/>
  <c r="AP91" i="5" s="1"/>
  <c r="AI91" i="5"/>
  <c r="X91" i="8"/>
  <c r="DB91" i="8" s="1"/>
  <c r="BH91" i="8"/>
  <c r="BU91" i="8" s="1"/>
  <c r="BY95" i="11"/>
  <c r="AA94" i="7"/>
  <c r="AF94" i="8" s="1"/>
  <c r="AV94" i="8" s="1"/>
  <c r="K94" i="10"/>
  <c r="L94" i="11"/>
  <c r="B93" i="5"/>
  <c r="B93" i="2"/>
  <c r="B93" i="1"/>
  <c r="BG93" i="1" s="1"/>
  <c r="AH93" i="5"/>
  <c r="BU93" i="5"/>
  <c r="CQ88" i="8"/>
  <c r="K94" i="5"/>
  <c r="F93" i="10"/>
  <c r="H93" i="7"/>
  <c r="DD93" i="5"/>
  <c r="J94" i="5"/>
  <c r="DC94" i="5" s="1"/>
  <c r="E93" i="10"/>
  <c r="G93" i="7"/>
  <c r="H94" i="5"/>
  <c r="C93" i="10"/>
  <c r="E93" i="7"/>
  <c r="M94" i="5"/>
  <c r="H93" i="10"/>
  <c r="J93" i="7"/>
  <c r="L94" i="5"/>
  <c r="G93" i="10"/>
  <c r="I93" i="7"/>
  <c r="DE93" i="5"/>
  <c r="G94" i="5"/>
  <c r="D93" i="7"/>
  <c r="B93" i="10"/>
  <c r="I94" i="5"/>
  <c r="D93" i="10"/>
  <c r="F93" i="7"/>
  <c r="CO89" i="8"/>
  <c r="CS89" i="8" s="1"/>
  <c r="D91" i="9"/>
  <c r="BX90" i="8"/>
  <c r="CE90" i="8" s="1"/>
  <c r="N90" i="7"/>
  <c r="AG102" i="9"/>
  <c r="AQ89" i="5"/>
  <c r="C92" i="5"/>
  <c r="F92" i="5" s="1"/>
  <c r="AW92" i="5" s="1"/>
  <c r="AE90" i="7"/>
  <c r="AF90" i="7" s="1"/>
  <c r="Q90" i="7"/>
  <c r="CZ89" i="8"/>
  <c r="CZ93" i="5"/>
  <c r="CP89" i="8"/>
  <c r="AC89" i="11"/>
  <c r="U89" i="8" s="1"/>
  <c r="AA89" i="11"/>
  <c r="AK89" i="1" s="1"/>
  <c r="Z89" i="11"/>
  <c r="AB89" i="11"/>
  <c r="Q89" i="8" s="1"/>
  <c r="AD89" i="11"/>
  <c r="AI89" i="1" s="1"/>
  <c r="Y89" i="11"/>
  <c r="AH89" i="1" s="1"/>
  <c r="N90" i="11"/>
  <c r="AR89" i="5"/>
  <c r="B89" i="14"/>
  <c r="CI90" i="8"/>
  <c r="CY90" i="8" s="1"/>
  <c r="CH90" i="8"/>
  <c r="CX90" i="8" s="1"/>
  <c r="CC90" i="8"/>
  <c r="CT90" i="8" s="1"/>
  <c r="CU90" i="8" s="1"/>
  <c r="CA90" i="8"/>
  <c r="CB90" i="8"/>
  <c r="CR90" i="8" s="1"/>
  <c r="BY90" i="8"/>
  <c r="BZ90" i="8"/>
  <c r="C93" i="5"/>
  <c r="AC92" i="1"/>
  <c r="DA92" i="5"/>
  <c r="DG92" i="5" s="1" a="1"/>
  <c r="DG92" i="5" s="1"/>
  <c r="AB93" i="1"/>
  <c r="DI93" i="5"/>
  <c r="AF102" i="9"/>
  <c r="AJ102" i="9"/>
  <c r="N78" i="1"/>
  <c r="S95" i="2"/>
  <c r="N96" i="2"/>
  <c r="R96" i="2"/>
  <c r="Q95" i="2"/>
  <c r="P97" i="2"/>
  <c r="J97" i="10"/>
  <c r="N97" i="5" s="1"/>
  <c r="AH114" i="9" l="1"/>
  <c r="AO114" i="8" s="1"/>
  <c r="G97" i="8"/>
  <c r="CF96" i="8"/>
  <c r="O96" i="2"/>
  <c r="BN96" i="5" a="1"/>
  <c r="BN96" i="5" s="1"/>
  <c r="BO96" i="5" a="1"/>
  <c r="BO96" i="5" s="1"/>
  <c r="BQ96" i="5" a="1"/>
  <c r="BQ96" i="5" s="1"/>
  <c r="BB96" i="5" a="1"/>
  <c r="BB96" i="5" s="1"/>
  <c r="BI96" i="5" a="1"/>
  <c r="BI96" i="5" s="1"/>
  <c r="BM96" i="5" a="1"/>
  <c r="BM96" i="5" s="1"/>
  <c r="BC96" i="5" a="1"/>
  <c r="BC96" i="5" s="1"/>
  <c r="BK96" i="5" a="1"/>
  <c r="BK96" i="5" s="1"/>
  <c r="AL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V89" i="8"/>
  <c r="CW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X91" i="8" s="1"/>
  <c r="DB94" i="5"/>
  <c r="CB91" i="8"/>
  <c r="CR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CY91" i="8" s="1"/>
  <c r="F93" i="5"/>
  <c r="AW93" i="5" s="1"/>
  <c r="N91" i="7"/>
  <c r="Q91" i="7"/>
  <c r="AB90" i="11"/>
  <c r="Q90" i="8" s="1"/>
  <c r="Z90" i="11"/>
  <c r="D92" i="9"/>
  <c r="AA90" i="11"/>
  <c r="AK90" i="1" s="1"/>
  <c r="N91" i="11"/>
  <c r="CQ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O90" i="8"/>
  <c r="CS90" i="8" s="1"/>
  <c r="DF92" i="8"/>
  <c r="DG92" i="8" s="1"/>
  <c r="CD90" i="8"/>
  <c r="CK92" i="8"/>
  <c r="BW92" i="8"/>
  <c r="CH92" i="8" s="1"/>
  <c r="CX92" i="8" s="1"/>
  <c r="BI92" i="8"/>
  <c r="BT92" i="5"/>
  <c r="BH92" i="8"/>
  <c r="BU92" i="8" s="1"/>
  <c r="AG103" i="9"/>
  <c r="A92" i="11"/>
  <c r="Y91" i="11" s="1"/>
  <c r="AH91" i="1" s="1"/>
  <c r="AI92" i="5"/>
  <c r="B92" i="9"/>
  <c r="X92" i="9" s="1"/>
  <c r="B92" i="7"/>
  <c r="Q92" i="7" s="1"/>
  <c r="AC92" i="8"/>
  <c r="BQ92" i="8" s="1"/>
  <c r="A92" i="10"/>
  <c r="AA92" i="10" s="1"/>
  <c r="CZ90" i="8"/>
  <c r="AR90" i="5"/>
  <c r="AJ92" i="5"/>
  <c r="AP92" i="5" s="1"/>
  <c r="X92" i="8"/>
  <c r="DB92" i="8" s="1"/>
  <c r="E92" i="1"/>
  <c r="CP90" i="8"/>
  <c r="B90" i="14"/>
  <c r="CZ94" i="5"/>
  <c r="AQ90" i="5"/>
  <c r="AB94" i="1"/>
  <c r="DI94" i="5"/>
  <c r="C94" i="5"/>
  <c r="AC93" i="1"/>
  <c r="DA93" i="5"/>
  <c r="DG93" i="5" s="1" a="1"/>
  <c r="DG93" i="5" s="1"/>
  <c r="AF103" i="9"/>
  <c r="AJ103" i="9"/>
  <c r="N79" i="1"/>
  <c r="S96" i="2"/>
  <c r="N97" i="2"/>
  <c r="R97" i="2"/>
  <c r="Q96" i="2"/>
  <c r="J98" i="10"/>
  <c r="N98" i="5" s="1"/>
  <c r="P98" i="2"/>
  <c r="AH115" i="9" l="1"/>
  <c r="AO115" i="8" s="1"/>
  <c r="G98" i="8"/>
  <c r="CF97" i="8"/>
  <c r="O97" i="2"/>
  <c r="BM97" i="5" a="1"/>
  <c r="BM97" i="5" s="1"/>
  <c r="AD95" i="1"/>
  <c r="AZ97" i="5" a="1"/>
  <c r="AZ97" i="5" s="1"/>
  <c r="BF97" i="5" a="1"/>
  <c r="BF97" i="5" s="1"/>
  <c r="AE96" i="1" s="1"/>
  <c r="BG97" i="5" a="1"/>
  <c r="BG97" i="5" s="1"/>
  <c r="BD97" i="5" a="1"/>
  <c r="BD97" i="5" s="1"/>
  <c r="BE97" i="5" a="1"/>
  <c r="BE97" i="5" s="1"/>
  <c r="AL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V90" i="8"/>
  <c r="CW90" i="8" s="1"/>
  <c r="CO91" i="8"/>
  <c r="CS91" i="8" s="1"/>
  <c r="F100" i="8"/>
  <c r="AO92" i="5"/>
  <c r="AV93" i="5"/>
  <c r="BP96" i="5" a="1"/>
  <c r="BP96" i="5" s="1"/>
  <c r="J96" i="2" s="1"/>
  <c r="O101" i="1"/>
  <c r="CE91" i="8"/>
  <c r="CV91" i="8" s="1"/>
  <c r="CW91" i="8" s="1"/>
  <c r="BX92" i="8"/>
  <c r="CE92" i="8" s="1"/>
  <c r="BT92" i="8"/>
  <c r="BO92" i="8"/>
  <c r="BP92" i="8"/>
  <c r="BM92" i="8"/>
  <c r="BN92" i="8"/>
  <c r="BK92" i="8"/>
  <c r="BL92" i="8"/>
  <c r="BJ92" i="8"/>
  <c r="AC92" i="10"/>
  <c r="X92" i="10" s="1"/>
  <c r="AM92" i="5"/>
  <c r="AN92" i="5"/>
  <c r="AS96" i="5"/>
  <c r="AK96" i="11"/>
  <c r="CZ91" i="8"/>
  <c r="CP91" i="8"/>
  <c r="DB95" i="5"/>
  <c r="DE95" i="5"/>
  <c r="BW93" i="8"/>
  <c r="CC93" i="8" s="1"/>
  <c r="CT93" i="8" s="1"/>
  <c r="CU93" i="8" s="1"/>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H93" i="8"/>
  <c r="BU93" i="8" s="1"/>
  <c r="X93" i="8"/>
  <c r="DB93" i="8" s="1"/>
  <c r="BT93" i="5"/>
  <c r="B93" i="7"/>
  <c r="AE93" i="7" s="1"/>
  <c r="AF93" i="7" s="1"/>
  <c r="A93" i="10"/>
  <c r="AA93" i="10" s="1"/>
  <c r="A93" i="11"/>
  <c r="N93" i="11" s="1"/>
  <c r="AI93" i="5"/>
  <c r="AJ93" i="5"/>
  <c r="AP93" i="5" s="1"/>
  <c r="DF93" i="8"/>
  <c r="DG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Q90" i="8"/>
  <c r="D93" i="9"/>
  <c r="N92" i="7"/>
  <c r="AG104" i="9"/>
  <c r="BZ92" i="8"/>
  <c r="BY92" i="8"/>
  <c r="CA92" i="8"/>
  <c r="CB92" i="8"/>
  <c r="CR92" i="8" s="1"/>
  <c r="CC92" i="8"/>
  <c r="CT92" i="8" s="1"/>
  <c r="CU92" i="8" s="1"/>
  <c r="AA91" i="11"/>
  <c r="AK91" i="1" s="1"/>
  <c r="AB91" i="11"/>
  <c r="Q91" i="8" s="1"/>
  <c r="AD91" i="11"/>
  <c r="AI91" i="1" s="1"/>
  <c r="N92" i="11"/>
  <c r="AC91" i="11"/>
  <c r="U91" i="8" s="1"/>
  <c r="Z91" i="11"/>
  <c r="AE92" i="7"/>
  <c r="AF92" i="7" s="1"/>
  <c r="CI92" i="8"/>
  <c r="CY92" i="8" s="1"/>
  <c r="CZ92" i="8" s="1"/>
  <c r="CZ95" i="5"/>
  <c r="AC94" i="1"/>
  <c r="DA94" i="5"/>
  <c r="DG94" i="5" s="1" a="1"/>
  <c r="DG94" i="5" s="1"/>
  <c r="AB95" i="1"/>
  <c r="DI95" i="5"/>
  <c r="AF104" i="9"/>
  <c r="AJ104" i="9"/>
  <c r="N80" i="1"/>
  <c r="S97" i="2"/>
  <c r="N98" i="2"/>
  <c r="R98" i="2"/>
  <c r="Q97" i="2"/>
  <c r="J99" i="10"/>
  <c r="N99" i="5" s="1"/>
  <c r="P99" i="2"/>
  <c r="AH116" i="9" l="1"/>
  <c r="AO116" i="8" s="1"/>
  <c r="G99" i="8"/>
  <c r="CF98" i="8"/>
  <c r="O98" i="2"/>
  <c r="BF98" i="5" a="1"/>
  <c r="BF98" i="5" s="1"/>
  <c r="AE97" i="1" s="1"/>
  <c r="AL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Q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R93" i="8" s="1"/>
  <c r="BY93" i="8"/>
  <c r="BZ93" i="8"/>
  <c r="CH93" i="8"/>
  <c r="CX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CY93" i="8" s="1"/>
  <c r="AC92" i="11"/>
  <c r="U92" i="8" s="1"/>
  <c r="AA92" i="11"/>
  <c r="AK92" i="1" s="1"/>
  <c r="Z92" i="11"/>
  <c r="AD92" i="11"/>
  <c r="AI92" i="1" s="1"/>
  <c r="AB92" i="11"/>
  <c r="Q92" i="8" s="1"/>
  <c r="Y92" i="11"/>
  <c r="AH92" i="1" s="1"/>
  <c r="D94" i="9"/>
  <c r="BT94" i="5"/>
  <c r="N93" i="7"/>
  <c r="A94" i="10"/>
  <c r="AA94" i="10" s="1"/>
  <c r="A94" i="11"/>
  <c r="AA93" i="11" s="1"/>
  <c r="AK93" i="1" s="1"/>
  <c r="BI94" i="8"/>
  <c r="BW94" i="8"/>
  <c r="CH94" i="8" s="1"/>
  <c r="CX94" i="8" s="1"/>
  <c r="AC94" i="8"/>
  <c r="BQ94" i="8" s="1"/>
  <c r="E94" i="1"/>
  <c r="AI94" i="5"/>
  <c r="X94" i="8"/>
  <c r="DB94" i="8" s="1"/>
  <c r="B94" i="9"/>
  <c r="X94" i="9" s="1"/>
  <c r="CK94" i="8"/>
  <c r="DF94" i="8"/>
  <c r="DG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O92" i="8"/>
  <c r="CS92" i="8" s="1"/>
  <c r="AG105" i="9"/>
  <c r="CP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AH117" i="9" l="1"/>
  <c r="AO117" i="8" s="1"/>
  <c r="G100" i="8"/>
  <c r="CF99" i="8"/>
  <c r="O99" i="2"/>
  <c r="BM99" i="5" a="1"/>
  <c r="BM99" i="5" s="1"/>
  <c r="BG99" i="5" a="1"/>
  <c r="BG99" i="5" s="1"/>
  <c r="AZ99" i="5" a="1"/>
  <c r="AZ99" i="5" s="1"/>
  <c r="BE99" i="5" a="1"/>
  <c r="BE99" i="5" s="1"/>
  <c r="AL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V92" i="8"/>
  <c r="CW92" i="8" s="1"/>
  <c r="CO93" i="8"/>
  <c r="CS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CZ93" i="8"/>
  <c r="CP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R94" i="8" s="1"/>
  <c r="CA94" i="8"/>
  <c r="CC94" i="8"/>
  <c r="CT94" i="8" s="1"/>
  <c r="CU94" i="8" s="1"/>
  <c r="CI94" i="8"/>
  <c r="CY94" i="8" s="1"/>
  <c r="CZ94" i="8" s="1"/>
  <c r="D95" i="9"/>
  <c r="CQ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F95" i="8"/>
  <c r="DG95" i="8" s="1"/>
  <c r="CK95" i="8"/>
  <c r="BW95" i="8"/>
  <c r="CC95" i="8" s="1"/>
  <c r="CT95" i="8" s="1"/>
  <c r="CU95" i="8" s="1"/>
  <c r="BI95" i="8"/>
  <c r="A95" i="10"/>
  <c r="AA95" i="10" s="1"/>
  <c r="BH95" i="8"/>
  <c r="BU95" i="8" s="1"/>
  <c r="AG106" i="9"/>
  <c r="AJ95" i="5"/>
  <c r="AP95" i="5" s="1"/>
  <c r="AC95" i="8"/>
  <c r="BQ95" i="8" s="1"/>
  <c r="E95" i="1"/>
  <c r="BT95" i="5"/>
  <c r="A95" i="11"/>
  <c r="X95" i="8"/>
  <c r="DB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P101" i="2"/>
  <c r="J101" i="10"/>
  <c r="N101" i="5" s="1"/>
  <c r="AH118" i="9" l="1"/>
  <c r="AO118" i="8" s="1"/>
  <c r="G101" i="8"/>
  <c r="CF100" i="8"/>
  <c r="O100" i="2"/>
  <c r="BJ100" i="5" a="1"/>
  <c r="BJ100" i="5" s="1"/>
  <c r="AL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Q93" i="8"/>
  <c r="CV93" i="8"/>
  <c r="CW93" i="8" s="1"/>
  <c r="F103" i="8"/>
  <c r="CO94" i="8"/>
  <c r="CS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F96" i="8"/>
  <c r="DG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P94" i="8"/>
  <c r="B96" i="7"/>
  <c r="Q96" i="7" s="1"/>
  <c r="CK96" i="8"/>
  <c r="A96" i="10"/>
  <c r="AA96" i="10" s="1"/>
  <c r="A96" i="11"/>
  <c r="N96" i="11" s="1"/>
  <c r="AI96" i="5"/>
  <c r="AC96" i="8"/>
  <c r="BQ96" i="8" s="1"/>
  <c r="BI96" i="8"/>
  <c r="BW96" i="8"/>
  <c r="CB96" i="8" s="1"/>
  <c r="CR96" i="8" s="1"/>
  <c r="B96" i="9"/>
  <c r="X96" i="9" s="1"/>
  <c r="X96" i="8"/>
  <c r="DB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G107" i="9"/>
  <c r="BY95" i="8"/>
  <c r="CB95" i="8"/>
  <c r="CR95" i="8" s="1"/>
  <c r="CA95" i="8"/>
  <c r="CH95" i="8"/>
  <c r="CX95" i="8" s="1"/>
  <c r="BZ95" i="8"/>
  <c r="CI95" i="8"/>
  <c r="CY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P102" i="2"/>
  <c r="AH119" i="9" l="1"/>
  <c r="AO119" i="8" s="1"/>
  <c r="G102" i="8"/>
  <c r="CF101" i="8"/>
  <c r="O101" i="2"/>
  <c r="BI101" i="5" a="1"/>
  <c r="BI101" i="5" s="1"/>
  <c r="BC101" i="5" a="1"/>
  <c r="BC101" i="5" s="1"/>
  <c r="BN101" i="5" a="1"/>
  <c r="BN101" i="5" s="1"/>
  <c r="BE101" i="5" a="1"/>
  <c r="BE101" i="5" s="1"/>
  <c r="AL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Q94" i="8"/>
  <c r="F104" i="8"/>
  <c r="AV97" i="5"/>
  <c r="AC96" i="10"/>
  <c r="X96" i="10" s="1"/>
  <c r="AO96" i="5"/>
  <c r="BP100" i="5" a="1"/>
  <c r="BP100" i="5" s="1"/>
  <c r="J100" i="2" s="1"/>
  <c r="AG95" i="7"/>
  <c r="AI95" i="7" s="1"/>
  <c r="O105" i="1"/>
  <c r="CV94" i="8"/>
  <c r="CW94" i="8" s="1"/>
  <c r="CE95" i="8"/>
  <c r="CV95" i="8" s="1"/>
  <c r="CW95" i="8" s="1"/>
  <c r="BX96" i="8"/>
  <c r="CD96" i="8" s="1"/>
  <c r="BT96" i="8"/>
  <c r="BO96" i="8"/>
  <c r="BP96" i="8"/>
  <c r="BM96" i="8"/>
  <c r="BN96" i="8"/>
  <c r="BK96" i="8"/>
  <c r="BL96" i="8"/>
  <c r="BJ96" i="8"/>
  <c r="AM96" i="5"/>
  <c r="AN96" i="5"/>
  <c r="AR96" i="5" s="1"/>
  <c r="AS100" i="5"/>
  <c r="AK100" i="11"/>
  <c r="AH100" i="11"/>
  <c r="CI96" i="8"/>
  <c r="CY96" i="8" s="1"/>
  <c r="BW97" i="8"/>
  <c r="CC97" i="8" s="1"/>
  <c r="CT97" i="8" s="1"/>
  <c r="CU97" i="8" s="1"/>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X96" i="8" s="1"/>
  <c r="AE96" i="7"/>
  <c r="AF96" i="7" s="1"/>
  <c r="Y95" i="11"/>
  <c r="AH95" i="1" s="1"/>
  <c r="AC95" i="11"/>
  <c r="U95" i="8" s="1"/>
  <c r="AB95" i="11"/>
  <c r="Q95" i="8" s="1"/>
  <c r="Z95" i="11"/>
  <c r="CA96" i="8"/>
  <c r="BY96" i="8"/>
  <c r="BZ96" i="8"/>
  <c r="CC96" i="8"/>
  <c r="CT96" i="8" s="1"/>
  <c r="CU96" i="8" s="1"/>
  <c r="D97" i="9"/>
  <c r="A97" i="10"/>
  <c r="AA97" i="10" s="1"/>
  <c r="AI97" i="5"/>
  <c r="AJ97" i="5"/>
  <c r="AP97" i="5" s="1"/>
  <c r="BT97" i="5"/>
  <c r="B97" i="9"/>
  <c r="X97" i="9" s="1"/>
  <c r="E97" i="1"/>
  <c r="A97" i="11"/>
  <c r="AB96" i="11" s="1"/>
  <c r="Q96" i="8" s="1"/>
  <c r="X97" i="8"/>
  <c r="DB97" i="8" s="1"/>
  <c r="BI97" i="8"/>
  <c r="AC97" i="8"/>
  <c r="BQ97" i="8" s="1"/>
  <c r="B97" i="7"/>
  <c r="AE97" i="7" s="1"/>
  <c r="AF97" i="7" s="1"/>
  <c r="DF97" i="8"/>
  <c r="DG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O95" i="8"/>
  <c r="CS95" i="8" s="1"/>
  <c r="AG108" i="9"/>
  <c r="AR95" i="5"/>
  <c r="AQ95" i="5"/>
  <c r="CP95" i="8"/>
  <c r="CZ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AH120" i="9" l="1"/>
  <c r="AO120" i="8" s="1"/>
  <c r="G103" i="8"/>
  <c r="CF102" i="8"/>
  <c r="O102" i="2"/>
  <c r="AD100" i="1"/>
  <c r="BC102" i="5" a="1"/>
  <c r="BC102" i="5" s="1"/>
  <c r="BJ102" i="5" a="1"/>
  <c r="BJ102" i="5" s="1"/>
  <c r="AL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O96" i="8"/>
  <c r="CS96" i="8" s="1"/>
  <c r="F105" i="8"/>
  <c r="AO97" i="5"/>
  <c r="AV98" i="5"/>
  <c r="BP101" i="5" a="1"/>
  <c r="BP101" i="5" s="1"/>
  <c r="J101" i="2" s="1"/>
  <c r="AG97" i="7"/>
  <c r="AI97" i="7" s="1"/>
  <c r="AG96" i="7"/>
  <c r="AI96" i="7" s="1"/>
  <c r="O106" i="1"/>
  <c r="CE96" i="8"/>
  <c r="CV96" i="8" s="1"/>
  <c r="CW96" i="8" s="1"/>
  <c r="BX97" i="8"/>
  <c r="CE97" i="8" s="1"/>
  <c r="BT97" i="8"/>
  <c r="BO97" i="8"/>
  <c r="BP97" i="8"/>
  <c r="BM97" i="8"/>
  <c r="BN97" i="8"/>
  <c r="BK97" i="8"/>
  <c r="BL97" i="8"/>
  <c r="BJ97" i="8"/>
  <c r="AC97" i="10"/>
  <c r="X97" i="10" s="1"/>
  <c r="AM97" i="5"/>
  <c r="AN97" i="5"/>
  <c r="AS101" i="5"/>
  <c r="CZ96" i="8"/>
  <c r="AH101" i="11"/>
  <c r="DE100" i="5"/>
  <c r="CH97" i="8"/>
  <c r="CX97" i="8" s="1"/>
  <c r="BY97" i="8"/>
  <c r="CA97" i="8"/>
  <c r="CB97" i="8"/>
  <c r="CR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P96" i="8"/>
  <c r="B97" i="14"/>
  <c r="Z96" i="11"/>
  <c r="N97" i="7"/>
  <c r="AD96" i="11"/>
  <c r="AI96" i="1" s="1"/>
  <c r="N97" i="11"/>
  <c r="Q97" i="7"/>
  <c r="AA96" i="11"/>
  <c r="AK96" i="1" s="1"/>
  <c r="CI97" i="8"/>
  <c r="CY97" i="8" s="1"/>
  <c r="AC96" i="11"/>
  <c r="U96" i="8" s="1"/>
  <c r="Y96" i="11"/>
  <c r="AH96" i="1" s="1"/>
  <c r="AC98" i="8"/>
  <c r="BQ98" i="8" s="1"/>
  <c r="D98" i="9"/>
  <c r="B98" i="9"/>
  <c r="X98" i="9" s="1"/>
  <c r="BW98" i="8"/>
  <c r="CB98" i="8" s="1"/>
  <c r="CR98" i="8" s="1"/>
  <c r="AJ98" i="5"/>
  <c r="AP98" i="5" s="1"/>
  <c r="B100" i="5"/>
  <c r="E98" i="1"/>
  <c r="BI98" i="8"/>
  <c r="X98" i="8"/>
  <c r="DB98" i="8" s="1"/>
  <c r="BT98" i="5"/>
  <c r="A98" i="11"/>
  <c r="Y97" i="11" s="1"/>
  <c r="AH97" i="1" s="1"/>
  <c r="BH98" i="8"/>
  <c r="BU98" i="8" s="1"/>
  <c r="AI98" i="5"/>
  <c r="DF98" i="8"/>
  <c r="DG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Q95" i="8"/>
  <c r="AG109" i="9"/>
  <c r="CZ100" i="5"/>
  <c r="C99" i="5"/>
  <c r="F99" i="5" s="1"/>
  <c r="AW99" i="5" s="1"/>
  <c r="AB100" i="1"/>
  <c r="DI100" i="5"/>
  <c r="C100" i="5"/>
  <c r="AC99" i="1"/>
  <c r="DA99" i="5"/>
  <c r="DG99" i="5" s="1" a="1"/>
  <c r="DG99" i="5" s="1"/>
  <c r="AF109" i="9"/>
  <c r="AJ109" i="9"/>
  <c r="N85" i="1"/>
  <c r="S102" i="2"/>
  <c r="N103" i="2"/>
  <c r="R103" i="2"/>
  <c r="Q102" i="2"/>
  <c r="J104" i="10"/>
  <c r="N104" i="5" s="1"/>
  <c r="P104" i="2"/>
  <c r="AH121" i="9" l="1"/>
  <c r="AO121" i="8" s="1"/>
  <c r="G104" i="8"/>
  <c r="CF103" i="8"/>
  <c r="O103" i="2"/>
  <c r="BO103" i="5" a="1"/>
  <c r="BO103" i="5" s="1"/>
  <c r="AL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Q96" i="8"/>
  <c r="CO97" i="8"/>
  <c r="CS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P97" i="8"/>
  <c r="DF101" i="5"/>
  <c r="CZ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X98" i="8" s="1"/>
  <c r="CI98" i="8"/>
  <c r="CY98" i="8" s="1"/>
  <c r="CC98" i="8"/>
  <c r="CT98" i="8" s="1"/>
  <c r="CU98" i="8" s="1"/>
  <c r="BY98" i="8"/>
  <c r="CA98" i="8"/>
  <c r="AE98" i="7"/>
  <c r="AF98" i="7" s="1"/>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F99" i="8"/>
  <c r="DG99" i="8" s="1"/>
  <c r="CK99" i="8"/>
  <c r="BW99" i="8"/>
  <c r="BH99" i="8"/>
  <c r="BI99" i="8"/>
  <c r="AG110" i="9"/>
  <c r="CZ101" i="5"/>
  <c r="AC99" i="8"/>
  <c r="BQ99" i="8" s="1"/>
  <c r="BT99" i="5"/>
  <c r="AJ99" i="5"/>
  <c r="AP99" i="5" s="1"/>
  <c r="A99" i="10"/>
  <c r="AA99" i="10" s="1"/>
  <c r="B99" i="7"/>
  <c r="X99" i="8"/>
  <c r="DB99" i="8" s="1"/>
  <c r="E99" i="1"/>
  <c r="A99" i="11"/>
  <c r="AI99" i="5"/>
  <c r="B99" i="9"/>
  <c r="X99" i="9" s="1"/>
  <c r="AC100" i="1"/>
  <c r="DA100" i="5"/>
  <c r="DG100" i="5" s="1" a="1"/>
  <c r="DG100" i="5" s="1"/>
  <c r="AB101" i="1"/>
  <c r="DI101" i="5"/>
  <c r="AF110" i="9"/>
  <c r="AJ110" i="9"/>
  <c r="N86" i="1"/>
  <c r="S103" i="2"/>
  <c r="N104" i="2"/>
  <c r="R104" i="2"/>
  <c r="Q103" i="2"/>
  <c r="J105" i="10"/>
  <c r="N105" i="5" s="1"/>
  <c r="P105" i="2"/>
  <c r="AH122" i="9" l="1"/>
  <c r="AO122" i="8" s="1"/>
  <c r="G105" i="8"/>
  <c r="CF104" i="8"/>
  <c r="O104" i="2"/>
  <c r="AL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Q97" i="8"/>
  <c r="CV97" i="8"/>
  <c r="CW97" i="8" s="1"/>
  <c r="CO98" i="8"/>
  <c r="CS98" i="8" s="1"/>
  <c r="F107" i="8"/>
  <c r="AO99" i="5"/>
  <c r="AV100" i="5"/>
  <c r="BP103" i="5" a="1"/>
  <c r="BP103" i="5" s="1"/>
  <c r="J103" i="2" s="1"/>
  <c r="DF100" i="8"/>
  <c r="DG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X100" i="9" s="1"/>
  <c r="BI100" i="8"/>
  <c r="AJ100" i="5"/>
  <c r="AP100" i="5" s="1"/>
  <c r="A100" i="11"/>
  <c r="N100" i="11" s="1"/>
  <c r="BH100" i="8"/>
  <c r="BU100" i="8" s="1"/>
  <c r="X100" i="8"/>
  <c r="DB100" i="8" s="1"/>
  <c r="BW100" i="8"/>
  <c r="CH100" i="8" s="1"/>
  <c r="CX100" i="8" s="1"/>
  <c r="A100" i="10"/>
  <c r="AA100" i="10" s="1"/>
  <c r="BT100" i="5"/>
  <c r="CK100" i="8"/>
  <c r="E100" i="1"/>
  <c r="AC100" i="8"/>
  <c r="BQ100" i="8" s="1"/>
  <c r="B100" i="7"/>
  <c r="AE100" i="7" s="1"/>
  <c r="AF100" i="7" s="1"/>
  <c r="B98" i="14"/>
  <c r="CZ98" i="8"/>
  <c r="AQ98" i="5"/>
  <c r="CP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G111" i="9"/>
  <c r="C101" i="5"/>
  <c r="F101" i="5" s="1"/>
  <c r="AW101" i="5" s="1"/>
  <c r="CC99" i="8"/>
  <c r="CT99" i="8" s="1"/>
  <c r="CU99" i="8" s="1"/>
  <c r="CA99" i="8"/>
  <c r="CB99" i="8"/>
  <c r="CR99" i="8" s="1"/>
  <c r="CH99" i="8"/>
  <c r="CX99" i="8" s="1"/>
  <c r="BY99" i="8"/>
  <c r="BZ99" i="8"/>
  <c r="CI99" i="8"/>
  <c r="CY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J106" i="10"/>
  <c r="N106" i="5" s="1"/>
  <c r="P106" i="2"/>
  <c r="AH123" i="9" l="1"/>
  <c r="AO123" i="8" s="1"/>
  <c r="G106" i="8"/>
  <c r="CF105" i="8"/>
  <c r="O105" i="2"/>
  <c r="BO105" i="5" a="1"/>
  <c r="BO105" i="5" s="1"/>
  <c r="BI105" i="5" a="1"/>
  <c r="BI105" i="5" s="1"/>
  <c r="AL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Q98" i="8"/>
  <c r="V103" i="2"/>
  <c r="CI100" i="8"/>
  <c r="CY100" i="8" s="1"/>
  <c r="CZ100" i="8" s="1"/>
  <c r="CV98" i="8"/>
  <c r="CW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T100" i="8" s="1"/>
  <c r="CU100" i="8" s="1"/>
  <c r="D101" i="9"/>
  <c r="N100" i="7"/>
  <c r="Y99" i="11"/>
  <c r="AH99" i="1" s="1"/>
  <c r="Z99" i="11"/>
  <c r="CA100" i="8"/>
  <c r="AC99" i="11"/>
  <c r="U99" i="8" s="1"/>
  <c r="AB99" i="11"/>
  <c r="Q99" i="8" s="1"/>
  <c r="AD99" i="11"/>
  <c r="AI99" i="1" s="1"/>
  <c r="BZ100" i="8"/>
  <c r="CB100" i="8"/>
  <c r="CR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O99" i="8"/>
  <c r="CS99" i="8" s="1"/>
  <c r="DF101" i="8"/>
  <c r="DG101" i="8" s="1"/>
  <c r="CK101" i="8"/>
  <c r="BW101" i="8"/>
  <c r="BI101" i="8"/>
  <c r="BH101" i="8"/>
  <c r="BU101" i="8" s="1"/>
  <c r="AG112" i="9"/>
  <c r="B101" i="7"/>
  <c r="AI101" i="5"/>
  <c r="A101" i="10"/>
  <c r="AA101" i="10" s="1"/>
  <c r="E101" i="1"/>
  <c r="BT101" i="5"/>
  <c r="X101" i="8"/>
  <c r="DB101" i="8" s="1"/>
  <c r="AC101" i="8"/>
  <c r="BQ101" i="8" s="1"/>
  <c r="AJ101" i="5"/>
  <c r="AP101" i="5" s="1"/>
  <c r="A101" i="11"/>
  <c r="CP99" i="8"/>
  <c r="B101" i="9"/>
  <c r="X101" i="9" s="1"/>
  <c r="CZ103" i="5"/>
  <c r="AR99" i="5"/>
  <c r="CZ99" i="8"/>
  <c r="B99" i="14"/>
  <c r="AQ99" i="5"/>
  <c r="AC102" i="1"/>
  <c r="DA102" i="5"/>
  <c r="DG102" i="5" s="1" a="1"/>
  <c r="DG102" i="5" s="1"/>
  <c r="AB103" i="1"/>
  <c r="DI103" i="5"/>
  <c r="AF112" i="9"/>
  <c r="AJ112" i="9"/>
  <c r="N88" i="1"/>
  <c r="S105" i="2"/>
  <c r="N106" i="2"/>
  <c r="R106" i="2"/>
  <c r="Q105" i="2"/>
  <c r="P107" i="2"/>
  <c r="J107" i="10"/>
  <c r="N107" i="5" s="1"/>
  <c r="AH124" i="9" l="1"/>
  <c r="AO124" i="8" s="1"/>
  <c r="G107" i="8"/>
  <c r="CF106" i="8"/>
  <c r="O106" i="2"/>
  <c r="BM106" i="5" a="1"/>
  <c r="BM106" i="5" s="1"/>
  <c r="BC106" i="5" a="1"/>
  <c r="BC106" i="5" s="1"/>
  <c r="AL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V99" i="8"/>
  <c r="CW99" i="8" s="1"/>
  <c r="F109" i="8"/>
  <c r="CO100" i="8"/>
  <c r="CS100" i="8" s="1"/>
  <c r="AO101" i="5"/>
  <c r="AV102" i="5"/>
  <c r="BP105" i="5" a="1"/>
  <c r="BP105" i="5" s="1"/>
  <c r="J105" i="2" s="1"/>
  <c r="O110" i="1"/>
  <c r="CD100" i="8"/>
  <c r="BT101" i="8"/>
  <c r="BO101" i="8"/>
  <c r="BP101" i="8"/>
  <c r="BM101" i="8"/>
  <c r="BN101" i="8"/>
  <c r="BK101" i="8"/>
  <c r="BL101" i="8"/>
  <c r="BJ101" i="8"/>
  <c r="AC101" i="10"/>
  <c r="X101" i="10" s="1"/>
  <c r="AN101" i="5"/>
  <c r="AM101" i="5"/>
  <c r="AS105" i="5"/>
  <c r="BW102" i="8"/>
  <c r="CA102" i="8" s="1"/>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P100" i="8"/>
  <c r="AR100" i="5"/>
  <c r="BH102" i="8"/>
  <c r="BU102" i="8" s="1"/>
  <c r="A102" i="11"/>
  <c r="Y101" i="11" s="1"/>
  <c r="AH101" i="1" s="1"/>
  <c r="CQ99" i="8"/>
  <c r="BT102" i="5"/>
  <c r="AI102" i="5"/>
  <c r="B102" i="7"/>
  <c r="AE102" i="7" s="1"/>
  <c r="AF102" i="7" s="1"/>
  <c r="A102" i="10"/>
  <c r="AA102" i="10" s="1"/>
  <c r="DF102" i="8"/>
  <c r="DG102" i="8" s="1"/>
  <c r="AC102" i="8"/>
  <c r="BQ102" i="8" s="1"/>
  <c r="B102" i="9"/>
  <c r="X102" i="9" s="1"/>
  <c r="CK102" i="8"/>
  <c r="X102" i="8"/>
  <c r="DB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CY101" i="8" s="1"/>
  <c r="BX101" i="8"/>
  <c r="CD101" i="8" s="1"/>
  <c r="N101" i="7"/>
  <c r="AG113" i="9"/>
  <c r="AE101" i="7"/>
  <c r="AF101" i="7" s="1"/>
  <c r="Q101" i="7"/>
  <c r="CC101" i="8"/>
  <c r="CT101" i="8" s="1"/>
  <c r="CU101" i="8" s="1"/>
  <c r="BY101" i="8"/>
  <c r="CA101" i="8"/>
  <c r="CH101" i="8"/>
  <c r="CX101" i="8" s="1"/>
  <c r="CB101" i="8"/>
  <c r="CR101" i="8" s="1"/>
  <c r="BZ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J108" i="10"/>
  <c r="N108" i="5" s="1"/>
  <c r="P108" i="2"/>
  <c r="AH125" i="9" l="1"/>
  <c r="AO125" i="8" s="1"/>
  <c r="BG107" i="5" a="1"/>
  <c r="BG107" i="5" s="1"/>
  <c r="G108" i="8"/>
  <c r="CF107" i="8"/>
  <c r="O107" i="2"/>
  <c r="BI107" i="5" a="1"/>
  <c r="BI107" i="5" s="1"/>
  <c r="BC107" i="5" a="1"/>
  <c r="BC107" i="5" s="1"/>
  <c r="BM107" i="5" a="1"/>
  <c r="BM107" i="5" s="1"/>
  <c r="AL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Q100" i="8"/>
  <c r="CV100" i="8"/>
  <c r="CW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X102" i="8" s="1"/>
  <c r="CC102" i="8"/>
  <c r="CT102" i="8" s="1"/>
  <c r="CU102" i="8" s="1"/>
  <c r="BZ102" i="8"/>
  <c r="CP102" i="8" s="1"/>
  <c r="CB102" i="8"/>
  <c r="CR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I102" i="8"/>
  <c r="CY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O101" i="8"/>
  <c r="CS101" i="8" s="1"/>
  <c r="CZ101" i="8"/>
  <c r="DF103" i="8"/>
  <c r="DG103" i="8" s="1"/>
  <c r="CK103" i="8"/>
  <c r="BW103" i="8"/>
  <c r="BI103" i="8"/>
  <c r="CE101" i="8"/>
  <c r="CV101" i="8" s="1"/>
  <c r="CW101" i="8" s="1"/>
  <c r="AJ103" i="5"/>
  <c r="AP103" i="5" s="1"/>
  <c r="BH103" i="8"/>
  <c r="BU103" i="8" s="1"/>
  <c r="AG114" i="9"/>
  <c r="AR101" i="5"/>
  <c r="B101" i="14"/>
  <c r="CP101" i="8"/>
  <c r="AQ101" i="5"/>
  <c r="X103" i="8"/>
  <c r="DB103" i="8" s="1"/>
  <c r="E103" i="1"/>
  <c r="B103" i="9"/>
  <c r="X103" i="9" s="1"/>
  <c r="AI103" i="5"/>
  <c r="A103" i="11"/>
  <c r="AC103" i="8"/>
  <c r="BQ103" i="8" s="1"/>
  <c r="BT103" i="5"/>
  <c r="A103" i="10"/>
  <c r="AA103" i="10" s="1"/>
  <c r="B103" i="7"/>
  <c r="CZ105" i="5"/>
  <c r="C105" i="5"/>
  <c r="AC104" i="1"/>
  <c r="DA104" i="5"/>
  <c r="DG104" i="5" s="1" a="1"/>
  <c r="DG104" i="5" s="1"/>
  <c r="AB105" i="1"/>
  <c r="DI105" i="5"/>
  <c r="AF114" i="9"/>
  <c r="AJ114" i="9"/>
  <c r="N90" i="1"/>
  <c r="S107" i="2"/>
  <c r="N108" i="2"/>
  <c r="R108" i="2"/>
  <c r="Q107" i="2"/>
  <c r="J109" i="10"/>
  <c r="N109" i="5" s="1"/>
  <c r="P109" i="2"/>
  <c r="AH126" i="9" l="1"/>
  <c r="AO126" i="8" s="1"/>
  <c r="G109" i="8"/>
  <c r="CF108" i="8"/>
  <c r="O108" i="2"/>
  <c r="AL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O102" i="8"/>
  <c r="CS102" i="8" s="1"/>
  <c r="F111" i="8"/>
  <c r="AO103" i="5"/>
  <c r="AV104" i="5"/>
  <c r="BP107" i="5" a="1"/>
  <c r="BP107" i="5" s="1"/>
  <c r="J107" i="2" s="1"/>
  <c r="DF104" i="8"/>
  <c r="DG104" i="8" s="1"/>
  <c r="O112" i="1"/>
  <c r="CD102" i="8"/>
  <c r="BX103" i="8"/>
  <c r="CD103" i="8" s="1"/>
  <c r="BT103" i="8"/>
  <c r="BO103" i="8"/>
  <c r="BP103" i="8"/>
  <c r="BM103" i="8"/>
  <c r="BN103" i="8"/>
  <c r="BK103" i="8"/>
  <c r="BL103" i="8"/>
  <c r="BJ103" i="8"/>
  <c r="AC103" i="10"/>
  <c r="X103" i="10" s="1"/>
  <c r="AN103" i="5"/>
  <c r="AM103" i="5"/>
  <c r="AS107" i="5"/>
  <c r="CZ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B104" i="8" s="1"/>
  <c r="A104" i="10"/>
  <c r="AA104" i="10" s="1"/>
  <c r="BI104" i="8"/>
  <c r="B104" i="9"/>
  <c r="X104" i="9" s="1"/>
  <c r="AC104" i="8"/>
  <c r="BQ104" i="8" s="1"/>
  <c r="BH104" i="8"/>
  <c r="BU104" i="8" s="1"/>
  <c r="BW104" i="8"/>
  <c r="CB104" i="8" s="1"/>
  <c r="CR104" i="8" s="1"/>
  <c r="E104" i="1"/>
  <c r="A104" i="11"/>
  <c r="N104" i="11" s="1"/>
  <c r="AQ102" i="5"/>
  <c r="F105" i="5"/>
  <c r="AW105" i="5" s="1"/>
  <c r="CQ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G115" i="9"/>
  <c r="AE103" i="7"/>
  <c r="AF103" i="7" s="1"/>
  <c r="Q103" i="7"/>
  <c r="CH103" i="8"/>
  <c r="CX103" i="8" s="1"/>
  <c r="CA103" i="8"/>
  <c r="CB103" i="8"/>
  <c r="CR103" i="8" s="1"/>
  <c r="BZ103" i="8"/>
  <c r="CC103" i="8"/>
  <c r="CT103" i="8" s="1"/>
  <c r="CU103" i="8" s="1"/>
  <c r="BY103" i="8"/>
  <c r="AD102" i="11"/>
  <c r="AI102" i="1" s="1"/>
  <c r="Z102" i="11"/>
  <c r="AB102" i="11"/>
  <c r="Q102" i="8" s="1"/>
  <c r="AA102" i="11"/>
  <c r="AK102" i="1" s="1"/>
  <c r="Y102" i="11"/>
  <c r="AH102" i="1" s="1"/>
  <c r="N103" i="11"/>
  <c r="AC102" i="11"/>
  <c r="U102" i="8" s="1"/>
  <c r="CI103" i="8"/>
  <c r="CY103" i="8" s="1"/>
  <c r="CZ106" i="5"/>
  <c r="AB106" i="1"/>
  <c r="DI106" i="5"/>
  <c r="C106" i="5"/>
  <c r="AC105" i="1"/>
  <c r="DA105" i="5"/>
  <c r="DG105" i="5" s="1" a="1"/>
  <c r="DG105" i="5" s="1"/>
  <c r="AF115" i="9"/>
  <c r="AJ115" i="9"/>
  <c r="N91" i="1"/>
  <c r="S108" i="2"/>
  <c r="N109" i="2"/>
  <c r="R109" i="2"/>
  <c r="Q108" i="2"/>
  <c r="P110" i="2"/>
  <c r="J110" i="10"/>
  <c r="N110" i="5" s="1"/>
  <c r="AH127" i="9" l="1"/>
  <c r="AO127" i="8" s="1"/>
  <c r="BH109" i="5" a="1"/>
  <c r="BH109" i="5" s="1"/>
  <c r="BJ109" i="5" a="1"/>
  <c r="BJ109" i="5" s="1"/>
  <c r="G110" i="8"/>
  <c r="CF109" i="8"/>
  <c r="O109" i="2"/>
  <c r="BC109" i="5" a="1"/>
  <c r="BC109" i="5" s="1"/>
  <c r="BD109" i="5" a="1"/>
  <c r="BD109" i="5" s="1"/>
  <c r="BA109" i="5" a="1"/>
  <c r="BA109" i="5" s="1"/>
  <c r="BM109" i="5" a="1"/>
  <c r="BM109" i="5" s="1"/>
  <c r="AL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CY104" i="8" s="1"/>
  <c r="CQ102" i="8"/>
  <c r="CV102" i="8"/>
  <c r="CW102" i="8" s="1"/>
  <c r="F112" i="8"/>
  <c r="AO104" i="5"/>
  <c r="AV105" i="5"/>
  <c r="BP108" i="5" a="1"/>
  <c r="BP108" i="5" s="1"/>
  <c r="J108" i="2" s="1"/>
  <c r="AG103" i="7"/>
  <c r="AI103" i="7" s="1"/>
  <c r="O113" i="1"/>
  <c r="CE103" i="8"/>
  <c r="CV103" i="8" s="1"/>
  <c r="CW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H104" i="8"/>
  <c r="CX104" i="8" s="1"/>
  <c r="D105" i="9"/>
  <c r="N104" i="7"/>
  <c r="AC105" i="8"/>
  <c r="BQ105" i="8" s="1"/>
  <c r="X105" i="8"/>
  <c r="DB105" i="8" s="1"/>
  <c r="AI105" i="5"/>
  <c r="B105" i="9"/>
  <c r="X105" i="9" s="1"/>
  <c r="B105" i="7"/>
  <c r="AE105" i="7" s="1"/>
  <c r="AF105" i="7" s="1"/>
  <c r="BY104" i="8"/>
  <c r="BZ104" i="8"/>
  <c r="CC104" i="8"/>
  <c r="CT104" i="8" s="1"/>
  <c r="CU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F105" i="8"/>
  <c r="DG105" i="8" s="1"/>
  <c r="BI105" i="8"/>
  <c r="BW105" i="8"/>
  <c r="BY105" i="8" s="1"/>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O103" i="8"/>
  <c r="CS103" i="8" s="1"/>
  <c r="AR103" i="5"/>
  <c r="AQ103" i="5"/>
  <c r="AG116" i="9"/>
  <c r="CZ103" i="8"/>
  <c r="CP103" i="8"/>
  <c r="B103" i="14"/>
  <c r="CZ107" i="5"/>
  <c r="C107" i="5"/>
  <c r="AC106" i="1"/>
  <c r="DA106" i="5"/>
  <c r="DG106" i="5" s="1" a="1"/>
  <c r="DG106" i="5" s="1"/>
  <c r="AB107" i="1"/>
  <c r="DI107" i="5"/>
  <c r="AF116" i="9"/>
  <c r="AJ116" i="9"/>
  <c r="N92" i="1"/>
  <c r="S109" i="2"/>
  <c r="N110" i="2"/>
  <c r="R110" i="2"/>
  <c r="Q109" i="2"/>
  <c r="P111" i="2"/>
  <c r="J111" i="10"/>
  <c r="N111" i="5" s="1"/>
  <c r="AH128" i="9" l="1"/>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L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Z104" i="8"/>
  <c r="V108" i="2"/>
  <c r="F113" i="8"/>
  <c r="CO105" i="8"/>
  <c r="CS105" i="8" s="1"/>
  <c r="CO104" i="8"/>
  <c r="CS104" i="8" s="1"/>
  <c r="AO105" i="5"/>
  <c r="AV106" i="5"/>
  <c r="BP109" i="5" a="1"/>
  <c r="BP109" i="5" s="1"/>
  <c r="J109" i="2" s="1"/>
  <c r="A106" i="10"/>
  <c r="AA106" i="10" s="1"/>
  <c r="AG105" i="7"/>
  <c r="AI105" i="7" s="1"/>
  <c r="AG104" i="7"/>
  <c r="AI104" i="7" s="1"/>
  <c r="O114" i="1"/>
  <c r="CE104" i="8"/>
  <c r="CV104" i="8" s="1"/>
  <c r="CW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B106" i="8" s="1"/>
  <c r="BH106" i="8"/>
  <c r="BU106" i="8" s="1"/>
  <c r="DF106" i="8"/>
  <c r="DG106" i="8" s="1"/>
  <c r="B106" i="9"/>
  <c r="X106" i="9" s="1"/>
  <c r="BT106" i="5"/>
  <c r="AJ106" i="5"/>
  <c r="AP106" i="5" s="1"/>
  <c r="A106" i="11"/>
  <c r="AA105" i="11" s="1"/>
  <c r="AK105" i="1" s="1"/>
  <c r="AI106" i="5"/>
  <c r="BW106" i="8"/>
  <c r="CC106" i="8" s="1"/>
  <c r="CT106" i="8" s="1"/>
  <c r="CU106" i="8" s="1"/>
  <c r="B104" i="14"/>
  <c r="Y104" i="11"/>
  <c r="AH104" i="1" s="1"/>
  <c r="CI105" i="8"/>
  <c r="CY105" i="8" s="1"/>
  <c r="Q105" i="7"/>
  <c r="B105" i="14"/>
  <c r="CP104" i="8"/>
  <c r="N105" i="7"/>
  <c r="CA105" i="8"/>
  <c r="N105" i="11"/>
  <c r="AC104" i="11"/>
  <c r="U104" i="8" s="1"/>
  <c r="BZ105" i="8"/>
  <c r="CH105" i="8"/>
  <c r="CX105" i="8" s="1"/>
  <c r="CB105" i="8"/>
  <c r="CR105" i="8" s="1"/>
  <c r="CC105" i="8"/>
  <c r="CT105" i="8" s="1"/>
  <c r="CU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Q103" i="8"/>
  <c r="AG117" i="9"/>
  <c r="CZ108" i="5"/>
  <c r="AB108" i="1"/>
  <c r="DI108" i="5"/>
  <c r="C108" i="5"/>
  <c r="AC107" i="1"/>
  <c r="DA107" i="5"/>
  <c r="DG107" i="5" s="1" a="1"/>
  <c r="DG107" i="5" s="1"/>
  <c r="AF117" i="9"/>
  <c r="AJ117" i="9"/>
  <c r="N93" i="1"/>
  <c r="S110" i="2"/>
  <c r="N111" i="2"/>
  <c r="R111" i="2"/>
  <c r="Q110" i="2"/>
  <c r="J112" i="10"/>
  <c r="N112" i="5" s="1"/>
  <c r="P112" i="2"/>
  <c r="AH129" i="9" l="1"/>
  <c r="AO129" i="8" s="1"/>
  <c r="G112" i="8"/>
  <c r="CF111" i="8"/>
  <c r="O111" i="2"/>
  <c r="BK111" i="5" a="1"/>
  <c r="BK111" i="5" s="1"/>
  <c r="BB111" i="5" a="1"/>
  <c r="BB111" i="5" s="1"/>
  <c r="BA111" i="5" a="1"/>
  <c r="BA111" i="5" s="1"/>
  <c r="AL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Q104" i="8"/>
  <c r="F114" i="8"/>
  <c r="AO106" i="5"/>
  <c r="AV107" i="5"/>
  <c r="BP110" i="5" a="1"/>
  <c r="BP110" i="5" s="1"/>
  <c r="J110" i="2" s="1"/>
  <c r="BI107" i="8"/>
  <c r="AG106" i="7"/>
  <c r="AI106" i="7" s="1"/>
  <c r="O115" i="1"/>
  <c r="CE105" i="8"/>
  <c r="CV105" i="8" s="1"/>
  <c r="CW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CC107" i="8" s="1"/>
  <c r="CT107" i="8" s="1"/>
  <c r="CU107" i="8" s="1"/>
  <c r="N106" i="7"/>
  <c r="CH106" i="8"/>
  <c r="CX106" i="8" s="1"/>
  <c r="B106" i="14"/>
  <c r="CA106" i="8"/>
  <c r="Q106" i="7"/>
  <c r="CB106" i="8"/>
  <c r="CR106" i="8" s="1"/>
  <c r="BZ106" i="8"/>
  <c r="BY106" i="8"/>
  <c r="AC105" i="11"/>
  <c r="U105" i="8" s="1"/>
  <c r="D107" i="9"/>
  <c r="CI106" i="8"/>
  <c r="CY106" i="8" s="1"/>
  <c r="N106" i="11"/>
  <c r="AB105" i="11"/>
  <c r="Q105" i="8" s="1"/>
  <c r="Y105" i="11"/>
  <c r="AH105" i="1" s="1"/>
  <c r="Z105" i="11"/>
  <c r="AD105" i="11"/>
  <c r="AI105" i="1" s="1"/>
  <c r="CZ105" i="8"/>
  <c r="AR105" i="5"/>
  <c r="B107" i="9"/>
  <c r="X107" i="9" s="1"/>
  <c r="CP105" i="8"/>
  <c r="CQ105" i="8" s="1"/>
  <c r="AI107" i="5"/>
  <c r="BT107" i="5"/>
  <c r="X107" i="8"/>
  <c r="DB107" i="8" s="1"/>
  <c r="B107" i="7"/>
  <c r="AE107" i="7" s="1"/>
  <c r="AF107" i="7" s="1"/>
  <c r="BH107" i="8"/>
  <c r="BU107" i="8" s="1"/>
  <c r="AJ107" i="5"/>
  <c r="AP107" i="5" s="1"/>
  <c r="A107" i="10"/>
  <c r="AA107" i="10" s="1"/>
  <c r="DF107" i="8"/>
  <c r="DG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G118" i="9"/>
  <c r="CZ109" i="5"/>
  <c r="AC108" i="1"/>
  <c r="DA108" i="5"/>
  <c r="DG108" i="5" s="1" a="1"/>
  <c r="DG108" i="5" s="1"/>
  <c r="AB109" i="1"/>
  <c r="DI109" i="5"/>
  <c r="AF118" i="9"/>
  <c r="AJ118" i="9"/>
  <c r="N94" i="1"/>
  <c r="S111" i="2"/>
  <c r="N112" i="2"/>
  <c r="R112" i="2"/>
  <c r="Q111" i="2"/>
  <c r="P113" i="2"/>
  <c r="J113" i="10"/>
  <c r="N113" i="5" s="1"/>
  <c r="AH130" i="9" l="1"/>
  <c r="AO130" i="8" s="1"/>
  <c r="G113" i="8"/>
  <c r="CF112" i="8"/>
  <c r="O112" i="2"/>
  <c r="AL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O106" i="8"/>
  <c r="CS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R107" i="8" s="1"/>
  <c r="BY107" i="8"/>
  <c r="CA107" i="8"/>
  <c r="BZ107" i="8"/>
  <c r="CH107" i="8"/>
  <c r="CX107" i="8" s="1"/>
  <c r="CZ106" i="8"/>
  <c r="CP106" i="8"/>
  <c r="AQ106" i="5"/>
  <c r="Z106" i="11"/>
  <c r="Q107" i="7"/>
  <c r="BT108" i="5"/>
  <c r="B108" i="7"/>
  <c r="AE108" i="7" s="1"/>
  <c r="AF108" i="7" s="1"/>
  <c r="A108" i="10"/>
  <c r="AA108" i="10" s="1"/>
  <c r="CI107" i="8"/>
  <c r="CY107" i="8" s="1"/>
  <c r="D108" i="9"/>
  <c r="A108" i="11"/>
  <c r="N108" i="11" s="1"/>
  <c r="AA106" i="11"/>
  <c r="AK106" i="1" s="1"/>
  <c r="AB106" i="11"/>
  <c r="Q106" i="8" s="1"/>
  <c r="AC106" i="11"/>
  <c r="U106" i="8" s="1"/>
  <c r="Y106" i="11"/>
  <c r="AH106" i="1" s="1"/>
  <c r="B107" i="14"/>
  <c r="N107" i="11"/>
  <c r="DF108" i="8"/>
  <c r="DG108" i="8" s="1"/>
  <c r="B108" i="9"/>
  <c r="X108" i="9" s="1"/>
  <c r="N107" i="7"/>
  <c r="E108" i="1"/>
  <c r="X108" i="8"/>
  <c r="DB108" i="8" s="1"/>
  <c r="BI108" i="8"/>
  <c r="AI108" i="5"/>
  <c r="BW108" i="8"/>
  <c r="BZ108" i="8" s="1"/>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G119" i="9"/>
  <c r="CZ110" i="5"/>
  <c r="C109" i="5"/>
  <c r="F109" i="5" s="1"/>
  <c r="AW109" i="5" s="1"/>
  <c r="AB110" i="1"/>
  <c r="DI110" i="5"/>
  <c r="AC109" i="1"/>
  <c r="DA109" i="5"/>
  <c r="DG109" i="5" s="1" a="1"/>
  <c r="DG109" i="5" s="1"/>
  <c r="AF119" i="9"/>
  <c r="AJ119" i="9"/>
  <c r="N95" i="1"/>
  <c r="S112" i="2"/>
  <c r="N113" i="2"/>
  <c r="R113" i="2"/>
  <c r="Q112" i="2"/>
  <c r="J114" i="10"/>
  <c r="N114" i="5" s="1"/>
  <c r="P114" i="2"/>
  <c r="AH131" i="9" l="1"/>
  <c r="AO131" i="8" s="1"/>
  <c r="G114" i="8"/>
  <c r="CF113" i="8"/>
  <c r="O113" i="2"/>
  <c r="AL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Q106" i="8"/>
  <c r="V111" i="2"/>
  <c r="CV106" i="8"/>
  <c r="CW106" i="8" s="1"/>
  <c r="CO107" i="8"/>
  <c r="CS107" i="8" s="1"/>
  <c r="F116" i="8"/>
  <c r="AO108" i="5"/>
  <c r="AV109" i="5"/>
  <c r="BP112" i="5" a="1"/>
  <c r="BP112" i="5" s="1"/>
  <c r="J112" i="2" s="1"/>
  <c r="AG108" i="7"/>
  <c r="AI108" i="7" s="1"/>
  <c r="O117" i="1"/>
  <c r="CE107" i="8"/>
  <c r="CV107" i="8" s="1"/>
  <c r="CW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P107" i="8"/>
  <c r="CZ107" i="8"/>
  <c r="AQ107" i="5"/>
  <c r="AR107" i="5"/>
  <c r="AA107" i="11"/>
  <c r="AK107" i="1" s="1"/>
  <c r="AB107" i="11"/>
  <c r="Q107" i="8" s="1"/>
  <c r="B108" i="14"/>
  <c r="Q108" i="7"/>
  <c r="AC107" i="11"/>
  <c r="U107" i="8" s="1"/>
  <c r="BY108" i="8"/>
  <c r="Y107" i="11"/>
  <c r="AH107" i="1" s="1"/>
  <c r="CI108" i="8"/>
  <c r="CY108" i="8" s="1"/>
  <c r="AD107" i="11"/>
  <c r="AI107" i="1" s="1"/>
  <c r="Z107" i="11"/>
  <c r="CC108" i="8"/>
  <c r="CT108" i="8" s="1"/>
  <c r="CU108" i="8" s="1"/>
  <c r="CH108" i="8"/>
  <c r="CX108" i="8" s="1"/>
  <c r="CA108" i="8"/>
  <c r="CP108" i="8" s="1"/>
  <c r="CB108" i="8"/>
  <c r="CR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F109" i="8"/>
  <c r="DG109" i="8" s="1"/>
  <c r="CK109" i="8"/>
  <c r="BW109" i="8"/>
  <c r="BH109" i="8"/>
  <c r="BU109" i="8" s="1"/>
  <c r="BI109" i="8"/>
  <c r="AG120" i="9"/>
  <c r="CZ111" i="5"/>
  <c r="BT109" i="5"/>
  <c r="A109" i="10"/>
  <c r="AA109" i="10" s="1"/>
  <c r="B109" i="7"/>
  <c r="AJ109" i="5"/>
  <c r="AP109" i="5" s="1"/>
  <c r="X109" i="8"/>
  <c r="DB109" i="8" s="1"/>
  <c r="E109" i="1"/>
  <c r="AI109" i="5"/>
  <c r="B109" i="9"/>
  <c r="X109" i="9" s="1"/>
  <c r="A109" i="11"/>
  <c r="AC109" i="8"/>
  <c r="BQ109" i="8" s="1"/>
  <c r="C110" i="5"/>
  <c r="F110" i="5" s="1"/>
  <c r="AW110" i="5" s="1"/>
  <c r="AC110" i="1"/>
  <c r="DA110" i="5"/>
  <c r="DG110" i="5" s="1" a="1"/>
  <c r="DG110" i="5" s="1"/>
  <c r="AB111" i="1"/>
  <c r="DI111" i="5"/>
  <c r="AF120" i="9"/>
  <c r="AJ120" i="9"/>
  <c r="N96" i="1"/>
  <c r="S113" i="2"/>
  <c r="N114" i="2"/>
  <c r="R114" i="2"/>
  <c r="Q113" i="2"/>
  <c r="J115" i="10"/>
  <c r="N115" i="5" s="1"/>
  <c r="P115" i="2"/>
  <c r="AH132" i="9" l="1"/>
  <c r="AO132" i="8" s="1"/>
  <c r="G115" i="8"/>
  <c r="CF114" i="8"/>
  <c r="O114" i="2"/>
  <c r="AL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Q107" i="8"/>
  <c r="CO108" i="8"/>
  <c r="CS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Z108" i="8"/>
  <c r="AQ108" i="5"/>
  <c r="CE108" i="8"/>
  <c r="CV108" i="8" s="1"/>
  <c r="CW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F110" i="8"/>
  <c r="DG110" i="8" s="1"/>
  <c r="CK110" i="8"/>
  <c r="BW110" i="8"/>
  <c r="N109" i="7"/>
  <c r="BH110" i="8"/>
  <c r="BU110" i="8" s="1"/>
  <c r="BI110" i="8"/>
  <c r="AG121" i="9"/>
  <c r="AC110" i="8"/>
  <c r="BQ110" i="8" s="1"/>
  <c r="BT110" i="5"/>
  <c r="A110" i="10"/>
  <c r="AA110" i="10" s="1"/>
  <c r="B110" i="7"/>
  <c r="X110" i="8"/>
  <c r="DB110" i="8" s="1"/>
  <c r="E110" i="1"/>
  <c r="AJ110" i="5"/>
  <c r="AP110" i="5" s="1"/>
  <c r="AI110" i="5"/>
  <c r="B110" i="9"/>
  <c r="X110" i="9" s="1"/>
  <c r="A110" i="11"/>
  <c r="CZ112" i="5"/>
  <c r="N109" i="11"/>
  <c r="AC108" i="11"/>
  <c r="U108" i="8" s="1"/>
  <c r="Z108" i="11"/>
  <c r="AB108" i="11"/>
  <c r="Q108" i="8" s="1"/>
  <c r="AD108" i="11"/>
  <c r="AI108" i="1" s="1"/>
  <c r="AA108" i="11"/>
  <c r="AK108" i="1" s="1"/>
  <c r="Y108" i="11"/>
  <c r="AH108" i="1" s="1"/>
  <c r="CI109" i="8"/>
  <c r="CY109" i="8" s="1"/>
  <c r="AE109" i="7"/>
  <c r="AF109" i="7" s="1"/>
  <c r="Q109" i="7"/>
  <c r="C111" i="5"/>
  <c r="F111" i="5" s="1"/>
  <c r="AW111" i="5" s="1"/>
  <c r="CA109" i="8"/>
  <c r="CC109" i="8"/>
  <c r="CT109" i="8" s="1"/>
  <c r="CU109" i="8" s="1"/>
  <c r="CH109" i="8"/>
  <c r="CX109" i="8" s="1"/>
  <c r="BY109" i="8"/>
  <c r="CB109" i="8"/>
  <c r="CR109" i="8" s="1"/>
  <c r="BZ109" i="8"/>
  <c r="AB112" i="1"/>
  <c r="DI112" i="5"/>
  <c r="C112" i="5"/>
  <c r="AC111" i="1"/>
  <c r="DA111" i="5"/>
  <c r="DG111" i="5" s="1" a="1"/>
  <c r="DG111" i="5" s="1"/>
  <c r="AF121" i="9"/>
  <c r="AJ121" i="9"/>
  <c r="N97" i="1"/>
  <c r="S114" i="2"/>
  <c r="N115" i="2"/>
  <c r="R115" i="2"/>
  <c r="Q114" i="2"/>
  <c r="P116" i="2"/>
  <c r="J116" i="10"/>
  <c r="N116" i="5" s="1"/>
  <c r="AH133" i="9" l="1"/>
  <c r="AO133" i="8" s="1"/>
  <c r="G116" i="8"/>
  <c r="CF115" i="8"/>
  <c r="O115" i="2"/>
  <c r="AL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Q108" i="8"/>
  <c r="F118" i="8"/>
  <c r="AO110" i="5"/>
  <c r="AV111" i="5"/>
  <c r="BP114" i="5" a="1"/>
  <c r="BP114" i="5" s="1"/>
  <c r="J114" i="2" s="1"/>
  <c r="AG109" i="7"/>
  <c r="AI109" i="7" s="1"/>
  <c r="O119" i="1"/>
  <c r="CE109" i="8"/>
  <c r="CV109" i="8" s="1"/>
  <c r="CW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O109" i="8"/>
  <c r="CS109" i="8" s="1"/>
  <c r="D111" i="9"/>
  <c r="DF111" i="8"/>
  <c r="DG111" i="8" s="1"/>
  <c r="CK111" i="8"/>
  <c r="BW111" i="8"/>
  <c r="BX110" i="8"/>
  <c r="CE110" i="8" s="1"/>
  <c r="N110" i="7"/>
  <c r="BH111" i="8"/>
  <c r="BU111" i="8" s="1"/>
  <c r="BI111" i="8"/>
  <c r="AG122" i="9"/>
  <c r="AQ109" i="5"/>
  <c r="AR109" i="5"/>
  <c r="CP109" i="8"/>
  <c r="CZ109" i="8"/>
  <c r="AB109" i="11"/>
  <c r="Q109" i="8" s="1"/>
  <c r="Y109" i="11"/>
  <c r="AH109" i="1" s="1"/>
  <c r="N110" i="11"/>
  <c r="AA109" i="11"/>
  <c r="AK109" i="1" s="1"/>
  <c r="AD109" i="11"/>
  <c r="AI109" i="1" s="1"/>
  <c r="Z109" i="11"/>
  <c r="AC109" i="11"/>
  <c r="U109" i="8" s="1"/>
  <c r="B109" i="14"/>
  <c r="CI110" i="8"/>
  <c r="CY110" i="8" s="1"/>
  <c r="Q110" i="7"/>
  <c r="AE110" i="7"/>
  <c r="AF110" i="7" s="1"/>
  <c r="CZ113" i="5"/>
  <c r="AJ111" i="5"/>
  <c r="AP111" i="5" s="1"/>
  <c r="X111" i="8"/>
  <c r="DB111" i="8" s="1"/>
  <c r="E111" i="1"/>
  <c r="B111" i="9"/>
  <c r="X111" i="9" s="1"/>
  <c r="AI111" i="5"/>
  <c r="A111" i="11"/>
  <c r="AC111" i="8"/>
  <c r="BQ111" i="8" s="1"/>
  <c r="BT111" i="5"/>
  <c r="A111" i="10"/>
  <c r="AA111" i="10" s="1"/>
  <c r="B111" i="7"/>
  <c r="CC110" i="8"/>
  <c r="CT110" i="8" s="1"/>
  <c r="CU110" i="8" s="1"/>
  <c r="CA110" i="8"/>
  <c r="CB110" i="8"/>
  <c r="CR110" i="8" s="1"/>
  <c r="CH110" i="8"/>
  <c r="CX110" i="8" s="1"/>
  <c r="BY110" i="8"/>
  <c r="BZ110" i="8"/>
  <c r="AC112" i="1"/>
  <c r="DA112" i="5"/>
  <c r="DG112" i="5" s="1" a="1"/>
  <c r="DG112" i="5" s="1"/>
  <c r="AB113" i="1"/>
  <c r="DI113" i="5"/>
  <c r="AF122" i="9"/>
  <c r="AJ122" i="9"/>
  <c r="N98" i="1"/>
  <c r="S115" i="2"/>
  <c r="N116" i="2"/>
  <c r="R116" i="2"/>
  <c r="Q115" i="2"/>
  <c r="P117" i="2"/>
  <c r="J117" i="10"/>
  <c r="N117" i="5" s="1"/>
  <c r="AH134" i="9" l="1"/>
  <c r="AO134" i="8" s="1"/>
  <c r="G117" i="8"/>
  <c r="CF116" i="8"/>
  <c r="O116" i="2"/>
  <c r="BF116" i="5" a="1"/>
  <c r="BF116" i="5" s="1"/>
  <c r="AE115" i="1" s="1"/>
  <c r="AL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CB112" i="8" s="1"/>
  <c r="CR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Q109" i="8"/>
  <c r="E112" i="1"/>
  <c r="B112" i="7"/>
  <c r="AE112" i="7" s="1"/>
  <c r="AF112" i="7" s="1"/>
  <c r="X112" i="8"/>
  <c r="DB112" i="8" s="1"/>
  <c r="BH112" i="8"/>
  <c r="BU112" i="8" s="1"/>
  <c r="A112" i="10"/>
  <c r="AA112" i="10" s="1"/>
  <c r="DF112" i="8"/>
  <c r="DG112" i="8" s="1"/>
  <c r="B112" i="9"/>
  <c r="X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O110" i="8"/>
  <c r="CS110" i="8" s="1"/>
  <c r="D112" i="9"/>
  <c r="CD110" i="8"/>
  <c r="N111" i="7"/>
  <c r="AG123" i="9"/>
  <c r="CP110" i="8"/>
  <c r="C113" i="5"/>
  <c r="F113" i="5" s="1"/>
  <c r="AW113" i="5" s="1"/>
  <c r="AQ110" i="5"/>
  <c r="AA110" i="11"/>
  <c r="AK110" i="1" s="1"/>
  <c r="Z110" i="11"/>
  <c r="AC110" i="11"/>
  <c r="U110" i="8" s="1"/>
  <c r="AD110" i="11"/>
  <c r="AI110" i="1" s="1"/>
  <c r="Y110" i="11"/>
  <c r="AH110" i="1" s="1"/>
  <c r="N111" i="11"/>
  <c r="AB110" i="11"/>
  <c r="Q110" i="8" s="1"/>
  <c r="CI111" i="8"/>
  <c r="CY111" i="8" s="1"/>
  <c r="Q111" i="7"/>
  <c r="AE111" i="7"/>
  <c r="AF111" i="7" s="1"/>
  <c r="BY111" i="8"/>
  <c r="BZ111" i="8"/>
  <c r="CH111" i="8"/>
  <c r="CX111" i="8" s="1"/>
  <c r="CC111" i="8"/>
  <c r="CT111" i="8" s="1"/>
  <c r="CU111" i="8" s="1"/>
  <c r="CA111" i="8"/>
  <c r="CB111" i="8"/>
  <c r="CR111" i="8" s="1"/>
  <c r="CZ114" i="5"/>
  <c r="CZ110" i="8"/>
  <c r="AR110" i="5"/>
  <c r="B110" i="14"/>
  <c r="AB114" i="1"/>
  <c r="DI114" i="5"/>
  <c r="AC113" i="1"/>
  <c r="DA113" i="5"/>
  <c r="DG113" i="5" s="1" a="1"/>
  <c r="DG113" i="5" s="1"/>
  <c r="AF123" i="9"/>
  <c r="AJ123" i="9"/>
  <c r="N99" i="1"/>
  <c r="S116" i="2"/>
  <c r="N117" i="2"/>
  <c r="R117" i="2"/>
  <c r="Q116" i="2"/>
  <c r="J118" i="10"/>
  <c r="N118" i="5" s="1"/>
  <c r="P118" i="2"/>
  <c r="AH135" i="9" l="1"/>
  <c r="AO135" i="8" s="1"/>
  <c r="BI117" i="5" a="1"/>
  <c r="BI117" i="5" s="1"/>
  <c r="G118" i="8"/>
  <c r="CF117" i="8"/>
  <c r="O117" i="2"/>
  <c r="BB117" i="5" a="1"/>
  <c r="BB117" i="5" s="1"/>
  <c r="BH117" i="5" a="1"/>
  <c r="BH117" i="5" s="1"/>
  <c r="BO117" i="5" a="1"/>
  <c r="BO117" i="5" s="1"/>
  <c r="BJ117" i="5" a="1"/>
  <c r="BJ117" i="5" s="1"/>
  <c r="AL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V110" i="8"/>
  <c r="CW110" i="8" s="1"/>
  <c r="F120" i="8"/>
  <c r="AO112" i="5"/>
  <c r="AV113" i="5"/>
  <c r="BP116" i="5" a="1"/>
  <c r="BP116" i="5" s="1"/>
  <c r="J116" i="2" s="1"/>
  <c r="AG112" i="7"/>
  <c r="AI112" i="7" s="1"/>
  <c r="AG111" i="7"/>
  <c r="AI111" i="7" s="1"/>
  <c r="O121" i="1"/>
  <c r="CE111" i="8"/>
  <c r="CV111" i="8" s="1"/>
  <c r="CW111" i="8" s="1"/>
  <c r="BX112" i="8"/>
  <c r="CE112" i="8" s="1"/>
  <c r="BT112" i="8"/>
  <c r="BO112" i="8"/>
  <c r="BP112" i="8"/>
  <c r="BM112" i="8"/>
  <c r="BN112" i="8"/>
  <c r="BK112" i="8"/>
  <c r="BL112" i="8"/>
  <c r="BJ112" i="8"/>
  <c r="AC112" i="10"/>
  <c r="X112" i="10" s="1"/>
  <c r="AM112" i="5"/>
  <c r="AN112" i="5"/>
  <c r="AS116" i="5"/>
  <c r="CC112" i="8"/>
  <c r="CT112" i="8" s="1"/>
  <c r="CU112" i="8" s="1"/>
  <c r="CH112" i="8"/>
  <c r="CX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CY112" i="8" s="1"/>
  <c r="AC111" i="11"/>
  <c r="U111" i="8" s="1"/>
  <c r="B112" i="14"/>
  <c r="N112" i="7"/>
  <c r="D113" i="9"/>
  <c r="Q112" i="7"/>
  <c r="CQ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O111" i="8"/>
  <c r="CS111" i="8" s="1"/>
  <c r="DF113" i="8"/>
  <c r="DG113" i="8" s="1"/>
  <c r="CK113" i="8"/>
  <c r="BW113" i="8"/>
  <c r="BI113" i="8"/>
  <c r="AC113" i="8"/>
  <c r="BQ113" i="8" s="1"/>
  <c r="BH113" i="8"/>
  <c r="BU113" i="8" s="1"/>
  <c r="AG124" i="9"/>
  <c r="B113" i="9"/>
  <c r="X113" i="9" s="1"/>
  <c r="AQ111" i="5"/>
  <c r="A113" i="10"/>
  <c r="AA113" i="10" s="1"/>
  <c r="BT113" i="5"/>
  <c r="A113" i="11"/>
  <c r="AI113" i="5"/>
  <c r="B113" i="7"/>
  <c r="AJ113" i="5"/>
  <c r="AP113" i="5" s="1"/>
  <c r="AR111" i="5"/>
  <c r="X113" i="8"/>
  <c r="DB113" i="8" s="1"/>
  <c r="E113" i="1"/>
  <c r="CZ111" i="8"/>
  <c r="C114" i="5"/>
  <c r="F114" i="5" s="1"/>
  <c r="AW114" i="5" s="1"/>
  <c r="CZ115" i="5"/>
  <c r="CP111" i="8"/>
  <c r="B111" i="14"/>
  <c r="C115" i="5"/>
  <c r="AC114" i="1"/>
  <c r="DA114" i="5"/>
  <c r="DG114" i="5" s="1" a="1"/>
  <c r="DG114" i="5" s="1"/>
  <c r="AB115" i="1"/>
  <c r="DI115" i="5"/>
  <c r="AF124" i="9"/>
  <c r="AJ124" i="9"/>
  <c r="N100" i="1"/>
  <c r="S117" i="2"/>
  <c r="N118" i="2"/>
  <c r="R118" i="2"/>
  <c r="Q117" i="2"/>
  <c r="P119" i="2"/>
  <c r="J119" i="10"/>
  <c r="N119" i="5" s="1"/>
  <c r="AH136" i="9" l="1"/>
  <c r="AO136" i="8" s="1"/>
  <c r="G119" i="8"/>
  <c r="CF118" i="8"/>
  <c r="O118" i="2"/>
  <c r="AL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O112" i="8"/>
  <c r="CS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P112" i="8"/>
  <c r="CZ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Q111" i="8"/>
  <c r="D114" i="9"/>
  <c r="DF114" i="8"/>
  <c r="DG114" i="8" s="1"/>
  <c r="CK114" i="8"/>
  <c r="BW114" i="8"/>
  <c r="BI114" i="8"/>
  <c r="N113" i="7"/>
  <c r="B114" i="9"/>
  <c r="X114" i="9" s="1"/>
  <c r="BH114" i="8"/>
  <c r="BU114" i="8" s="1"/>
  <c r="AG125" i="9"/>
  <c r="CI113" i="8"/>
  <c r="CY113" i="8" s="1"/>
  <c r="CC113" i="8"/>
  <c r="CT113" i="8" s="1"/>
  <c r="CU113" i="8" s="1"/>
  <c r="CH113" i="8"/>
  <c r="CX113" i="8" s="1"/>
  <c r="CA113" i="8"/>
  <c r="CB113" i="8"/>
  <c r="CR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B114" i="8" s="1"/>
  <c r="A114" i="11"/>
  <c r="CZ116" i="5"/>
  <c r="AB116" i="1"/>
  <c r="DI116" i="5"/>
  <c r="C116" i="5"/>
  <c r="AC115" i="1"/>
  <c r="DA115" i="5"/>
  <c r="DG115" i="5" s="1" a="1"/>
  <c r="DG115" i="5" s="1"/>
  <c r="AF125" i="9"/>
  <c r="AJ125" i="9"/>
  <c r="N101" i="1"/>
  <c r="S118" i="2"/>
  <c r="N119" i="2"/>
  <c r="R119" i="2"/>
  <c r="Q118" i="2"/>
  <c r="J120" i="10"/>
  <c r="N120" i="5" s="1"/>
  <c r="P120" i="2"/>
  <c r="G120" i="8" l="1"/>
  <c r="CF119" i="8"/>
  <c r="O119" i="2"/>
  <c r="BJ119" i="5" a="1"/>
  <c r="BJ119" i="5" s="1"/>
  <c r="AL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Q112" i="8"/>
  <c r="CV112" i="8"/>
  <c r="CW112" i="8" s="1"/>
  <c r="F122" i="8"/>
  <c r="AO114" i="5"/>
  <c r="AV115" i="5"/>
  <c r="BP118" i="5" a="1"/>
  <c r="BP118" i="5" s="1"/>
  <c r="J118" i="2" s="1"/>
  <c r="BH115" i="8"/>
  <c r="BU115" i="8" s="1"/>
  <c r="AG113" i="7"/>
  <c r="AI113" i="7" s="1"/>
  <c r="O123" i="1"/>
  <c r="CE113" i="8"/>
  <c r="CV113" i="8" s="1"/>
  <c r="CW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CC115" i="8" s="1"/>
  <c r="CT115" i="8" s="1"/>
  <c r="CU115" i="8" s="1"/>
  <c r="AJ115" i="5"/>
  <c r="AP115" i="5" s="1"/>
  <c r="CK115" i="8"/>
  <c r="E115" i="1"/>
  <c r="A115" i="10"/>
  <c r="AA115" i="10" s="1"/>
  <c r="AC115" i="8"/>
  <c r="BQ115" i="8" s="1"/>
  <c r="BT115" i="5"/>
  <c r="DF115" i="8"/>
  <c r="DG115" i="8" s="1"/>
  <c r="B115" i="9"/>
  <c r="X115" i="9" s="1"/>
  <c r="BI115" i="8"/>
  <c r="X115" i="8"/>
  <c r="DB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O113" i="8"/>
  <c r="CS113" i="8" s="1"/>
  <c r="D115" i="9"/>
  <c r="BX114" i="8"/>
  <c r="CD114" i="8" s="1"/>
  <c r="N114" i="7"/>
  <c r="AG126" i="9"/>
  <c r="AR113" i="5"/>
  <c r="AQ113" i="5"/>
  <c r="CZ113" i="8"/>
  <c r="CP113" i="8"/>
  <c r="CI114" i="8"/>
  <c r="CY114" i="8" s="1"/>
  <c r="B113" i="14"/>
  <c r="CH114" i="8"/>
  <c r="CX114" i="8" s="1"/>
  <c r="BZ114" i="8"/>
  <c r="CA114" i="8"/>
  <c r="CB114" i="8"/>
  <c r="CR114" i="8" s="1"/>
  <c r="BY114" i="8"/>
  <c r="CC114" i="8"/>
  <c r="CT114" i="8" s="1"/>
  <c r="CU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P121" i="2"/>
  <c r="J121" i="10"/>
  <c r="N121" i="5" s="1"/>
  <c r="G121" i="8" l="1"/>
  <c r="CF120" i="8"/>
  <c r="O120" i="2"/>
  <c r="BI120" i="5" a="1"/>
  <c r="BI120" i="5" s="1"/>
  <c r="BB120" i="5" a="1"/>
  <c r="BB120" i="5" s="1"/>
  <c r="AL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X115" i="8" s="1"/>
  <c r="CI115" i="8"/>
  <c r="CY115" i="8" s="1"/>
  <c r="CB115" i="8"/>
  <c r="CR115" i="8" s="1"/>
  <c r="CA115" i="8"/>
  <c r="BZ115" i="8"/>
  <c r="DF116" i="8"/>
  <c r="DG116" i="8" s="1"/>
  <c r="X116" i="8"/>
  <c r="DB116" i="8" s="1"/>
  <c r="BH116" i="8"/>
  <c r="BU116" i="8" s="1"/>
  <c r="BW116" i="8"/>
  <c r="CC116" i="8" s="1"/>
  <c r="CT116" i="8" s="1"/>
  <c r="CU116" i="8" s="1"/>
  <c r="B116" i="7"/>
  <c r="AE116" i="7" s="1"/>
  <c r="AF116" i="7" s="1"/>
  <c r="AI116" i="5"/>
  <c r="BT116" i="5"/>
  <c r="B116" i="9"/>
  <c r="X116" i="9" s="1"/>
  <c r="AC116" i="8"/>
  <c r="BQ116" i="8" s="1"/>
  <c r="AJ116" i="5"/>
  <c r="AP116" i="5" s="1"/>
  <c r="F117" i="5"/>
  <c r="AW117" i="5" s="1"/>
  <c r="B118" i="5"/>
  <c r="CQ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O114" i="8"/>
  <c r="CS114" i="8" s="1"/>
  <c r="CE114" i="8"/>
  <c r="CV114" i="8" s="1"/>
  <c r="CW114" i="8" s="1"/>
  <c r="AG127" i="9"/>
  <c r="CZ114" i="8"/>
  <c r="AR114" i="5"/>
  <c r="AQ114" i="5"/>
  <c r="CP114" i="8"/>
  <c r="B114" i="14"/>
  <c r="CZ118" i="5"/>
  <c r="AB118" i="1"/>
  <c r="DI118" i="5"/>
  <c r="AC117" i="1"/>
  <c r="DA117" i="5"/>
  <c r="DG117" i="5" s="1" a="1"/>
  <c r="DG117" i="5" s="1"/>
  <c r="AF127" i="9"/>
  <c r="AJ127" i="9"/>
  <c r="N103" i="1"/>
  <c r="S120" i="2"/>
  <c r="N121" i="2"/>
  <c r="R121" i="2"/>
  <c r="Q120" i="2"/>
  <c r="J122" i="10"/>
  <c r="N122" i="5" s="1"/>
  <c r="P122" i="2"/>
  <c r="G122" i="8" l="1"/>
  <c r="CF121" i="8"/>
  <c r="O121" i="2"/>
  <c r="AL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V115" i="8" s="1"/>
  <c r="CW115" i="8" s="1"/>
  <c r="V119" i="2"/>
  <c r="CO115" i="8"/>
  <c r="CS115" i="8" s="1"/>
  <c r="F124" i="8"/>
  <c r="AO116" i="5"/>
  <c r="AV117" i="5"/>
  <c r="BP120" i="5" a="1"/>
  <c r="BP120" i="5" s="1"/>
  <c r="J120" i="2" s="1"/>
  <c r="DF117" i="8"/>
  <c r="DG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P115" i="8"/>
  <c r="AC117" i="8"/>
  <c r="BQ117" i="8" s="1"/>
  <c r="CZ115" i="8"/>
  <c r="CI116" i="8"/>
  <c r="CY116" i="8" s="1"/>
  <c r="N116" i="7"/>
  <c r="AR115" i="5"/>
  <c r="B117" i="9"/>
  <c r="X117" i="9" s="1"/>
  <c r="AI117" i="5"/>
  <c r="X117" i="8"/>
  <c r="DB117" i="8" s="1"/>
  <c r="E117" i="1"/>
  <c r="B117" i="7"/>
  <c r="AE117" i="7" s="1"/>
  <c r="AF117" i="7" s="1"/>
  <c r="A117" i="10"/>
  <c r="AA117" i="10" s="1"/>
  <c r="CQ114" i="8"/>
  <c r="D117" i="9"/>
  <c r="B116" i="14"/>
  <c r="Q116" i="7"/>
  <c r="CB116" i="8"/>
  <c r="CR116" i="8" s="1"/>
  <c r="BW117" i="8"/>
  <c r="BY117" i="8" s="1"/>
  <c r="BI117" i="8"/>
  <c r="AJ117" i="5"/>
  <c r="AP117" i="5" s="1"/>
  <c r="A117" i="11"/>
  <c r="Z116" i="11" s="1"/>
  <c r="CK117" i="8"/>
  <c r="BY116" i="8"/>
  <c r="CA116" i="8"/>
  <c r="BZ116" i="8"/>
  <c r="CH116" i="8"/>
  <c r="CX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G128" i="9"/>
  <c r="CZ119" i="5"/>
  <c r="C118" i="5"/>
  <c r="F118" i="5" s="1"/>
  <c r="AW118" i="5" s="1"/>
  <c r="C119" i="5"/>
  <c r="AC118" i="1"/>
  <c r="DA118" i="5"/>
  <c r="DG118" i="5" s="1" a="1"/>
  <c r="DG118" i="5" s="1"/>
  <c r="AB119" i="1"/>
  <c r="DI119" i="5"/>
  <c r="AF128" i="9"/>
  <c r="AJ128" i="9"/>
  <c r="N104" i="1"/>
  <c r="S121" i="2"/>
  <c r="N122" i="2"/>
  <c r="R122" i="2"/>
  <c r="Q121" i="2"/>
  <c r="J123" i="10"/>
  <c r="N123" i="5" s="1"/>
  <c r="P123" i="2"/>
  <c r="AD120" i="1" l="1"/>
  <c r="G123" i="8"/>
  <c r="CF122" i="8"/>
  <c r="O122" i="2"/>
  <c r="AL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Q115" i="8"/>
  <c r="CI117" i="8"/>
  <c r="CY117" i="8" s="1"/>
  <c r="CO117" i="8"/>
  <c r="CS117" i="8" s="1"/>
  <c r="CO116" i="8"/>
  <c r="CS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CZ116" i="8"/>
  <c r="CA117" i="8"/>
  <c r="N117" i="7"/>
  <c r="AQ116" i="5"/>
  <c r="Q117" i="7"/>
  <c r="B117" i="14"/>
  <c r="BZ117" i="8"/>
  <c r="CC117" i="8"/>
  <c r="CT117" i="8" s="1"/>
  <c r="CU117" i="8" s="1"/>
  <c r="CB117" i="8"/>
  <c r="CR117" i="8" s="1"/>
  <c r="AR116" i="5"/>
  <c r="AB116" i="11"/>
  <c r="Q116" i="8" s="1"/>
  <c r="Y116" i="11"/>
  <c r="AH116" i="1" s="1"/>
  <c r="AD116" i="11"/>
  <c r="AI116" i="1" s="1"/>
  <c r="AC116" i="11"/>
  <c r="U116" i="8" s="1"/>
  <c r="CH117" i="8"/>
  <c r="CX117" i="8" s="1"/>
  <c r="AA116" i="11"/>
  <c r="AK116" i="1" s="1"/>
  <c r="N117" i="11"/>
  <c r="F119" i="5"/>
  <c r="AW119" i="5" s="1"/>
  <c r="CP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F118" i="8"/>
  <c r="DG118" i="8" s="1"/>
  <c r="CK118" i="8"/>
  <c r="BW118" i="8"/>
  <c r="BH118" i="8"/>
  <c r="BU118" i="8" s="1"/>
  <c r="BI118" i="8"/>
  <c r="AG129" i="9"/>
  <c r="A118" i="10"/>
  <c r="AA118" i="10" s="1"/>
  <c r="B118" i="7"/>
  <c r="X118" i="8"/>
  <c r="DB118" i="8" s="1"/>
  <c r="E118" i="1"/>
  <c r="AJ118" i="5"/>
  <c r="AP118" i="5" s="1"/>
  <c r="B118" i="9"/>
  <c r="X118" i="9" s="1"/>
  <c r="AI118" i="5"/>
  <c r="A118" i="11"/>
  <c r="AC118" i="8"/>
  <c r="BQ118" i="8" s="1"/>
  <c r="BT118" i="5"/>
  <c r="CZ120" i="5"/>
  <c r="AB120" i="1"/>
  <c r="DI120" i="5"/>
  <c r="AC119" i="1"/>
  <c r="DA119" i="5"/>
  <c r="DG119" i="5" s="1" a="1"/>
  <c r="DG119" i="5" s="1"/>
  <c r="AF129" i="9"/>
  <c r="AJ129" i="9"/>
  <c r="N105" i="1"/>
  <c r="S122" i="2"/>
  <c r="N123" i="2"/>
  <c r="R123" i="2"/>
  <c r="Q122" i="2"/>
  <c r="P124" i="2"/>
  <c r="J124" i="10"/>
  <c r="N124" i="5" s="1"/>
  <c r="G124" i="8" l="1"/>
  <c r="CF123" i="8"/>
  <c r="O123" i="2"/>
  <c r="BH123" i="5" a="1"/>
  <c r="BH123" i="5" s="1"/>
  <c r="AL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Z117" i="8"/>
  <c r="CQ116" i="8"/>
  <c r="CV116" i="8"/>
  <c r="CW116" i="8" s="1"/>
  <c r="F126" i="8"/>
  <c r="AO118" i="5"/>
  <c r="AV119" i="5"/>
  <c r="BP122" i="5" a="1"/>
  <c r="BP122" i="5" s="1"/>
  <c r="J122" i="2" s="1"/>
  <c r="O127" i="1"/>
  <c r="CE117" i="8"/>
  <c r="CV117" i="8" s="1"/>
  <c r="CW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P117" i="8"/>
  <c r="CQ117" i="8" s="1"/>
  <c r="AQ117" i="5"/>
  <c r="AR117" i="5"/>
  <c r="BI119" i="8"/>
  <c r="A119" i="10"/>
  <c r="AA119" i="10" s="1"/>
  <c r="A119" i="11"/>
  <c r="N119" i="11" s="1"/>
  <c r="E119" i="1"/>
  <c r="AI119" i="5"/>
  <c r="B119" i="9"/>
  <c r="X119" i="9" s="1"/>
  <c r="BW119" i="8"/>
  <c r="CB119" i="8" s="1"/>
  <c r="CR119" i="8" s="1"/>
  <c r="B119" i="7"/>
  <c r="AE119" i="7" s="1"/>
  <c r="AF119" i="7" s="1"/>
  <c r="AJ119" i="5"/>
  <c r="AP119" i="5" s="1"/>
  <c r="AC119" i="8"/>
  <c r="BQ119" i="8" s="1"/>
  <c r="BH119" i="8"/>
  <c r="BU119" i="8" s="1"/>
  <c r="DF119" i="8"/>
  <c r="DG119" i="8" s="1"/>
  <c r="X119" i="8"/>
  <c r="DB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G130" i="9"/>
  <c r="C120" i="5"/>
  <c r="F120" i="5" s="1"/>
  <c r="AW120" i="5" s="1"/>
  <c r="AC117" i="11"/>
  <c r="U117" i="8" s="1"/>
  <c r="AB117" i="11"/>
  <c r="Q117" i="8" s="1"/>
  <c r="AD117" i="11"/>
  <c r="AI117" i="1" s="1"/>
  <c r="AA117" i="11"/>
  <c r="AK117" i="1" s="1"/>
  <c r="N118" i="11"/>
  <c r="Z117" i="11"/>
  <c r="Y117" i="11"/>
  <c r="AH117" i="1" s="1"/>
  <c r="CI118" i="8"/>
  <c r="CY118" i="8" s="1"/>
  <c r="AE118" i="7"/>
  <c r="AF118" i="7" s="1"/>
  <c r="Q118" i="7"/>
  <c r="CZ121" i="5"/>
  <c r="BY118" i="8"/>
  <c r="BZ118" i="8"/>
  <c r="CH118" i="8"/>
  <c r="CX118" i="8" s="1"/>
  <c r="CC118" i="8"/>
  <c r="CT118" i="8" s="1"/>
  <c r="CU118" i="8" s="1"/>
  <c r="CA118" i="8"/>
  <c r="CB118" i="8"/>
  <c r="CR118" i="8" s="1"/>
  <c r="AC120" i="1"/>
  <c r="DA120" i="5"/>
  <c r="DG120" i="5" s="1" a="1"/>
  <c r="DG120" i="5" s="1"/>
  <c r="AB121" i="1"/>
  <c r="DI121" i="5"/>
  <c r="AF130" i="9"/>
  <c r="AJ130" i="9"/>
  <c r="N106" i="1"/>
  <c r="S123" i="2"/>
  <c r="N124" i="2"/>
  <c r="R124" i="2"/>
  <c r="Q123" i="2"/>
  <c r="J125" i="10"/>
  <c r="N125" i="5" s="1"/>
  <c r="P125" i="2"/>
  <c r="G125" i="8" l="1"/>
  <c r="CF124" i="8"/>
  <c r="O124" i="2"/>
  <c r="BI124" i="5" a="1"/>
  <c r="BI124" i="5" s="1"/>
  <c r="BG124" i="5" a="1"/>
  <c r="BG124" i="5" s="1"/>
  <c r="BK124" i="5" a="1"/>
  <c r="BK124" i="5" s="1"/>
  <c r="BC124" i="5" a="1"/>
  <c r="BC124" i="5" s="1"/>
  <c r="BO124" i="5" a="1"/>
  <c r="BO124" i="5" s="1"/>
  <c r="BD124" i="5" a="1"/>
  <c r="BD124" i="5" s="1"/>
  <c r="BF124" i="5" a="1"/>
  <c r="BF124" i="5" s="1"/>
  <c r="AE123" i="1" s="1"/>
  <c r="AL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T119" i="8" s="1"/>
  <c r="CU119" i="8" s="1"/>
  <c r="BZ119" i="8"/>
  <c r="CH119" i="8"/>
  <c r="CX119" i="8" s="1"/>
  <c r="CI119" i="8"/>
  <c r="CY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O118" i="8"/>
  <c r="CS118" i="8" s="1"/>
  <c r="DF120" i="8"/>
  <c r="DG120" i="8" s="1"/>
  <c r="CK120" i="8"/>
  <c r="BW120" i="8"/>
  <c r="BI120" i="8"/>
  <c r="B120" i="7"/>
  <c r="AE120" i="7" s="1"/>
  <c r="AF120" i="7" s="1"/>
  <c r="BH120" i="8"/>
  <c r="AG131" i="9"/>
  <c r="CZ118" i="8"/>
  <c r="A120" i="11"/>
  <c r="AC119" i="11" s="1"/>
  <c r="U119" i="8" s="1"/>
  <c r="B120" i="9"/>
  <c r="X120" i="9" s="1"/>
  <c r="E120" i="1"/>
  <c r="AC120" i="8"/>
  <c r="BQ120" i="8" s="1"/>
  <c r="AJ120" i="5"/>
  <c r="AP120" i="5" s="1"/>
  <c r="BT120" i="5"/>
  <c r="X120" i="8"/>
  <c r="DB120" i="8" s="1"/>
  <c r="AI120" i="5"/>
  <c r="A120" i="10"/>
  <c r="AA120" i="10" s="1"/>
  <c r="AR118" i="5"/>
  <c r="C121" i="5"/>
  <c r="F121" i="5" s="1"/>
  <c r="AW121" i="5" s="1"/>
  <c r="CP118" i="8"/>
  <c r="AQ118" i="5"/>
  <c r="B118" i="14"/>
  <c r="CZ122" i="5"/>
  <c r="AB122" i="1"/>
  <c r="DI122" i="5"/>
  <c r="AC121" i="1"/>
  <c r="DA121" i="5"/>
  <c r="DG121" i="5" s="1" a="1"/>
  <c r="DG121" i="5" s="1"/>
  <c r="AF131" i="9"/>
  <c r="AJ131" i="9"/>
  <c r="N107" i="1"/>
  <c r="S124" i="2"/>
  <c r="N125" i="2"/>
  <c r="R125" i="2"/>
  <c r="Q124" i="2"/>
  <c r="P126" i="2"/>
  <c r="J126" i="10"/>
  <c r="N126" i="5" s="1"/>
  <c r="G126" i="8" l="1"/>
  <c r="CF125" i="8"/>
  <c r="O125" i="2"/>
  <c r="AZ125" i="5" a="1"/>
  <c r="AZ125" i="5" s="1"/>
  <c r="BM125" i="5" a="1"/>
  <c r="BM125" i="5" s="1"/>
  <c r="AL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V118" i="8"/>
  <c r="CW118" i="8" s="1"/>
  <c r="CO119" i="8"/>
  <c r="CS119" i="8" s="1"/>
  <c r="F128" i="8"/>
  <c r="AO120" i="5"/>
  <c r="AV121" i="5"/>
  <c r="BP124" i="5" a="1"/>
  <c r="BP124" i="5" s="1"/>
  <c r="J124" i="2" s="1"/>
  <c r="AG120" i="7"/>
  <c r="AI120" i="7" s="1"/>
  <c r="O129" i="1"/>
  <c r="AK124" i="11"/>
  <c r="CE119" i="8"/>
  <c r="CV119" i="8" s="1"/>
  <c r="CW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Q118" i="8"/>
  <c r="CP119" i="8"/>
  <c r="AQ119" i="5"/>
  <c r="AR119" i="5"/>
  <c r="CZ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F121" i="8"/>
  <c r="DG121" i="8" s="1"/>
  <c r="Q120" i="7"/>
  <c r="CK121" i="8"/>
  <c r="BW121" i="8"/>
  <c r="BI121" i="8"/>
  <c r="N120" i="7"/>
  <c r="B121" i="7"/>
  <c r="AE121" i="7" s="1"/>
  <c r="AF121" i="7" s="1"/>
  <c r="BH121" i="8"/>
  <c r="BU121" i="8" s="1"/>
  <c r="AG132" i="9"/>
  <c r="B120" i="14"/>
  <c r="AD119" i="11"/>
  <c r="AI119" i="1" s="1"/>
  <c r="AB119" i="11"/>
  <c r="Q119" i="8" s="1"/>
  <c r="Z119" i="11"/>
  <c r="AA119" i="11"/>
  <c r="AK119" i="1" s="1"/>
  <c r="Y119" i="11"/>
  <c r="AH119" i="1" s="1"/>
  <c r="N120" i="11"/>
  <c r="AI121" i="5"/>
  <c r="CI120" i="8"/>
  <c r="CY120" i="8" s="1"/>
  <c r="X121" i="8"/>
  <c r="DB121" i="8" s="1"/>
  <c r="A121" i="10"/>
  <c r="AA121" i="10" s="1"/>
  <c r="CB120" i="8"/>
  <c r="CR120" i="8" s="1"/>
  <c r="BY120" i="8"/>
  <c r="CA120" i="8"/>
  <c r="BZ120" i="8"/>
  <c r="CC120" i="8"/>
  <c r="CT120" i="8" s="1"/>
  <c r="CU120" i="8" s="1"/>
  <c r="CH120" i="8"/>
  <c r="CX120" i="8" s="1"/>
  <c r="B121" i="9"/>
  <c r="X121" i="9" s="1"/>
  <c r="AC121" i="8"/>
  <c r="BQ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P127" i="2"/>
  <c r="J127" i="10"/>
  <c r="N127" i="5" s="1"/>
  <c r="G127" i="8" l="1"/>
  <c r="CF126" i="8"/>
  <c r="O126" i="2"/>
  <c r="AL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Q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O120" i="8"/>
  <c r="CS120" i="8" s="1"/>
  <c r="D122" i="9"/>
  <c r="CE120" i="8"/>
  <c r="CV120" i="8" s="1"/>
  <c r="CW120" i="8" s="1"/>
  <c r="DF122" i="8"/>
  <c r="DG122" i="8" s="1"/>
  <c r="Q121" i="7"/>
  <c r="CK122" i="8"/>
  <c r="BW122" i="8"/>
  <c r="CH122" i="8" s="1"/>
  <c r="CX122" i="8" s="1"/>
  <c r="BI122" i="8"/>
  <c r="N121" i="7"/>
  <c r="BT122" i="5"/>
  <c r="BH122" i="8"/>
  <c r="BU122" i="8" s="1"/>
  <c r="AG133" i="9"/>
  <c r="B121" i="14"/>
  <c r="AR120" i="5"/>
  <c r="A122" i="10"/>
  <c r="AA122" i="10" s="1"/>
  <c r="CZ120" i="8"/>
  <c r="E122" i="1"/>
  <c r="CP120" i="8"/>
  <c r="AI122" i="5"/>
  <c r="B122" i="9"/>
  <c r="X122" i="9" s="1"/>
  <c r="AC122" i="8"/>
  <c r="BQ122" i="8" s="1"/>
  <c r="AJ122" i="5"/>
  <c r="AP122" i="5" s="1"/>
  <c r="A122" i="11"/>
  <c r="X122" i="8"/>
  <c r="DB122" i="8" s="1"/>
  <c r="B122" i="7"/>
  <c r="AQ120" i="5"/>
  <c r="CI121" i="8"/>
  <c r="CY121" i="8" s="1"/>
  <c r="CH121" i="8"/>
  <c r="CX121" i="8" s="1"/>
  <c r="CA121" i="8"/>
  <c r="CB121" i="8"/>
  <c r="CR121" i="8" s="1"/>
  <c r="BY121" i="8"/>
  <c r="CC121" i="8"/>
  <c r="CT121" i="8" s="1"/>
  <c r="CU121" i="8" s="1"/>
  <c r="BZ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P128" i="2"/>
  <c r="G128" i="8" l="1"/>
  <c r="CF127" i="8"/>
  <c r="O127" i="2"/>
  <c r="AZ127" i="5" a="1"/>
  <c r="AZ127" i="5" s="1"/>
  <c r="AL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Q120" i="8"/>
  <c r="CO121" i="8"/>
  <c r="CS121" i="8" s="1"/>
  <c r="D123" i="9"/>
  <c r="DF123" i="8"/>
  <c r="DG123" i="8" s="1"/>
  <c r="CK123" i="8"/>
  <c r="BW123" i="8"/>
  <c r="BX122" i="8"/>
  <c r="CE122" i="8" s="1"/>
  <c r="N122" i="7"/>
  <c r="BH123" i="8"/>
  <c r="BU123" i="8" s="1"/>
  <c r="BI123" i="8"/>
  <c r="AG134" i="9"/>
  <c r="AQ121" i="5"/>
  <c r="AR121" i="5"/>
  <c r="BZ122" i="8"/>
  <c r="BY122" i="8"/>
  <c r="CC122" i="8"/>
  <c r="CT122" i="8" s="1"/>
  <c r="CU122" i="8" s="1"/>
  <c r="CB122" i="8"/>
  <c r="CR122" i="8" s="1"/>
  <c r="CA122" i="8"/>
  <c r="CI122" i="8"/>
  <c r="CY122" i="8" s="1"/>
  <c r="CZ122" i="8" s="1"/>
  <c r="AB121" i="11"/>
  <c r="Q121" i="8" s="1"/>
  <c r="N122" i="11"/>
  <c r="AC121" i="11"/>
  <c r="U121" i="8" s="1"/>
  <c r="AA121" i="11"/>
  <c r="AK121" i="1" s="1"/>
  <c r="Z121" i="11"/>
  <c r="Y121" i="11"/>
  <c r="AH121" i="1" s="1"/>
  <c r="AD121" i="11"/>
  <c r="AI121" i="1" s="1"/>
  <c r="AE122" i="7"/>
  <c r="AF122" i="7" s="1"/>
  <c r="Q122" i="7"/>
  <c r="CZ121" i="8"/>
  <c r="CP121" i="8"/>
  <c r="A123" i="11"/>
  <c r="AC123" i="8"/>
  <c r="BQ123" i="8" s="1"/>
  <c r="BT123" i="5"/>
  <c r="A123" i="10"/>
  <c r="AA123" i="10" s="1"/>
  <c r="B123" i="7"/>
  <c r="AJ123" i="5"/>
  <c r="AP123" i="5" s="1"/>
  <c r="E123" i="1"/>
  <c r="AI123" i="5"/>
  <c r="B123" i="9"/>
  <c r="X123" i="9" s="1"/>
  <c r="X123" i="8"/>
  <c r="DB123" i="8" s="1"/>
  <c r="CZ125" i="5"/>
  <c r="AC124" i="1"/>
  <c r="DA124" i="5"/>
  <c r="DG124" i="5" s="1" a="1"/>
  <c r="DG124" i="5" s="1"/>
  <c r="AB125" i="1"/>
  <c r="DI125" i="5"/>
  <c r="AF134" i="9"/>
  <c r="AJ134" i="9"/>
  <c r="N110" i="1"/>
  <c r="S127" i="2"/>
  <c r="N128" i="2"/>
  <c r="R128" i="2"/>
  <c r="Q127" i="2"/>
  <c r="P129" i="2"/>
  <c r="J129" i="10"/>
  <c r="N129" i="5" s="1"/>
  <c r="G129" i="8" l="1"/>
  <c r="CF128" i="8"/>
  <c r="O128" i="2"/>
  <c r="AL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V121" i="8"/>
  <c r="CW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BZ124" i="8" s="1"/>
  <c r="A124" i="11"/>
  <c r="N124" i="11" s="1"/>
  <c r="DF124" i="8"/>
  <c r="DG124" i="8" s="1"/>
  <c r="AI124" i="5"/>
  <c r="BI124" i="8"/>
  <c r="CK124" i="8"/>
  <c r="B124" i="9"/>
  <c r="X124" i="9" s="1"/>
  <c r="BH124" i="8"/>
  <c r="BU124" i="8" s="1"/>
  <c r="X124" i="8"/>
  <c r="DB124" i="8" s="1"/>
  <c r="AJ124" i="5"/>
  <c r="AP124" i="5" s="1"/>
  <c r="A124" i="10"/>
  <c r="AA124" i="10" s="1"/>
  <c r="CQ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O122" i="8"/>
  <c r="CS122" i="8" s="1"/>
  <c r="D124" i="9"/>
  <c r="AR122" i="5"/>
  <c r="CD122" i="8"/>
  <c r="N123" i="7"/>
  <c r="AG135" i="9"/>
  <c r="AQ122" i="5"/>
  <c r="CP122" i="8"/>
  <c r="B122" i="14"/>
  <c r="C125" i="5"/>
  <c r="F125" i="5" s="1"/>
  <c r="AW125" i="5" s="1"/>
  <c r="Q123" i="7"/>
  <c r="AE123" i="7"/>
  <c r="AF123" i="7" s="1"/>
  <c r="CZ126" i="5"/>
  <c r="Y122" i="11"/>
  <c r="AH122" i="1" s="1"/>
  <c r="AC122" i="11"/>
  <c r="U122" i="8" s="1"/>
  <c r="N123" i="11"/>
  <c r="Z122" i="11"/>
  <c r="AD122" i="11"/>
  <c r="AI122" i="1" s="1"/>
  <c r="AB122" i="11"/>
  <c r="Q122" i="8" s="1"/>
  <c r="AA122" i="11"/>
  <c r="AK122" i="1" s="1"/>
  <c r="CI123" i="8"/>
  <c r="CY123" i="8" s="1"/>
  <c r="CC123" i="8"/>
  <c r="CT123" i="8" s="1"/>
  <c r="CU123" i="8" s="1"/>
  <c r="CH123" i="8"/>
  <c r="CX123" i="8" s="1"/>
  <c r="CA123" i="8"/>
  <c r="CB123" i="8"/>
  <c r="CR123" i="8" s="1"/>
  <c r="BY123" i="8"/>
  <c r="BZ123" i="8"/>
  <c r="AB126" i="1"/>
  <c r="DI126" i="5"/>
  <c r="AC125" i="1"/>
  <c r="DA125" i="5"/>
  <c r="DG125" i="5" s="1" a="1"/>
  <c r="DG125" i="5" s="1"/>
  <c r="AF135" i="9"/>
  <c r="AJ135" i="9"/>
  <c r="N111" i="1"/>
  <c r="S128" i="2"/>
  <c r="N129" i="2"/>
  <c r="R129" i="2"/>
  <c r="Q128" i="2"/>
  <c r="J130" i="10"/>
  <c r="N130" i="5" s="1"/>
  <c r="P130" i="2"/>
  <c r="G130" i="8" l="1"/>
  <c r="CF129" i="8"/>
  <c r="O129" i="2"/>
  <c r="BN129" i="5" a="1"/>
  <c r="BN129" i="5" s="1"/>
  <c r="BB129" i="5" a="1"/>
  <c r="BB129" i="5" s="1"/>
  <c r="BI129" i="5" a="1"/>
  <c r="BI129" i="5" s="1"/>
  <c r="AL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V122" i="8"/>
  <c r="CW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P124" i="8" s="1"/>
  <c r="CI124" i="8"/>
  <c r="CY124" i="8" s="1"/>
  <c r="CC124" i="8"/>
  <c r="CT124" i="8" s="1"/>
  <c r="CU124" i="8" s="1"/>
  <c r="CH124" i="8"/>
  <c r="CX124" i="8" s="1"/>
  <c r="CB124" i="8"/>
  <c r="CR124" i="8" s="1"/>
  <c r="BY124" i="8"/>
  <c r="BX124" i="8"/>
  <c r="CE124" i="8" s="1"/>
  <c r="D125" i="9"/>
  <c r="CQ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O123" i="8"/>
  <c r="CS123" i="8" s="1"/>
  <c r="DF125" i="8"/>
  <c r="DG125" i="8" s="1"/>
  <c r="CK125" i="8"/>
  <c r="BW125" i="8"/>
  <c r="BI125" i="8"/>
  <c r="AI125" i="5"/>
  <c r="BH125" i="8"/>
  <c r="BU125" i="8" s="1"/>
  <c r="AG136" i="9"/>
  <c r="AC125" i="8"/>
  <c r="BQ125" i="8" s="1"/>
  <c r="B125" i="9"/>
  <c r="X125" i="9" s="1"/>
  <c r="E125" i="1"/>
  <c r="AJ125" i="5"/>
  <c r="AP125" i="5" s="1"/>
  <c r="B125" i="7"/>
  <c r="X125" i="8"/>
  <c r="DB125" i="8" s="1"/>
  <c r="BT125" i="5"/>
  <c r="AQ123" i="5"/>
  <c r="A125" i="11"/>
  <c r="A125" i="10"/>
  <c r="AA125" i="10" s="1"/>
  <c r="CZ123" i="8"/>
  <c r="CZ127" i="5"/>
  <c r="CP123" i="8"/>
  <c r="C126" i="5"/>
  <c r="F126" i="5" s="1"/>
  <c r="AW126" i="5" s="1"/>
  <c r="B123" i="14"/>
  <c r="AR123" i="5"/>
  <c r="AC126" i="1"/>
  <c r="DA126" i="5"/>
  <c r="DG126" i="5" s="1" a="1"/>
  <c r="DG126" i="5" s="1"/>
  <c r="AB127" i="1"/>
  <c r="DI127" i="5"/>
  <c r="AF136" i="9"/>
  <c r="AJ136" i="9"/>
  <c r="N112" i="1"/>
  <c r="S129" i="2"/>
  <c r="N130" i="2"/>
  <c r="R130" i="2"/>
  <c r="Q129" i="2"/>
  <c r="J131" i="10"/>
  <c r="N131" i="5" s="1"/>
  <c r="P131" i="2"/>
  <c r="G131" i="8" l="1"/>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V123" i="8"/>
  <c r="CW123" i="8" s="1"/>
  <c r="CO124" i="8"/>
  <c r="CS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CZ124" i="8"/>
  <c r="CQ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F126" i="8"/>
  <c r="DG126" i="8" s="1"/>
  <c r="CK126" i="8"/>
  <c r="BW126" i="8"/>
  <c r="N125" i="7"/>
  <c r="BH126" i="8"/>
  <c r="BU126" i="8" s="1"/>
  <c r="BI126" i="8"/>
  <c r="Q125" i="7"/>
  <c r="AE125" i="7"/>
  <c r="AF125" i="7" s="1"/>
  <c r="CI125" i="8"/>
  <c r="CY125" i="8" s="1"/>
  <c r="CH125" i="8"/>
  <c r="CX125" i="8" s="1"/>
  <c r="CA125" i="8"/>
  <c r="CB125" i="8"/>
  <c r="CR125" i="8" s="1"/>
  <c r="BY125" i="8"/>
  <c r="BZ125" i="8"/>
  <c r="CC125" i="8"/>
  <c r="CT125" i="8" s="1"/>
  <c r="CU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X126" i="9" s="1"/>
  <c r="X126" i="8"/>
  <c r="DB126" i="8" s="1"/>
  <c r="AJ126" i="5"/>
  <c r="AP126" i="5" s="1"/>
  <c r="AI126" i="5"/>
  <c r="C127" i="5"/>
  <c r="F127" i="5" s="1"/>
  <c r="AW127" i="5" s="1"/>
  <c r="CZ128" i="5"/>
  <c r="AB128" i="1"/>
  <c r="DI128" i="5"/>
  <c r="AC127" i="1"/>
  <c r="DA127" i="5"/>
  <c r="DG127" i="5" s="1" a="1"/>
  <c r="DG127" i="5" s="1"/>
  <c r="N113" i="1"/>
  <c r="S130" i="2"/>
  <c r="N131" i="2"/>
  <c r="R131" i="2"/>
  <c r="Q130" i="2"/>
  <c r="J132" i="10"/>
  <c r="N132" i="5" s="1"/>
  <c r="P132" i="2"/>
  <c r="G132" i="8" l="1"/>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Q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V124" i="8"/>
  <c r="CW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O125" i="8"/>
  <c r="CS125" i="8" s="1"/>
  <c r="D127" i="9"/>
  <c r="DF127" i="8"/>
  <c r="DG127" i="8" s="1"/>
  <c r="CK127" i="8"/>
  <c r="BW127" i="8"/>
  <c r="AQ125" i="5"/>
  <c r="BX126" i="8"/>
  <c r="CE126" i="8" s="1"/>
  <c r="AR125" i="5"/>
  <c r="N126" i="7"/>
  <c r="BH127" i="8"/>
  <c r="BU127" i="8" s="1"/>
  <c r="BI127" i="8"/>
  <c r="B125" i="14"/>
  <c r="CP125" i="8"/>
  <c r="CZ125" i="8"/>
  <c r="Q126" i="7"/>
  <c r="AE126" i="7"/>
  <c r="AF126" i="7" s="1"/>
  <c r="C128" i="5"/>
  <c r="F128" i="5" s="1"/>
  <c r="AW128" i="5" s="1"/>
  <c r="AC127" i="8"/>
  <c r="BQ127" i="8" s="1"/>
  <c r="BT127" i="5"/>
  <c r="A127" i="10"/>
  <c r="AA127" i="10" s="1"/>
  <c r="B127" i="7"/>
  <c r="X127" i="8"/>
  <c r="DB127" i="8" s="1"/>
  <c r="E127" i="1"/>
  <c r="AJ127" i="5"/>
  <c r="AP127" i="5" s="1"/>
  <c r="B127" i="9"/>
  <c r="X127" i="9" s="1"/>
  <c r="AI127" i="5"/>
  <c r="A127" i="11"/>
  <c r="CC126" i="8"/>
  <c r="CT126" i="8" s="1"/>
  <c r="CU126" i="8" s="1"/>
  <c r="CH126" i="8"/>
  <c r="CX126" i="8" s="1"/>
  <c r="CB126" i="8"/>
  <c r="CR126" i="8" s="1"/>
  <c r="CA126" i="8"/>
  <c r="BY126" i="8"/>
  <c r="BZ126" i="8"/>
  <c r="CZ129" i="5"/>
  <c r="N126" i="11"/>
  <c r="AB125" i="11"/>
  <c r="Q125" i="8" s="1"/>
  <c r="AA125" i="11"/>
  <c r="AK125" i="1" s="1"/>
  <c r="Y125" i="11"/>
  <c r="AH125" i="1" s="1"/>
  <c r="AD125" i="11"/>
  <c r="AI125" i="1" s="1"/>
  <c r="AC125" i="11"/>
  <c r="U125" i="8" s="1"/>
  <c r="Z125" i="11"/>
  <c r="CI126" i="8"/>
  <c r="CY126" i="8" s="1"/>
  <c r="AC128" i="1"/>
  <c r="DA128" i="5"/>
  <c r="DG128" i="5" s="1" a="1"/>
  <c r="DG128" i="5" s="1"/>
  <c r="AB129" i="1"/>
  <c r="DI129" i="5"/>
  <c r="N114" i="1"/>
  <c r="S131" i="2"/>
  <c r="N132" i="2"/>
  <c r="R132" i="2"/>
  <c r="Q131" i="2"/>
  <c r="P133" i="2"/>
  <c r="J133" i="10"/>
  <c r="N133" i="5" s="1"/>
  <c r="G133" i="8" l="1"/>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V125" i="8"/>
  <c r="CW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Q125" i="8"/>
  <c r="CO126" i="8"/>
  <c r="CS126" i="8" s="1"/>
  <c r="D128" i="9"/>
  <c r="CD126" i="8"/>
  <c r="DF128" i="8"/>
  <c r="DG128" i="8" s="1"/>
  <c r="CK128" i="8"/>
  <c r="BW128" i="8"/>
  <c r="N127" i="7"/>
  <c r="BH128" i="8"/>
  <c r="BU128" i="8" s="1"/>
  <c r="BI128" i="8"/>
  <c r="CP126" i="8"/>
  <c r="CZ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B128" i="8" s="1"/>
  <c r="E128" i="1"/>
  <c r="AJ128" i="5"/>
  <c r="AP128" i="5" s="1"/>
  <c r="B128" i="9"/>
  <c r="X128" i="9" s="1"/>
  <c r="CI127" i="8"/>
  <c r="CY127" i="8" s="1"/>
  <c r="B126" i="14"/>
  <c r="AQ126" i="5"/>
  <c r="BY127" i="8"/>
  <c r="BZ127" i="8"/>
  <c r="CA127" i="8"/>
  <c r="CC127" i="8"/>
  <c r="CT127" i="8" s="1"/>
  <c r="CU127" i="8" s="1"/>
  <c r="CH127" i="8"/>
  <c r="CX127" i="8" s="1"/>
  <c r="CB127" i="8"/>
  <c r="CR127" i="8" s="1"/>
  <c r="AE127" i="7"/>
  <c r="AF127" i="7" s="1"/>
  <c r="Q127" i="7"/>
  <c r="AR126" i="5"/>
  <c r="AB130" i="1"/>
  <c r="DI130" i="5"/>
  <c r="AC129" i="1"/>
  <c r="DA129" i="5"/>
  <c r="DG129" i="5" s="1" a="1"/>
  <c r="DG129" i="5" s="1"/>
  <c r="N115" i="1"/>
  <c r="S132" i="2"/>
  <c r="N133" i="2"/>
  <c r="R133" i="2"/>
  <c r="Q132" i="2"/>
  <c r="J134" i="10"/>
  <c r="N134" i="5" s="1"/>
  <c r="P134" i="2"/>
  <c r="G134" i="8" l="1"/>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V126" i="8"/>
  <c r="CW126" i="8" s="1"/>
  <c r="F136" i="8"/>
  <c r="AO128" i="5"/>
  <c r="AV129" i="5"/>
  <c r="BP132" i="5" a="1"/>
  <c r="BP132" i="5" s="1"/>
  <c r="J132" i="2" s="1"/>
  <c r="AG127" i="7"/>
  <c r="AI127" i="7" s="1"/>
  <c r="CE127" i="8"/>
  <c r="CV127" i="8" s="1"/>
  <c r="CW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Q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O127" i="8"/>
  <c r="CS127" i="8" s="1"/>
  <c r="D129" i="9"/>
  <c r="DF129" i="8"/>
  <c r="DG129" i="8" s="1"/>
  <c r="CK129" i="8"/>
  <c r="BW129" i="8"/>
  <c r="N128" i="7"/>
  <c r="BH129" i="8"/>
  <c r="BU129" i="8" s="1"/>
  <c r="BI129" i="8"/>
  <c r="CZ127" i="8"/>
  <c r="CP127" i="8"/>
  <c r="B127" i="14"/>
  <c r="CZ131" i="5"/>
  <c r="AB127" i="11"/>
  <c r="Q127" i="8" s="1"/>
  <c r="N128" i="11"/>
  <c r="AA127" i="11"/>
  <c r="AK127" i="1" s="1"/>
  <c r="Z127" i="11"/>
  <c r="AD127" i="11"/>
  <c r="AI127" i="1" s="1"/>
  <c r="AC127" i="11"/>
  <c r="U127" i="8" s="1"/>
  <c r="Y127" i="11"/>
  <c r="AH127" i="1" s="1"/>
  <c r="C130" i="5"/>
  <c r="F130" i="5" s="1"/>
  <c r="AW130" i="5" s="1"/>
  <c r="X129" i="8"/>
  <c r="DB129" i="8" s="1"/>
  <c r="B129" i="9"/>
  <c r="X129" i="9" s="1"/>
  <c r="A129" i="10"/>
  <c r="AA129" i="10" s="1"/>
  <c r="AJ129" i="5"/>
  <c r="AP129" i="5" s="1"/>
  <c r="AI129" i="5"/>
  <c r="A129" i="11"/>
  <c r="AC129" i="8"/>
  <c r="BQ129" i="8" s="1"/>
  <c r="BT129" i="5"/>
  <c r="B129" i="7"/>
  <c r="E129" i="1"/>
  <c r="CC128" i="8"/>
  <c r="CT128" i="8" s="1"/>
  <c r="CU128" i="8" s="1"/>
  <c r="CH128" i="8"/>
  <c r="CX128" i="8" s="1"/>
  <c r="CA128" i="8"/>
  <c r="CB128" i="8"/>
  <c r="CR128" i="8" s="1"/>
  <c r="BY128" i="8"/>
  <c r="BZ128" i="8"/>
  <c r="CI128" i="8"/>
  <c r="CY128" i="8" s="1"/>
  <c r="AQ127" i="5"/>
  <c r="Q128" i="7"/>
  <c r="AE128" i="7"/>
  <c r="AF128" i="7" s="1"/>
  <c r="AR127" i="5"/>
  <c r="AC130" i="1"/>
  <c r="DA130" i="5"/>
  <c r="DG130" i="5" s="1" a="1"/>
  <c r="DG130" i="5" s="1"/>
  <c r="AB131" i="1"/>
  <c r="DI131" i="5"/>
  <c r="N116" i="1"/>
  <c r="S133" i="2"/>
  <c r="N134" i="2"/>
  <c r="R134" i="2"/>
  <c r="Q133" i="2"/>
  <c r="P135" i="2"/>
  <c r="J135" i="10"/>
  <c r="N135" i="5" s="1"/>
  <c r="G135" i="8" l="1"/>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V128" i="8" s="1"/>
  <c r="CW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Q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O128" i="8"/>
  <c r="CS128" i="8" s="1"/>
  <c r="N136" i="2"/>
  <c r="D130" i="9"/>
  <c r="DF130" i="8"/>
  <c r="DG130" i="8" s="1"/>
  <c r="R136" i="2"/>
  <c r="CK130" i="8"/>
  <c r="BW130" i="8"/>
  <c r="N129" i="7"/>
  <c r="BH130" i="8"/>
  <c r="BU130" i="8" s="1"/>
  <c r="BI130" i="8"/>
  <c r="G132" i="5"/>
  <c r="X130" i="8"/>
  <c r="DB130" i="8" s="1"/>
  <c r="B130" i="9"/>
  <c r="X130" i="9" s="1"/>
  <c r="AJ130" i="5"/>
  <c r="AP130" i="5" s="1"/>
  <c r="AI130" i="5"/>
  <c r="BT130" i="5"/>
  <c r="A130" i="11"/>
  <c r="AC130" i="8"/>
  <c r="BQ130" i="8" s="1"/>
  <c r="B130" i="7"/>
  <c r="A130" i="10"/>
  <c r="AA130" i="10" s="1"/>
  <c r="E130" i="1"/>
  <c r="CZ128" i="8"/>
  <c r="AA128" i="11"/>
  <c r="AK128" i="1" s="1"/>
  <c r="AC128" i="11"/>
  <c r="U128" i="8" s="1"/>
  <c r="AB128" i="11"/>
  <c r="Q128" i="8" s="1"/>
  <c r="Y128" i="11"/>
  <c r="AH128" i="1" s="1"/>
  <c r="AD128" i="11"/>
  <c r="AI128" i="1" s="1"/>
  <c r="N129" i="11"/>
  <c r="Z128" i="11"/>
  <c r="CA129" i="8"/>
  <c r="CB129" i="8"/>
  <c r="CR129" i="8" s="1"/>
  <c r="BZ129" i="8"/>
  <c r="BY129" i="8"/>
  <c r="CH129" i="8"/>
  <c r="CX129" i="8" s="1"/>
  <c r="CC129" i="8"/>
  <c r="CT129" i="8" s="1"/>
  <c r="CU129" i="8" s="1"/>
  <c r="C131" i="5"/>
  <c r="F131" i="5" s="1"/>
  <c r="AW131" i="5" s="1"/>
  <c r="CI129" i="8"/>
  <c r="CY129" i="8" s="1"/>
  <c r="B128" i="14"/>
  <c r="AQ128" i="5"/>
  <c r="CP128" i="8"/>
  <c r="AE129" i="7"/>
  <c r="AF129" i="7" s="1"/>
  <c r="Q129" i="7"/>
  <c r="AR128" i="5"/>
  <c r="AB132" i="1"/>
  <c r="DI132" i="5"/>
  <c r="AC131" i="1"/>
  <c r="DA131" i="5"/>
  <c r="DG131" i="5" s="1" a="1"/>
  <c r="DG131" i="5" s="1"/>
  <c r="N117" i="1"/>
  <c r="S134" i="2"/>
  <c r="N135" i="2"/>
  <c r="R135" i="2"/>
  <c r="Q134" i="2"/>
  <c r="J136" i="10"/>
  <c r="N136" i="5" s="1"/>
  <c r="P136" i="2"/>
  <c r="G136" i="8" l="1"/>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Q128" i="8"/>
  <c r="CO129" i="8"/>
  <c r="CS129" i="8" s="1"/>
  <c r="D131" i="9"/>
  <c r="DF131" i="8"/>
  <c r="DG131" i="8" s="1"/>
  <c r="CK131" i="8"/>
  <c r="BW131" i="8"/>
  <c r="N130" i="7"/>
  <c r="BH131" i="8"/>
  <c r="BU131" i="8" s="1"/>
  <c r="BI131" i="8"/>
  <c r="CZ132" i="5"/>
  <c r="D132" i="7"/>
  <c r="B132" i="10"/>
  <c r="G133" i="5"/>
  <c r="B132" i="5"/>
  <c r="AR129" i="5"/>
  <c r="CP129" i="8"/>
  <c r="AQ129" i="5"/>
  <c r="CI130" i="8"/>
  <c r="CY130" i="8" s="1"/>
  <c r="B129" i="14"/>
  <c r="AE130" i="7"/>
  <c r="AF130" i="7" s="1"/>
  <c r="Q130" i="7"/>
  <c r="N130" i="11"/>
  <c r="AD129" i="11"/>
  <c r="AI129" i="1" s="1"/>
  <c r="Z129" i="11"/>
  <c r="AB129" i="11"/>
  <c r="Q129" i="8" s="1"/>
  <c r="AA129" i="11"/>
  <c r="AK129" i="1" s="1"/>
  <c r="AC129" i="11"/>
  <c r="U129" i="8" s="1"/>
  <c r="Y129" i="11"/>
  <c r="AH129" i="1" s="1"/>
  <c r="AC131" i="8"/>
  <c r="BQ131" i="8" s="1"/>
  <c r="B131" i="9"/>
  <c r="X131" i="9" s="1"/>
  <c r="E131" i="1"/>
  <c r="A131" i="10"/>
  <c r="AA131" i="10" s="1"/>
  <c r="BT131" i="5"/>
  <c r="AJ131" i="5"/>
  <c r="AP131" i="5" s="1"/>
  <c r="X131" i="8"/>
  <c r="DB131" i="8" s="1"/>
  <c r="B131" i="7"/>
  <c r="AI131" i="5"/>
  <c r="A131" i="11"/>
  <c r="C132" i="5"/>
  <c r="BZ130" i="8"/>
  <c r="CC130" i="8"/>
  <c r="CT130" i="8" s="1"/>
  <c r="CU130" i="8" s="1"/>
  <c r="CH130" i="8"/>
  <c r="CX130" i="8" s="1"/>
  <c r="CA130" i="8"/>
  <c r="BY130" i="8"/>
  <c r="CB130" i="8"/>
  <c r="CR130" i="8" s="1"/>
  <c r="CZ129" i="8"/>
  <c r="AC132" i="1"/>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V129" i="8"/>
  <c r="CW129" i="8" s="1"/>
  <c r="AO131" i="5"/>
  <c r="BP135" i="5" a="1"/>
  <c r="BP135" i="5" s="1"/>
  <c r="J135" i="2" s="1"/>
  <c r="AG130" i="7"/>
  <c r="AI130" i="7" s="1"/>
  <c r="DG132" i="5" a="1"/>
  <c r="DG132" i="5" s="1"/>
  <c r="CE130" i="8"/>
  <c r="CV130" i="8" s="1"/>
  <c r="CW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Q129" i="8"/>
  <c r="CO130" i="8"/>
  <c r="CS130" i="8" s="1"/>
  <c r="D132" i="9"/>
  <c r="BX131" i="8"/>
  <c r="CD131" i="8" s="1"/>
  <c r="N131" i="7"/>
  <c r="CZ133" i="5"/>
  <c r="F132" i="5"/>
  <c r="AW132" i="5" s="1"/>
  <c r="D133" i="7"/>
  <c r="B133" i="10"/>
  <c r="G134" i="5"/>
  <c r="B133" i="5"/>
  <c r="AQ130" i="5"/>
  <c r="CZ130" i="8"/>
  <c r="AR130" i="5"/>
  <c r="CP130" i="8"/>
  <c r="C133" i="5"/>
  <c r="AE131" i="7"/>
  <c r="AF131" i="7" s="1"/>
  <c r="Q131" i="7"/>
  <c r="B130" i="14"/>
  <c r="CH131" i="8"/>
  <c r="CX131" i="8" s="1"/>
  <c r="CA131" i="8"/>
  <c r="CB131" i="8"/>
  <c r="CR131" i="8" s="1"/>
  <c r="BY131" i="8"/>
  <c r="BZ131" i="8"/>
  <c r="CC131" i="8"/>
  <c r="CT131" i="8" s="1"/>
  <c r="CU131" i="8" s="1"/>
  <c r="AD130" i="11"/>
  <c r="AI130" i="1" s="1"/>
  <c r="AC130" i="11"/>
  <c r="U130" i="8" s="1"/>
  <c r="AB130" i="11"/>
  <c r="Q130" i="8" s="1"/>
  <c r="Y130" i="11"/>
  <c r="AH130" i="1" s="1"/>
  <c r="N131" i="11"/>
  <c r="Z130" i="11"/>
  <c r="AA130" i="11"/>
  <c r="AK130" i="1" s="1"/>
  <c r="CI131" i="8"/>
  <c r="CY131" i="8" s="1"/>
  <c r="AB134" i="1"/>
  <c r="DI134" i="5"/>
  <c r="AC133" i="1"/>
  <c r="DA133" i="5"/>
  <c r="N119" i="1"/>
  <c r="AD135" i="1" l="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Q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O131" i="8"/>
  <c r="CS131" i="8" s="1"/>
  <c r="DF132" i="8"/>
  <c r="DG132" i="8" s="1"/>
  <c r="CE131" i="8"/>
  <c r="CV131" i="8" s="1"/>
  <c r="CW131" i="8" s="1"/>
  <c r="CK132" i="8"/>
  <c r="BW132" i="8"/>
  <c r="CC132" i="8" s="1"/>
  <c r="CT132" i="8" s="1"/>
  <c r="CU132" i="8" s="1"/>
  <c r="BI132" i="8"/>
  <c r="BH132" i="8"/>
  <c r="BU132" i="8" s="1"/>
  <c r="B132" i="7"/>
  <c r="Q132" i="7" s="1"/>
  <c r="BT132" i="5"/>
  <c r="A132" i="11"/>
  <c r="AD131" i="11" s="1"/>
  <c r="AI131" i="1" s="1"/>
  <c r="AI132" i="5"/>
  <c r="X132" i="8"/>
  <c r="DB132" i="8" s="1"/>
  <c r="B132" i="9"/>
  <c r="X132" i="9" s="1"/>
  <c r="A132" i="10"/>
  <c r="AA132" i="10" s="1"/>
  <c r="AJ132" i="5"/>
  <c r="AP132" i="5" s="1"/>
  <c r="AC132" i="8"/>
  <c r="BQ132" i="8" s="1"/>
  <c r="E132" i="1"/>
  <c r="F133" i="5"/>
  <c r="AW133" i="5" s="1"/>
  <c r="D134" i="7"/>
  <c r="B134" i="10"/>
  <c r="G135" i="5"/>
  <c r="B134" i="5"/>
  <c r="CZ134" i="5"/>
  <c r="CP131" i="8"/>
  <c r="AQ131" i="5"/>
  <c r="AR131" i="5"/>
  <c r="C134" i="5"/>
  <c r="B131" i="14"/>
  <c r="CZ131" i="8"/>
  <c r="AC134" i="1"/>
  <c r="DA134" i="5"/>
  <c r="AB135" i="1"/>
  <c r="DI135" i="5"/>
  <c r="N120" i="1"/>
  <c r="W136" i="1"/>
  <c r="BR132" i="8" l="1"/>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Q131" i="8"/>
  <c r="B136" i="2"/>
  <c r="AH136" i="5"/>
  <c r="BU136" i="5"/>
  <c r="B136" i="1"/>
  <c r="BG136" i="1" s="1"/>
  <c r="I136" i="7"/>
  <c r="G136" i="10"/>
  <c r="H136" i="7"/>
  <c r="F136" i="10"/>
  <c r="DD136" i="5"/>
  <c r="F136" i="7"/>
  <c r="D136" i="10"/>
  <c r="H136" i="10"/>
  <c r="J136" i="7"/>
  <c r="C136" i="10"/>
  <c r="E136" i="7"/>
  <c r="E136" i="10"/>
  <c r="G136" i="7"/>
  <c r="D133" i="9"/>
  <c r="CI132" i="8"/>
  <c r="CY132" i="8" s="1"/>
  <c r="DF133" i="8"/>
  <c r="DG133" i="8" s="1"/>
  <c r="CK133" i="8"/>
  <c r="BW133" i="8"/>
  <c r="CC133" i="8" s="1"/>
  <c r="CT133" i="8" s="1"/>
  <c r="CU133" i="8" s="1"/>
  <c r="BI133" i="8"/>
  <c r="N132" i="7"/>
  <c r="BH133" i="8"/>
  <c r="BU133" i="8" s="1"/>
  <c r="CZ135" i="5"/>
  <c r="AA131" i="11"/>
  <c r="AK131" i="1" s="1"/>
  <c r="Y131" i="11"/>
  <c r="AH131" i="1" s="1"/>
  <c r="AC131" i="11"/>
  <c r="U131" i="8" s="1"/>
  <c r="Z131" i="11"/>
  <c r="N132" i="11"/>
  <c r="AB131" i="11"/>
  <c r="Q131" i="8" s="1"/>
  <c r="A133" i="11"/>
  <c r="N133" i="11" s="1"/>
  <c r="B133" i="9"/>
  <c r="X133" i="9" s="1"/>
  <c r="AI133" i="5"/>
  <c r="AJ133" i="5"/>
  <c r="AP133" i="5" s="1"/>
  <c r="AE132" i="7"/>
  <c r="AF132" i="7" s="1"/>
  <c r="BY132" i="8"/>
  <c r="BT133" i="5"/>
  <c r="E133" i="1"/>
  <c r="CB132" i="8"/>
  <c r="CR132" i="8" s="1"/>
  <c r="BZ132" i="8"/>
  <c r="CA132" i="8"/>
  <c r="CH132" i="8"/>
  <c r="CX132" i="8" s="1"/>
  <c r="X133" i="8"/>
  <c r="DB133" i="8" s="1"/>
  <c r="AC133" i="8"/>
  <c r="BQ133" i="8" s="1"/>
  <c r="A133" i="10"/>
  <c r="AA133" i="10" s="1"/>
  <c r="B133" i="7"/>
  <c r="AE133" i="7" s="1"/>
  <c r="AF133" i="7" s="1"/>
  <c r="F134" i="5"/>
  <c r="AW134" i="5" s="1"/>
  <c r="B135" i="10"/>
  <c r="D135" i="7"/>
  <c r="G136" i="5"/>
  <c r="B135" i="5"/>
  <c r="C135" i="5"/>
  <c r="AB136" i="1"/>
  <c r="DI136" i="5"/>
  <c r="AC135" i="1"/>
  <c r="DA135" i="5"/>
  <c r="N121" i="1"/>
  <c r="BR133" i="8" l="1"/>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O132" i="8"/>
  <c r="CS132" i="8" s="1"/>
  <c r="CZ132" i="8"/>
  <c r="CI133" i="8"/>
  <c r="CY133" i="8" s="1"/>
  <c r="D134" i="9"/>
  <c r="DF134" i="8"/>
  <c r="DG134" i="8" s="1"/>
  <c r="AR132" i="5"/>
  <c r="CK134" i="8"/>
  <c r="BW134" i="8"/>
  <c r="CC134" i="8" s="1"/>
  <c r="CT134" i="8" s="1"/>
  <c r="CU134" i="8" s="1"/>
  <c r="BI134" i="8"/>
  <c r="N133" i="7"/>
  <c r="A134" i="10"/>
  <c r="AA134" i="10" s="1"/>
  <c r="BH134" i="8"/>
  <c r="BU134" i="8" s="1"/>
  <c r="BY133" i="8"/>
  <c r="CH133" i="8"/>
  <c r="CX133" i="8" s="1"/>
  <c r="AQ132" i="5"/>
  <c r="CB133" i="8"/>
  <c r="CR133" i="8" s="1"/>
  <c r="CA133" i="8"/>
  <c r="BZ133" i="8"/>
  <c r="AA132" i="11"/>
  <c r="AK132" i="1" s="1"/>
  <c r="Z132" i="11"/>
  <c r="AD132" i="11"/>
  <c r="AI132" i="1" s="1"/>
  <c r="AC132" i="11"/>
  <c r="U132" i="8" s="1"/>
  <c r="Y132" i="11"/>
  <c r="AH132" i="1" s="1"/>
  <c r="AB132" i="11"/>
  <c r="Q132" i="8" s="1"/>
  <c r="A134" i="11"/>
  <c r="Y133" i="11" s="1"/>
  <c r="AH133" i="1" s="1"/>
  <c r="B132" i="14"/>
  <c r="E134" i="1"/>
  <c r="AJ134" i="5"/>
  <c r="AP134" i="5" s="1"/>
  <c r="CP132" i="8"/>
  <c r="AC134" i="8"/>
  <c r="BQ134" i="8" s="1"/>
  <c r="Q133" i="7"/>
  <c r="F135" i="5"/>
  <c r="AW135" i="5" s="1"/>
  <c r="AI134" i="5"/>
  <c r="BT134" i="5"/>
  <c r="B134" i="7"/>
  <c r="Q134" i="7" s="1"/>
  <c r="X134" i="8"/>
  <c r="DB134" i="8" s="1"/>
  <c r="B134" i="9"/>
  <c r="X134" i="9" s="1"/>
  <c r="B136" i="5"/>
  <c r="B136" i="10"/>
  <c r="D136" i="7"/>
  <c r="C136" i="5"/>
  <c r="B133" i="14"/>
  <c r="AC136" i="1"/>
  <c r="DA136" i="5"/>
  <c r="N122" i="1"/>
  <c r="DG136" i="5" l="1" a="1"/>
  <c r="DG136" i="5" s="1"/>
  <c r="BR134" i="8"/>
  <c r="BS134" i="8"/>
  <c r="CV132" i="8"/>
  <c r="CW132" i="8" s="1"/>
  <c r="AO134" i="5"/>
  <c r="AV135" i="5"/>
  <c r="AN134" i="5"/>
  <c r="CD133" i="8"/>
  <c r="BX134" i="8"/>
  <c r="CD134" i="8" s="1"/>
  <c r="BT134" i="8"/>
  <c r="BO134" i="8"/>
  <c r="BP134" i="8"/>
  <c r="BM134" i="8"/>
  <c r="BN134" i="8"/>
  <c r="BK134" i="8"/>
  <c r="BL134" i="8"/>
  <c r="BJ134" i="8"/>
  <c r="AC134" i="10"/>
  <c r="X134" i="10" s="1"/>
  <c r="AM134" i="5"/>
  <c r="CQ132" i="8"/>
  <c r="CO133" i="8"/>
  <c r="CS133" i="8" s="1"/>
  <c r="CZ133" i="8"/>
  <c r="D135" i="9"/>
  <c r="AQ133" i="5"/>
  <c r="DF135" i="8"/>
  <c r="DG135" i="8" s="1"/>
  <c r="CK135" i="8"/>
  <c r="BW135" i="8"/>
  <c r="CB135" i="8" s="1"/>
  <c r="CR135" i="8" s="1"/>
  <c r="BI135" i="8"/>
  <c r="N134" i="7"/>
  <c r="BH135" i="8"/>
  <c r="BU135" i="8" s="1"/>
  <c r="CP133" i="8"/>
  <c r="BZ134" i="8"/>
  <c r="AR133" i="5"/>
  <c r="AB133" i="11"/>
  <c r="Q133" i="8" s="1"/>
  <c r="N134" i="11"/>
  <c r="AA133" i="11"/>
  <c r="AK133" i="1" s="1"/>
  <c r="AC133" i="11"/>
  <c r="U133" i="8" s="1"/>
  <c r="Z133" i="11"/>
  <c r="AD133" i="11"/>
  <c r="AI133" i="1" s="1"/>
  <c r="CB134" i="8"/>
  <c r="CR134" i="8" s="1"/>
  <c r="AC135" i="8"/>
  <c r="BQ135" i="8" s="1"/>
  <c r="CA134" i="8"/>
  <c r="E135" i="1"/>
  <c r="B135" i="9"/>
  <c r="X135" i="9" s="1"/>
  <c r="BY134" i="8"/>
  <c r="CH134" i="8"/>
  <c r="CX134" i="8" s="1"/>
  <c r="X135" i="8"/>
  <c r="DB135" i="8" s="1"/>
  <c r="B135" i="7"/>
  <c r="Q135" i="7" s="1"/>
  <c r="AJ135" i="5"/>
  <c r="AP135" i="5" s="1"/>
  <c r="A135" i="11"/>
  <c r="Y134" i="11" s="1"/>
  <c r="AH134" i="1" s="1"/>
  <c r="BT135" i="5"/>
  <c r="A135" i="10"/>
  <c r="AA135" i="10" s="1"/>
  <c r="AI135" i="5"/>
  <c r="AE134" i="7"/>
  <c r="AF134" i="7" s="1"/>
  <c r="CI134" i="8"/>
  <c r="CY134" i="8" s="1"/>
  <c r="F136" i="5"/>
  <c r="AW136" i="5" s="1"/>
  <c r="AA1269" i="14"/>
  <c r="AA1270" i="14" s="1"/>
  <c r="N123" i="1"/>
  <c r="BR135" i="8" l="1"/>
  <c r="BS135" i="8"/>
  <c r="CE134" i="8"/>
  <c r="CV134" i="8" s="1"/>
  <c r="CW134" i="8" s="1"/>
  <c r="CV133" i="8"/>
  <c r="CW133" i="8" s="1"/>
  <c r="AO135" i="5"/>
  <c r="AV136" i="5"/>
  <c r="AG134" i="7"/>
  <c r="AI134" i="7" s="1"/>
  <c r="BX135" i="8"/>
  <c r="CD135" i="8" s="1"/>
  <c r="BT135" i="8"/>
  <c r="BO135" i="8"/>
  <c r="BP135" i="8"/>
  <c r="BM135" i="8"/>
  <c r="BN135" i="8"/>
  <c r="BK135" i="8"/>
  <c r="BL135" i="8"/>
  <c r="BJ135" i="8"/>
  <c r="AC135" i="10"/>
  <c r="X135" i="10" s="1"/>
  <c r="AM135" i="5"/>
  <c r="AN135" i="5"/>
  <c r="CQ133" i="8"/>
  <c r="CO134" i="8"/>
  <c r="CS134" i="8" s="1"/>
  <c r="BY135" i="8"/>
  <c r="D136" i="9"/>
  <c r="CA135" i="8"/>
  <c r="DF136" i="8"/>
  <c r="DG136" i="8" s="1"/>
  <c r="BZ135" i="8"/>
  <c r="CH135" i="8"/>
  <c r="CX135" i="8" s="1"/>
  <c r="CK136" i="8"/>
  <c r="BW136" i="8"/>
  <c r="CA136" i="8" s="1"/>
  <c r="BI136" i="8"/>
  <c r="AR134" i="5"/>
  <c r="N135" i="7"/>
  <c r="CC135" i="8"/>
  <c r="CT135" i="8" s="1"/>
  <c r="CU135" i="8" s="1"/>
  <c r="BH136" i="8"/>
  <c r="BU136" i="8" s="1"/>
  <c r="B134" i="14"/>
  <c r="AQ134" i="5"/>
  <c r="AE135" i="7"/>
  <c r="AF135" i="7" s="1"/>
  <c r="E136" i="1"/>
  <c r="CP134" i="8"/>
  <c r="CZ134" i="8"/>
  <c r="AC134" i="11"/>
  <c r="U134" i="8" s="1"/>
  <c r="N135" i="11"/>
  <c r="AB134" i="11"/>
  <c r="Q134" i="8" s="1"/>
  <c r="AA134" i="11"/>
  <c r="AK134" i="1" s="1"/>
  <c r="Z134" i="11"/>
  <c r="AD134" i="11"/>
  <c r="AI134" i="1" s="1"/>
  <c r="CI135" i="8"/>
  <c r="CY135" i="8" s="1"/>
  <c r="AJ136" i="5"/>
  <c r="AP136" i="5" s="1"/>
  <c r="A136" i="10"/>
  <c r="AA136" i="10" s="1"/>
  <c r="AC136" i="8"/>
  <c r="BQ136" i="8" s="1"/>
  <c r="X136" i="8"/>
  <c r="DB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R136" i="8" l="1"/>
  <c r="BS136" i="8"/>
  <c r="AO136" i="5"/>
  <c r="AG136" i="7"/>
  <c r="AI136" i="7" s="1"/>
  <c r="AG135" i="7"/>
  <c r="AI135" i="7" s="1"/>
  <c r="CE135" i="8"/>
  <c r="CV135" i="8" s="1"/>
  <c r="CW135" i="8" s="1"/>
  <c r="BX136" i="8"/>
  <c r="CD136" i="8" s="1"/>
  <c r="BT136" i="8"/>
  <c r="BO136" i="8"/>
  <c r="BP136" i="8"/>
  <c r="BM136" i="8"/>
  <c r="BN136" i="8"/>
  <c r="BK136" i="8"/>
  <c r="BL136" i="8"/>
  <c r="BJ136" i="8"/>
  <c r="AC136" i="10"/>
  <c r="X136" i="10" s="1"/>
  <c r="AM136" i="5"/>
  <c r="AN136" i="5"/>
  <c r="BY136" i="8"/>
  <c r="CQ134" i="8"/>
  <c r="CO135" i="8"/>
  <c r="CS135" i="8" s="1"/>
  <c r="CP135" i="8"/>
  <c r="CH136" i="8"/>
  <c r="CX136" i="8" s="1"/>
  <c r="CC136" i="8"/>
  <c r="CT136" i="8" s="1"/>
  <c r="CU136" i="8" s="1"/>
  <c r="BZ136" i="8"/>
  <c r="CP136" i="8" s="1"/>
  <c r="CZ135" i="8"/>
  <c r="CB136" i="8"/>
  <c r="CR136" i="8" s="1"/>
  <c r="N136" i="7"/>
  <c r="B135" i="14"/>
  <c r="AR135" i="5"/>
  <c r="AQ135" i="5"/>
  <c r="AA136" i="11"/>
  <c r="AK136" i="1" s="1"/>
  <c r="Y136" i="11"/>
  <c r="AH136" i="1" s="1"/>
  <c r="AC136" i="11"/>
  <c r="U136" i="8" s="1"/>
  <c r="AD136" i="11"/>
  <c r="AI136" i="1" s="1"/>
  <c r="Z136" i="11"/>
  <c r="Q136" i="7"/>
  <c r="CI136" i="8"/>
  <c r="CY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O136" i="8" l="1"/>
  <c r="CS136" i="8" s="1"/>
  <c r="CE136" i="8"/>
  <c r="CV136" i="8" s="1"/>
  <c r="CW136" i="8" s="1"/>
  <c r="I62" i="4"/>
  <c r="CQ135" i="8"/>
  <c r="CZ136" i="8"/>
  <c r="AQ136" i="5"/>
  <c r="AR136" i="5"/>
  <c r="N126" i="1"/>
  <c r="AH122" i="7"/>
  <c r="CQ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70"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9"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c r="H5" i="2" l="1"/>
  <c r="F5" i="2"/>
  <c r="J5" i="11" s="1"/>
  <c r="F5" i="1"/>
  <c r="I5" i="2"/>
  <c r="AA5" i="1" s="1"/>
  <c r="S5" i="1" s="1"/>
  <c r="H6" i="1" s="1"/>
  <c r="AK6" i="5" s="1"/>
  <c r="AP5" i="1"/>
  <c r="T5" i="1" s="1"/>
  <c r="I6" i="1" s="1"/>
  <c r="AO6" i="1" s="1"/>
  <c r="G5" i="2"/>
  <c r="Z5" i="2" s="1"/>
  <c r="AA6" i="8" s="1"/>
  <c r="T5" i="8"/>
  <c r="W5" i="8" s="1"/>
  <c r="V5" i="8"/>
  <c r="O5" i="7" l="1"/>
  <c r="I5" i="11"/>
  <c r="AC6" i="7"/>
  <c r="C6" i="11"/>
  <c r="V6" i="10"/>
  <c r="AQ6" i="8"/>
  <c r="BI6" i="1"/>
  <c r="C5" i="8"/>
  <c r="B6" i="8"/>
  <c r="BJ6" i="1"/>
  <c r="P5" i="7"/>
  <c r="F5" i="9"/>
  <c r="H6" i="11" l="1"/>
  <c r="AW6" i="8"/>
  <c r="E6" i="2"/>
  <c r="L6" i="2" s="1"/>
  <c r="AB6" i="7"/>
  <c r="AJ6" i="7" s="1"/>
  <c r="D6" i="2"/>
  <c r="U6" i="2" s="1"/>
  <c r="Y5" i="2"/>
  <c r="X5" i="2" s="1"/>
  <c r="W5" i="2" l="1"/>
  <c r="C6" i="2" l="1"/>
  <c r="S6" i="8" s="1"/>
  <c r="V6" i="8" s="1"/>
  <c r="I6" i="2" l="1"/>
  <c r="AA6" i="1" s="1"/>
  <c r="S6" i="1" s="1"/>
  <c r="H7" i="1" s="1"/>
  <c r="AK7" i="5" s="1"/>
  <c r="H6" i="2"/>
  <c r="F6" i="2"/>
  <c r="AP6" i="1" s="1"/>
  <c r="T6" i="1" s="1"/>
  <c r="I7" i="1" s="1"/>
  <c r="AO7" i="1" s="1"/>
  <c r="F6" i="1"/>
  <c r="T6" i="8"/>
  <c r="W6" i="8" s="1"/>
  <c r="J6" i="11"/>
  <c r="P6" i="7" s="1"/>
  <c r="G6" i="2"/>
  <c r="Z6" i="2" s="1"/>
  <c r="AA7" i="8" s="1"/>
  <c r="BJ7" i="1" l="1"/>
  <c r="O6" i="7"/>
  <c r="I6" i="11"/>
  <c r="AQ7" i="8"/>
  <c r="V7" i="10"/>
  <c r="C7" i="11"/>
  <c r="BI7" i="1"/>
  <c r="AC7" i="7"/>
  <c r="F6" i="9"/>
  <c r="C6" i="8"/>
  <c r="Y6" i="2"/>
  <c r="X6" i="2" s="1"/>
  <c r="B7" i="8" l="1"/>
  <c r="D7" i="2" s="1"/>
  <c r="AB7" i="7"/>
  <c r="AJ7" i="7" s="1"/>
  <c r="E7" i="2"/>
  <c r="L7" i="2" s="1"/>
  <c r="AW7" i="8"/>
  <c r="H7" i="11"/>
  <c r="U7" i="2" l="1"/>
  <c r="W6" i="2" s="1"/>
  <c r="C7" i="2" l="1"/>
  <c r="I7" i="2" s="1"/>
  <c r="AA7" i="1" s="1"/>
  <c r="S7" i="1" s="1"/>
  <c r="H8" i="1" s="1"/>
  <c r="AK8" i="5" s="1"/>
  <c r="F7" i="1" l="1"/>
  <c r="H7" i="2"/>
  <c r="S7" i="8"/>
  <c r="V7" i="8" s="1"/>
  <c r="F7" i="2"/>
  <c r="O7" i="7"/>
  <c r="I7" i="11"/>
  <c r="BI8" i="1"/>
  <c r="AQ8" i="8"/>
  <c r="AC8" i="7"/>
  <c r="C8" i="11"/>
  <c r="V8" i="10"/>
  <c r="T7" i="8" l="1"/>
  <c r="W7" i="8" s="1"/>
  <c r="AP7" i="1"/>
  <c r="T7" i="1" s="1"/>
  <c r="I8" i="1" s="1"/>
  <c r="AO8" i="1" s="1"/>
  <c r="J7" i="11"/>
  <c r="G7" i="2"/>
  <c r="Z7" i="2" l="1"/>
  <c r="AA8" i="8" s="1"/>
  <c r="C7" i="8"/>
  <c r="F7" i="9"/>
  <c r="P7" i="7"/>
  <c r="BJ8" i="1"/>
  <c r="Y7" i="2" l="1"/>
  <c r="X7" i="2" s="1"/>
  <c r="B8" i="8" l="1"/>
  <c r="D8" i="2" s="1"/>
  <c r="AB8" i="7"/>
  <c r="AJ8" i="7" s="1"/>
  <c r="AW8" i="8"/>
  <c r="H8" i="11"/>
  <c r="E8" i="2"/>
  <c r="L8" i="2" s="1"/>
  <c r="U8" i="2" l="1"/>
  <c r="W7" i="2" s="1"/>
  <c r="C8" i="2" l="1"/>
  <c r="I8" i="2" s="1"/>
  <c r="F8" i="2" l="1"/>
  <c r="H8" i="2"/>
  <c r="S8" i="8"/>
  <c r="T8" i="8" s="1"/>
  <c r="W8" i="8" s="1"/>
  <c r="F8" i="1"/>
  <c r="J8" i="11"/>
  <c r="AP8" i="1"/>
  <c r="T8" i="1" s="1"/>
  <c r="I9" i="1" s="1"/>
  <c r="AO9" i="1" s="1"/>
  <c r="G8" i="2"/>
  <c r="AA8" i="1"/>
  <c r="S8" i="1" s="1"/>
  <c r="H9" i="1" s="1"/>
  <c r="O8" i="7"/>
  <c r="I8" i="11"/>
  <c r="V8" i="8" l="1"/>
  <c r="BJ9" i="1"/>
  <c r="C9" i="11"/>
  <c r="BI9" i="1"/>
  <c r="V9" i="10"/>
  <c r="AC9" i="7"/>
  <c r="AK9" i="5"/>
  <c r="AQ9" i="8"/>
  <c r="Z8" i="2"/>
  <c r="AA9" i="8" s="1"/>
  <c r="C8" i="8"/>
  <c r="P8" i="7"/>
  <c r="F8" i="9"/>
  <c r="Y8" i="2" l="1"/>
  <c r="X8" i="2" s="1"/>
  <c r="B9" i="8" l="1"/>
  <c r="D9" i="2" s="1"/>
  <c r="H9" i="11"/>
  <c r="AW9" i="8"/>
  <c r="AB9" i="7"/>
  <c r="AJ9" i="7" s="1"/>
  <c r="E9" i="2"/>
  <c r="L9" i="2" s="1"/>
  <c r="U9" i="2" l="1"/>
  <c r="W8" i="2" s="1"/>
  <c r="C9" i="2" l="1"/>
  <c r="F9" i="2" s="1"/>
  <c r="F9" i="1" l="1"/>
  <c r="I9" i="2"/>
  <c r="I9" i="11" s="1"/>
  <c r="S9" i="8"/>
  <c r="T9" i="8" s="1"/>
  <c r="W9" i="8" s="1"/>
  <c r="H9" i="2"/>
  <c r="G9" i="2"/>
  <c r="AP9" i="1"/>
  <c r="T9" i="1" s="1"/>
  <c r="I10" i="1" s="1"/>
  <c r="AO10" i="1" s="1"/>
  <c r="J9" i="11"/>
  <c r="O9" i="7" l="1"/>
  <c r="AA9" i="1"/>
  <c r="S9" i="1" s="1"/>
  <c r="H10" i="1" s="1"/>
  <c r="AQ10" i="8" s="1"/>
  <c r="V9" i="8"/>
  <c r="BJ10" i="1"/>
  <c r="P9" i="7"/>
  <c r="F9" i="9"/>
  <c r="Z9" i="2"/>
  <c r="AA10" i="8" s="1"/>
  <c r="C9" i="8"/>
  <c r="AK10" i="5" l="1"/>
  <c r="V10" i="10"/>
  <c r="C10" i="11"/>
  <c r="BI10" i="1"/>
  <c r="AC10" i="7"/>
  <c r="Y9" i="2"/>
  <c r="X9" i="2" s="1"/>
  <c r="E10" i="2" l="1"/>
  <c r="L10" i="2" s="1"/>
  <c r="AW10" i="8"/>
  <c r="AB10" i="7"/>
  <c r="AJ10" i="7" s="1"/>
  <c r="B10" i="8"/>
  <c r="D10" i="2" s="1"/>
  <c r="H10" i="11"/>
  <c r="U10" i="2" l="1"/>
  <c r="W9" i="2" s="1"/>
  <c r="C10" i="2" s="1"/>
  <c r="I10" i="2" s="1"/>
  <c r="AA10" i="1" s="1"/>
  <c r="S10" i="1" s="1"/>
  <c r="H11" i="1" s="1"/>
  <c r="S10" i="8" l="1"/>
  <c r="V10" i="8" s="1"/>
  <c r="F10" i="1"/>
  <c r="F10" i="2"/>
  <c r="H10" i="2"/>
  <c r="BI11" i="1"/>
  <c r="V11" i="10"/>
  <c r="AQ11" i="8"/>
  <c r="C11" i="11"/>
  <c r="AK11" i="5"/>
  <c r="AC11" i="7"/>
  <c r="I10" i="11"/>
  <c r="O10" i="7"/>
  <c r="T10" i="8" l="1"/>
  <c r="W10" i="8" s="1"/>
  <c r="G10" i="2"/>
  <c r="AP10" i="1"/>
  <c r="T10" i="1" s="1"/>
  <c r="I11" i="1" s="1"/>
  <c r="AO11" i="1" s="1"/>
  <c r="J10" i="11"/>
  <c r="BJ11" i="1" l="1"/>
  <c r="P10" i="7"/>
  <c r="F10" i="9"/>
  <c r="Z10" i="2"/>
  <c r="C10" i="8"/>
  <c r="AA11" i="8" l="1"/>
  <c r="Y10" i="2"/>
  <c r="X10" i="2" s="1"/>
  <c r="H11" i="11" l="1"/>
  <c r="AB11" i="7"/>
  <c r="AJ11" i="7" s="1"/>
  <c r="AW11" i="8"/>
  <c r="E11" i="2"/>
  <c r="L11" i="2" s="1"/>
  <c r="B11" i="8"/>
  <c r="D11" i="2" s="1"/>
  <c r="U11" i="2" l="1"/>
  <c r="W10" i="2" s="1"/>
  <c r="C11" i="2" s="1"/>
  <c r="S11" i="8" l="1"/>
  <c r="T11" i="8" s="1"/>
  <c r="W11" i="8" s="1"/>
  <c r="F11" i="2"/>
  <c r="AP11" i="1" s="1"/>
  <c r="T11" i="1" s="1"/>
  <c r="I12" i="1" s="1"/>
  <c r="AO12" i="1" s="1"/>
  <c r="F11" i="1"/>
  <c r="I11" i="2"/>
  <c r="AA11" i="1" s="1"/>
  <c r="S11" i="1" s="1"/>
  <c r="H12" i="1" s="1"/>
  <c r="AC12" i="7" s="1"/>
  <c r="H11" i="2"/>
  <c r="J11" i="11"/>
  <c r="F11" i="9" s="1"/>
  <c r="G11" i="2"/>
  <c r="Z11" i="2" s="1"/>
  <c r="AA12" i="8" s="1"/>
  <c r="I11" i="11"/>
  <c r="P11" i="7"/>
  <c r="O11" i="7" l="1"/>
  <c r="V11" i="8"/>
  <c r="BJ12" i="1"/>
  <c r="AK12" i="5"/>
  <c r="C12" i="11"/>
  <c r="C11" i="8"/>
  <c r="BI12" i="1"/>
  <c r="AQ12" i="8"/>
  <c r="V12" i="10"/>
  <c r="Y11" i="2"/>
  <c r="X11" i="2" s="1"/>
  <c r="AW12" i="8" l="1"/>
  <c r="H12" i="11"/>
  <c r="AB12" i="7"/>
  <c r="AJ12" i="7" s="1"/>
  <c r="E12" i="2"/>
  <c r="L12" i="2" s="1"/>
  <c r="B12" i="8"/>
  <c r="D12" i="2" s="1"/>
  <c r="U12" i="2" l="1"/>
  <c r="W11" i="2" s="1"/>
  <c r="C12" i="2" s="1"/>
  <c r="I12" i="2" l="1"/>
  <c r="I12" i="11" s="1"/>
  <c r="S12" i="8"/>
  <c r="V12" i="8" s="1"/>
  <c r="F12" i="1"/>
  <c r="F12" i="2"/>
  <c r="H12" i="2"/>
  <c r="O12" i="7" l="1"/>
  <c r="AA12" i="1"/>
  <c r="S12" i="1" s="1"/>
  <c r="H13" i="1" s="1"/>
  <c r="AK13" i="5" s="1"/>
  <c r="T12" i="8"/>
  <c r="W12" i="8" s="1"/>
  <c r="G12" i="2"/>
  <c r="Z12" i="2" s="1"/>
  <c r="AA13" i="8" s="1"/>
  <c r="J12" i="11"/>
  <c r="AP12" i="1"/>
  <c r="T12" i="1" s="1"/>
  <c r="I13" i="1" s="1"/>
  <c r="AO13" i="1" s="1"/>
  <c r="AC13" i="7" l="1"/>
  <c r="C13" i="11"/>
  <c r="BI13" i="1"/>
  <c r="V13" i="10"/>
  <c r="AQ13" i="8"/>
  <c r="P12" i="7"/>
  <c r="F12" i="9"/>
  <c r="BJ13" i="1"/>
  <c r="C12" i="8"/>
  <c r="Y12" i="2" l="1"/>
  <c r="X12" i="2" s="1"/>
  <c r="H13" i="11" l="1"/>
  <c r="E13" i="2"/>
  <c r="L13" i="2" s="1"/>
  <c r="AB13" i="7"/>
  <c r="AJ13" i="7" s="1"/>
  <c r="AW13" i="8"/>
  <c r="B13" i="8"/>
  <c r="D13" i="2" s="1"/>
  <c r="U13" i="2" l="1"/>
  <c r="W12" i="2" s="1"/>
  <c r="C13" i="2" s="1"/>
  <c r="S13" i="8" l="1"/>
  <c r="T13" i="8" s="1"/>
  <c r="W13" i="8" s="1"/>
  <c r="I13" i="2"/>
  <c r="AA13" i="1" s="1"/>
  <c r="S13" i="1" s="1"/>
  <c r="H14" i="1" s="1"/>
  <c r="AQ14" i="8" s="1"/>
  <c r="F13" i="2"/>
  <c r="H13" i="2"/>
  <c r="F13" i="1"/>
  <c r="V13" i="8" l="1"/>
  <c r="I13" i="11"/>
  <c r="O13" i="7"/>
  <c r="V14" i="10"/>
  <c r="AC14" i="7"/>
  <c r="C14" i="11"/>
  <c r="AK14" i="5"/>
  <c r="BI14" i="1"/>
  <c r="J13" i="11"/>
  <c r="G13" i="2"/>
  <c r="Z13" i="2" s="1"/>
  <c r="AA14" i="8" s="1"/>
  <c r="AP13" i="1"/>
  <c r="T13" i="1" s="1"/>
  <c r="I14" i="1" s="1"/>
  <c r="AO14" i="1" s="1"/>
  <c r="C13" i="8" l="1"/>
  <c r="BJ14" i="1"/>
  <c r="P13" i="7"/>
  <c r="F13" i="9"/>
  <c r="Y13" i="2" l="1"/>
  <c r="X13" i="2" s="1"/>
  <c r="B14" i="8" l="1"/>
  <c r="D14" i="2" s="1"/>
  <c r="H14" i="11"/>
  <c r="AB14" i="7"/>
  <c r="AJ14" i="7" s="1"/>
  <c r="AW14" i="8"/>
  <c r="E14" i="2"/>
  <c r="L14" i="2" s="1"/>
  <c r="U14" i="2" l="1"/>
  <c r="W13" i="2" s="1"/>
  <c r="C14" i="2" l="1"/>
  <c r="F14" i="1" l="1"/>
  <c r="H14" i="2"/>
  <c r="F14" i="2"/>
  <c r="S14" i="8"/>
  <c r="I14" i="2"/>
  <c r="AA14" i="1" l="1"/>
  <c r="S14" i="1" s="1"/>
  <c r="H15" i="1" s="1"/>
  <c r="I14" i="11"/>
  <c r="O14" i="7"/>
  <c r="T14" i="8"/>
  <c r="W14" i="8" s="1"/>
  <c r="V14" i="8"/>
  <c r="AP14" i="1"/>
  <c r="T14" i="1" s="1"/>
  <c r="I15" i="1" s="1"/>
  <c r="AO15" i="1" s="1"/>
  <c r="J14" i="11"/>
  <c r="G14" i="2"/>
  <c r="Z14" i="2" s="1"/>
  <c r="AA15" i="8" s="1"/>
  <c r="BJ15" i="1" l="1"/>
  <c r="P14" i="7"/>
  <c r="F14" i="9"/>
  <c r="C14" i="8"/>
  <c r="AK15" i="5"/>
  <c r="AQ15" i="8"/>
  <c r="C15" i="11"/>
  <c r="BI15" i="1"/>
  <c r="V15" i="10"/>
  <c r="AC15" i="7"/>
  <c r="Y14" i="2" l="1"/>
  <c r="X14" i="2" s="1"/>
  <c r="AB15" i="7" l="1"/>
  <c r="AJ15" i="7" s="1"/>
  <c r="H15" i="11"/>
  <c r="B15" i="8"/>
  <c r="D15" i="2" s="1"/>
  <c r="AW15" i="8"/>
  <c r="E15" i="2"/>
  <c r="L15" i="2" s="1"/>
  <c r="U15" i="2" l="1"/>
  <c r="W14" i="2" s="1"/>
  <c r="C15" i="2" s="1"/>
  <c r="I15" i="2" s="1"/>
  <c r="S15" i="8" l="1"/>
  <c r="V15" i="8" s="1"/>
  <c r="H15" i="2"/>
  <c r="F15" i="2"/>
  <c r="G15" i="2" s="1"/>
  <c r="Z15" i="2" s="1"/>
  <c r="AA16" i="8" s="1"/>
  <c r="F15" i="1"/>
  <c r="AA15" i="1"/>
  <c r="S15" i="1" s="1"/>
  <c r="H16" i="1" s="1"/>
  <c r="O15" i="7"/>
  <c r="I15" i="11"/>
  <c r="T15" i="8" l="1"/>
  <c r="W15" i="8" s="1"/>
  <c r="J15" i="11"/>
  <c r="AP15" i="1"/>
  <c r="T15" i="1" s="1"/>
  <c r="I16" i="1" s="1"/>
  <c r="AO16" i="1" s="1"/>
  <c r="V16" i="10"/>
  <c r="C16" i="11"/>
  <c r="AC16" i="7"/>
  <c r="AK16" i="5"/>
  <c r="AQ16" i="8"/>
  <c r="BI16" i="1"/>
  <c r="C15" i="8"/>
  <c r="F15" i="9"/>
  <c r="P15" i="7"/>
  <c r="BJ16" i="1" l="1"/>
  <c r="B16" i="8"/>
  <c r="Y15" i="2"/>
  <c r="X15" i="2" s="1"/>
  <c r="D16" i="2" l="1"/>
  <c r="H16" i="11"/>
  <c r="AB16" i="7"/>
  <c r="AJ16" i="7" s="1"/>
  <c r="E16" i="2"/>
  <c r="L16" i="2" s="1"/>
  <c r="AW16" i="8"/>
  <c r="U16" i="2" l="1"/>
  <c r="W15" i="2" s="1"/>
  <c r="C16" i="2" l="1"/>
  <c r="S16" i="8" l="1"/>
  <c r="F16" i="2"/>
  <c r="H16" i="2"/>
  <c r="F16" i="1"/>
  <c r="I16" i="2"/>
  <c r="AA16" i="1" l="1"/>
  <c r="S16" i="1" s="1"/>
  <c r="H17" i="1" s="1"/>
  <c r="I16" i="11"/>
  <c r="O16" i="7"/>
  <c r="T16" i="8"/>
  <c r="W16" i="8" s="1"/>
  <c r="V16" i="8"/>
  <c r="J16" i="11"/>
  <c r="AP16" i="1"/>
  <c r="T16" i="1" s="1"/>
  <c r="I17" i="1" s="1"/>
  <c r="AO17" i="1" s="1"/>
  <c r="G16" i="2"/>
  <c r="Z16" i="2" s="1"/>
  <c r="AA17" i="8" s="1"/>
  <c r="C16" i="8" l="1"/>
  <c r="BJ17" i="1"/>
  <c r="P16" i="7"/>
  <c r="F16" i="9"/>
  <c r="BI17" i="1"/>
  <c r="V17" i="10"/>
  <c r="AC17" i="7"/>
  <c r="AQ17" i="8"/>
  <c r="AK17" i="5"/>
  <c r="C17" i="11"/>
  <c r="B17" i="8" l="1"/>
  <c r="Y16" i="2"/>
  <c r="X16" i="2" s="1"/>
  <c r="D17" i="2" l="1"/>
  <c r="H17" i="11"/>
  <c r="AW17" i="8"/>
  <c r="E17" i="2"/>
  <c r="L17" i="2" s="1"/>
  <c r="AB17" i="7"/>
  <c r="AJ17" i="7" s="1"/>
  <c r="U17" i="2" l="1"/>
  <c r="W16" i="2" s="1"/>
  <c r="C17" i="2" l="1"/>
  <c r="S17" i="8" l="1"/>
  <c r="F17" i="1"/>
  <c r="I17" i="2"/>
  <c r="F17" i="2"/>
  <c r="H17" i="2"/>
  <c r="J17" i="11" l="1"/>
  <c r="AP17" i="1"/>
  <c r="T17" i="1" s="1"/>
  <c r="I18" i="1" s="1"/>
  <c r="AO18" i="1" s="1"/>
  <c r="G17" i="2"/>
  <c r="Z17" i="2" s="1"/>
  <c r="AA18" i="8" s="1"/>
  <c r="T17" i="8"/>
  <c r="W17" i="8" s="1"/>
  <c r="V17" i="8"/>
  <c r="AA17" i="1"/>
  <c r="S17" i="1" s="1"/>
  <c r="H18" i="1" s="1"/>
  <c r="I17" i="11"/>
  <c r="O17" i="7"/>
  <c r="V18" i="10" l="1"/>
  <c r="AC18" i="7"/>
  <c r="BI18" i="1"/>
  <c r="AK18" i="5"/>
  <c r="C18" i="11"/>
  <c r="AQ18" i="8"/>
  <c r="C17" i="8"/>
  <c r="BJ18" i="1"/>
  <c r="F17" i="9"/>
  <c r="P17" i="7"/>
  <c r="B18" i="8" l="1"/>
  <c r="Y17" i="2"/>
  <c r="X17" i="2" s="1"/>
  <c r="D18" i="2" l="1"/>
  <c r="U18" i="2" s="1"/>
  <c r="E18" i="2"/>
  <c r="L18" i="2" s="1"/>
  <c r="AW18" i="8"/>
  <c r="H18" i="11"/>
  <c r="AB18" i="7"/>
  <c r="AJ18" i="7" s="1"/>
  <c r="W17" i="2" l="1"/>
  <c r="C18" i="2" l="1"/>
  <c r="S18" i="8" l="1"/>
  <c r="F18" i="2"/>
  <c r="I18" i="2"/>
  <c r="AA18" i="1" s="1"/>
  <c r="S18" i="1" s="1"/>
  <c r="H19" i="1" s="1"/>
  <c r="H18" i="2"/>
  <c r="F18" i="1"/>
  <c r="V18" i="8" l="1"/>
  <c r="T18" i="8"/>
  <c r="W18" i="8" s="1"/>
  <c r="V19" i="10"/>
  <c r="AC19" i="7"/>
  <c r="C19" i="11"/>
  <c r="AK19" i="5"/>
  <c r="AQ19" i="8"/>
  <c r="BI19" i="1"/>
  <c r="O18" i="7"/>
  <c r="I18" i="11"/>
  <c r="J18" i="11"/>
  <c r="AP18" i="1"/>
  <c r="T18" i="1" s="1"/>
  <c r="I19" i="1" s="1"/>
  <c r="AO19" i="1" s="1"/>
  <c r="G18" i="2"/>
  <c r="Z18" i="2" s="1"/>
  <c r="AA19" i="8" s="1"/>
  <c r="BJ19" i="1" l="1"/>
  <c r="C18" i="8"/>
  <c r="P18" i="7"/>
  <c r="F18" i="9"/>
  <c r="B19" i="8" l="1"/>
  <c r="Y18" i="2"/>
  <c r="X18" i="2" s="1"/>
  <c r="D19" i="2" l="1"/>
  <c r="H19" i="11"/>
  <c r="AB19" i="7"/>
  <c r="AJ19" i="7" s="1"/>
  <c r="E19" i="2"/>
  <c r="L19" i="2" s="1"/>
  <c r="AW19" i="8"/>
  <c r="U19" i="2" l="1"/>
  <c r="W18" i="2" s="1"/>
  <c r="C19" i="2" l="1"/>
  <c r="S19" i="8" l="1"/>
  <c r="H19" i="2"/>
  <c r="I19" i="2"/>
  <c r="F19" i="2"/>
  <c r="F19" i="1"/>
  <c r="I19" i="11" l="1"/>
  <c r="O19" i="7"/>
  <c r="T19" i="8"/>
  <c r="W19" i="8" s="1"/>
  <c r="V19" i="8"/>
  <c r="AA19" i="1"/>
  <c r="S19" i="1" s="1"/>
  <c r="H20" i="1" s="1"/>
  <c r="AP19" i="1"/>
  <c r="T19" i="1" s="1"/>
  <c r="I20" i="1" s="1"/>
  <c r="AO20" i="1" s="1"/>
  <c r="J19" i="11"/>
  <c r="G19" i="2"/>
  <c r="Z19" i="2" s="1"/>
  <c r="AA20" i="8" s="1"/>
  <c r="C19" i="8" l="1"/>
  <c r="F19" i="9"/>
  <c r="P19" i="7"/>
  <c r="AQ20" i="8"/>
  <c r="C20" i="11"/>
  <c r="AC20" i="7"/>
  <c r="AK20" i="5"/>
  <c r="BI20" i="1"/>
  <c r="V20" i="10"/>
  <c r="BJ20" i="1"/>
  <c r="B20" i="8" l="1"/>
  <c r="Y19" i="2"/>
  <c r="X19" i="2" s="1"/>
  <c r="D20" i="2" l="1"/>
  <c r="H20" i="11"/>
  <c r="E20" i="2"/>
  <c r="L20" i="2" s="1"/>
  <c r="AW20" i="8"/>
  <c r="AB20" i="7"/>
  <c r="AJ20" i="7" s="1"/>
  <c r="U20" i="2" l="1"/>
  <c r="W19" i="2" s="1"/>
  <c r="C20" i="2" l="1"/>
  <c r="F20" i="2" l="1"/>
  <c r="H20" i="2"/>
  <c r="F20" i="1"/>
  <c r="S20" i="8"/>
  <c r="I20" i="2"/>
  <c r="AA20" i="1" s="1"/>
  <c r="S20" i="1" s="1"/>
  <c r="H21" i="1" s="1"/>
  <c r="AC21" i="7" l="1"/>
  <c r="C21" i="11"/>
  <c r="AQ21" i="8"/>
  <c r="BI21" i="1"/>
  <c r="AK21" i="5"/>
  <c r="V21" i="10"/>
  <c r="T20" i="8"/>
  <c r="W20" i="8" s="1"/>
  <c r="V20" i="8"/>
  <c r="J20" i="11"/>
  <c r="AP20" i="1"/>
  <c r="T20" i="1" s="1"/>
  <c r="I21" i="1" s="1"/>
  <c r="AO21" i="1" s="1"/>
  <c r="G20" i="2"/>
  <c r="Z20" i="2" s="1"/>
  <c r="AA21" i="8" s="1"/>
  <c r="I20" i="11"/>
  <c r="O20" i="7"/>
  <c r="F20" i="9" l="1"/>
  <c r="P20" i="7"/>
  <c r="BJ21" i="1"/>
  <c r="C20" i="8"/>
  <c r="B21" i="8" l="1"/>
  <c r="Y20" i="2"/>
  <c r="X20" i="2" s="1"/>
  <c r="D21" i="2" l="1"/>
  <c r="AB21" i="7"/>
  <c r="AJ21" i="7" s="1"/>
  <c r="E21" i="2"/>
  <c r="L21" i="2" s="1"/>
  <c r="H21" i="11"/>
  <c r="AW21" i="8"/>
  <c r="U21" i="2" l="1"/>
  <c r="W20" i="2" s="1"/>
  <c r="C21" i="2" l="1"/>
  <c r="S21" i="8" l="1"/>
  <c r="F21" i="2"/>
  <c r="F21" i="1"/>
  <c r="H21" i="2"/>
  <c r="I21" i="2"/>
  <c r="AA21" i="1" l="1"/>
  <c r="S21" i="1" s="1"/>
  <c r="H22" i="1" s="1"/>
  <c r="O21" i="7"/>
  <c r="I21" i="11"/>
  <c r="J21" i="11"/>
  <c r="AP21" i="1"/>
  <c r="T21" i="1" s="1"/>
  <c r="I22" i="1" s="1"/>
  <c r="AO22" i="1" s="1"/>
  <c r="G21" i="2"/>
  <c r="Z21" i="2" s="1"/>
  <c r="AA22" i="8" s="1"/>
  <c r="T21" i="8"/>
  <c r="W21" i="8" s="1"/>
  <c r="V21" i="8"/>
  <c r="C21" i="8" l="1"/>
  <c r="F21" i="9"/>
  <c r="P21" i="7"/>
  <c r="BJ22" i="1"/>
  <c r="V22" i="10"/>
  <c r="BI22" i="1"/>
  <c r="AC22" i="7"/>
  <c r="AQ22" i="8"/>
  <c r="C22" i="11"/>
  <c r="AK22" i="5"/>
  <c r="B22" i="8" l="1"/>
  <c r="Y21" i="2"/>
  <c r="X21" i="2" s="1"/>
  <c r="D22" i="2" l="1"/>
  <c r="E22" i="2"/>
  <c r="L22" i="2" s="1"/>
  <c r="H22" i="11"/>
  <c r="AB22" i="7"/>
  <c r="AJ22" i="7" s="1"/>
  <c r="AW22" i="8"/>
  <c r="U22" i="2" l="1"/>
  <c r="W21" i="2" s="1"/>
  <c r="C22" i="2" l="1"/>
  <c r="H22" i="2" l="1"/>
  <c r="F22" i="1"/>
  <c r="I22" i="2"/>
  <c r="I22" i="11" s="1"/>
  <c r="S22" i="8"/>
  <c r="V22" i="8" s="1"/>
  <c r="F22" i="2"/>
  <c r="G22" i="2" s="1"/>
  <c r="Z22" i="2" s="1"/>
  <c r="AA23" i="8" s="1"/>
  <c r="AA22" i="1" l="1"/>
  <c r="S22" i="1" s="1"/>
  <c r="H23" i="1" s="1"/>
  <c r="C23" i="11" s="1"/>
  <c r="O22" i="7"/>
  <c r="AP22" i="1"/>
  <c r="T22" i="1" s="1"/>
  <c r="I23" i="1" s="1"/>
  <c r="AO23" i="1" s="1"/>
  <c r="T22" i="8"/>
  <c r="W22" i="8" s="1"/>
  <c r="J22" i="11"/>
  <c r="P22" i="7" s="1"/>
  <c r="C22" i="8"/>
  <c r="F22" i="9" l="1"/>
  <c r="AC23" i="7"/>
  <c r="V23" i="10"/>
  <c r="AK23" i="5"/>
  <c r="BI23" i="1"/>
  <c r="AQ23" i="8"/>
  <c r="BJ23" i="1"/>
  <c r="B23" i="8"/>
  <c r="Y22" i="2"/>
  <c r="X22" i="2" s="1"/>
  <c r="D23" i="2" l="1"/>
  <c r="AB23" i="7"/>
  <c r="AJ23" i="7" s="1"/>
  <c r="AW23" i="8"/>
  <c r="E23" i="2"/>
  <c r="L23" i="2" s="1"/>
  <c r="H23" i="11"/>
  <c r="U23" i="2" l="1"/>
  <c r="W22" i="2" s="1"/>
  <c r="C23" i="2" l="1"/>
  <c r="I23" i="2" l="1"/>
  <c r="AA23" i="1" s="1"/>
  <c r="S23" i="1" s="1"/>
  <c r="H24" i="1" s="1"/>
  <c r="S23" i="8"/>
  <c r="H23" i="2"/>
  <c r="F23" i="1"/>
  <c r="F23" i="2"/>
  <c r="AP23" i="1" l="1"/>
  <c r="T23" i="1" s="1"/>
  <c r="I24" i="1" s="1"/>
  <c r="AO24" i="1" s="1"/>
  <c r="J23" i="11"/>
  <c r="G23" i="2"/>
  <c r="Z23" i="2" s="1"/>
  <c r="AA24" i="8" s="1"/>
  <c r="AQ24" i="8"/>
  <c r="AK24" i="5"/>
  <c r="AC24" i="7"/>
  <c r="V24" i="10"/>
  <c r="BI24" i="1"/>
  <c r="C24" i="11"/>
  <c r="O23" i="7"/>
  <c r="I23" i="11"/>
  <c r="V23" i="8"/>
  <c r="T23" i="8"/>
  <c r="W23" i="8" s="1"/>
  <c r="C23" i="8" l="1"/>
  <c r="F23" i="9"/>
  <c r="P23" i="7"/>
  <c r="BJ24" i="1"/>
  <c r="B24" i="8" l="1"/>
  <c r="Y23" i="2"/>
  <c r="X23" i="2" s="1"/>
  <c r="D24" i="2" l="1"/>
  <c r="H24" i="11"/>
  <c r="E24" i="2"/>
  <c r="L24" i="2" s="1"/>
  <c r="AW24" i="8"/>
  <c r="AB24" i="7"/>
  <c r="AJ24" i="7" s="1"/>
  <c r="U24" i="2" l="1"/>
  <c r="W23" i="2" s="1"/>
  <c r="C24" i="2" l="1"/>
  <c r="S24" i="8" l="1"/>
  <c r="H24" i="2"/>
  <c r="F24" i="1"/>
  <c r="F24" i="2"/>
  <c r="I24" i="2"/>
  <c r="AA24" i="1" s="1"/>
  <c r="S24" i="1" s="1"/>
  <c r="H25" i="1" s="1"/>
  <c r="AQ25" i="8" l="1"/>
  <c r="V25" i="10"/>
  <c r="AK25" i="5"/>
  <c r="BI25" i="1"/>
  <c r="AC25" i="7"/>
  <c r="C25" i="11"/>
  <c r="I24" i="11"/>
  <c r="O24" i="7"/>
  <c r="AP24" i="1"/>
  <c r="T24" i="1" s="1"/>
  <c r="I25" i="1" s="1"/>
  <c r="AO25" i="1" s="1"/>
  <c r="J24" i="11"/>
  <c r="G24" i="2"/>
  <c r="Z24" i="2" s="1"/>
  <c r="AA25" i="8" s="1"/>
  <c r="T24" i="8"/>
  <c r="W24" i="8" s="1"/>
  <c r="V24" i="8"/>
  <c r="BJ25" i="1" l="1"/>
  <c r="C24" i="8"/>
  <c r="P24" i="7"/>
  <c r="F24" i="9"/>
  <c r="Y24" i="2" l="1"/>
  <c r="X24" i="2" s="1"/>
  <c r="B25" i="8"/>
  <c r="D25" i="2" l="1"/>
  <c r="E25" i="2"/>
  <c r="L25" i="2" s="1"/>
  <c r="H25" i="11"/>
  <c r="AW25" i="8"/>
  <c r="AB25" i="7"/>
  <c r="AJ25" i="7" s="1"/>
  <c r="U25" i="2" l="1"/>
  <c r="W24" i="2" s="1"/>
  <c r="C25" i="2" l="1"/>
  <c r="I25" i="2" l="1"/>
  <c r="AA25" i="1" s="1"/>
  <c r="S25" i="1" s="1"/>
  <c r="H26" i="1" s="1"/>
  <c r="H25" i="2"/>
  <c r="F25" i="2"/>
  <c r="S25" i="8"/>
  <c r="F25" i="1"/>
  <c r="AQ26" i="8" l="1"/>
  <c r="V26" i="10"/>
  <c r="BI26" i="1"/>
  <c r="C26" i="11"/>
  <c r="AK26" i="5"/>
  <c r="AC26" i="7"/>
  <c r="V25" i="8"/>
  <c r="T25" i="8"/>
  <c r="W25" i="8" s="1"/>
  <c r="AP25" i="1"/>
  <c r="T25" i="1" s="1"/>
  <c r="I26" i="1" s="1"/>
  <c r="AO26" i="1" s="1"/>
  <c r="J25" i="11"/>
  <c r="G25" i="2"/>
  <c r="Z25" i="2" s="1"/>
  <c r="AA26" i="8" s="1"/>
  <c r="I25" i="11"/>
  <c r="O25" i="7"/>
  <c r="C25" i="8" l="1"/>
  <c r="P25" i="7"/>
  <c r="F25" i="9"/>
  <c r="BJ26" i="1"/>
  <c r="B26" i="8" l="1"/>
  <c r="Y25" i="2"/>
  <c r="X25" i="2" s="1"/>
  <c r="D26" i="2" l="1"/>
  <c r="AW26" i="8"/>
  <c r="AB26" i="7"/>
  <c r="AJ26" i="7" s="1"/>
  <c r="E26" i="2"/>
  <c r="L26" i="2" s="1"/>
  <c r="H26" i="11"/>
  <c r="U26" i="2" l="1"/>
  <c r="W25" i="2" s="1"/>
  <c r="C26" i="2" l="1"/>
  <c r="S26" i="8" l="1"/>
  <c r="F26" i="2"/>
  <c r="H26" i="2"/>
  <c r="F26" i="1"/>
  <c r="I26" i="2"/>
  <c r="AA26" i="1" s="1"/>
  <c r="S26" i="1" s="1"/>
  <c r="AP26" i="1" l="1"/>
  <c r="T26" i="1" s="1"/>
  <c r="I27" i="1" s="1"/>
  <c r="AO27" i="1" s="1"/>
  <c r="J26" i="11"/>
  <c r="G26" i="2"/>
  <c r="Z26" i="2" s="1"/>
  <c r="AA27" i="8" s="1"/>
  <c r="T26" i="8"/>
  <c r="W26" i="8" s="1"/>
  <c r="V26" i="8"/>
  <c r="I26" i="11"/>
  <c r="O26" i="7"/>
  <c r="P26" i="7" l="1"/>
  <c r="F26" i="9"/>
  <c r="BJ27" i="1"/>
  <c r="C26" i="8"/>
  <c r="B27" i="8" l="1"/>
  <c r="Y26" i="2"/>
  <c r="X26" i="2" s="1"/>
  <c r="D27" i="2" l="1"/>
  <c r="AB27" i="7"/>
  <c r="H27" i="11"/>
  <c r="AW27" i="8"/>
  <c r="E27" i="2"/>
  <c r="L27" i="2" s="1"/>
  <c r="U27" i="2" l="1"/>
  <c r="W26" i="2" s="1"/>
  <c r="C27" i="2" l="1"/>
  <c r="S27" i="8" l="1"/>
  <c r="H27" i="2"/>
  <c r="F27" i="2"/>
  <c r="F27" i="1"/>
  <c r="I27" i="2"/>
  <c r="AA27" i="1" s="1"/>
  <c r="S27" i="1" s="1"/>
  <c r="H27" i="1"/>
  <c r="H28" i="1" l="1"/>
  <c r="C28" i="11" s="1"/>
  <c r="AC27" i="7"/>
  <c r="AJ27" i="7" s="1"/>
  <c r="C27" i="11"/>
  <c r="V27" i="10"/>
  <c r="AQ27" i="8"/>
  <c r="BI27" i="1"/>
  <c r="AK27" i="5"/>
  <c r="V27" i="8"/>
  <c r="T27" i="8"/>
  <c r="W27" i="8" s="1"/>
  <c r="I27" i="11"/>
  <c r="O27" i="7"/>
  <c r="AP27" i="1"/>
  <c r="T27" i="1" s="1"/>
  <c r="I28" i="1" s="1"/>
  <c r="AO28" i="1" s="1"/>
  <c r="J27" i="11"/>
  <c r="G27" i="2"/>
  <c r="Z27" i="2" s="1"/>
  <c r="AA28" i="8" s="1"/>
  <c r="AC28" i="7" l="1"/>
  <c r="BI28" i="1"/>
  <c r="V28" i="10"/>
  <c r="AK28" i="5"/>
  <c r="AQ28" i="8"/>
  <c r="C27" i="8"/>
  <c r="P27" i="7"/>
  <c r="F27" i="9"/>
  <c r="BJ28" i="1"/>
  <c r="Y27" i="2" l="1"/>
  <c r="X27" i="2" s="1"/>
  <c r="B28" i="8"/>
  <c r="D28" i="2" l="1"/>
  <c r="E28" i="2"/>
  <c r="L28" i="2" s="1"/>
  <c r="H28" i="11"/>
  <c r="AB28" i="7"/>
  <c r="AJ28" i="7" s="1"/>
  <c r="AW28" i="8"/>
  <c r="U28" i="2" l="1"/>
  <c r="W27" i="2" s="1"/>
  <c r="C28" i="2" l="1"/>
  <c r="F28" i="2" l="1"/>
  <c r="H28" i="2"/>
  <c r="F28" i="1"/>
  <c r="S28" i="8"/>
  <c r="I28" i="2"/>
  <c r="AA28" i="1" l="1"/>
  <c r="S28" i="1" s="1"/>
  <c r="H29" i="1" s="1"/>
  <c r="I28" i="11"/>
  <c r="O28" i="7"/>
  <c r="V28" i="8"/>
  <c r="T28" i="8"/>
  <c r="W28" i="8" s="1"/>
  <c r="AP28" i="1"/>
  <c r="T28" i="1" s="1"/>
  <c r="I29" i="1" s="1"/>
  <c r="AO29" i="1" s="1"/>
  <c r="J28" i="11"/>
  <c r="G28" i="2"/>
  <c r="Z28" i="2" s="1"/>
  <c r="AA29" i="8" s="1"/>
  <c r="P28" i="7" l="1"/>
  <c r="F28" i="9"/>
  <c r="BJ29" i="1"/>
  <c r="C28" i="8"/>
  <c r="BI29" i="1"/>
  <c r="C29" i="11"/>
  <c r="V29" i="10"/>
  <c r="AQ29" i="8"/>
  <c r="AK29" i="5"/>
  <c r="AC29" i="7"/>
  <c r="B29" i="8" l="1"/>
  <c r="Y28" i="2"/>
  <c r="X28" i="2" s="1"/>
  <c r="D29" i="2" l="1"/>
  <c r="AB29" i="7"/>
  <c r="AJ29" i="7" s="1"/>
  <c r="H29" i="11"/>
  <c r="AW29" i="8"/>
  <c r="E29" i="2"/>
  <c r="L29" i="2" s="1"/>
  <c r="U29" i="2" l="1"/>
  <c r="W28" i="2" s="1"/>
  <c r="C29" i="2" l="1"/>
  <c r="S29" i="8" l="1"/>
  <c r="I29" i="2"/>
  <c r="AA29" i="1" s="1"/>
  <c r="S29" i="1" s="1"/>
  <c r="H30" i="1" s="1"/>
  <c r="F29" i="2"/>
  <c r="F29" i="1"/>
  <c r="H29" i="2"/>
  <c r="O29" i="7" l="1"/>
  <c r="I29" i="11"/>
  <c r="V29" i="8"/>
  <c r="T29" i="8"/>
  <c r="W29" i="8" s="1"/>
  <c r="BI30" i="1"/>
  <c r="AQ30" i="8"/>
  <c r="C30" i="11"/>
  <c r="AC30" i="7"/>
  <c r="AK30" i="5"/>
  <c r="V30" i="10"/>
  <c r="J29" i="11"/>
  <c r="AP29" i="1"/>
  <c r="T29" i="1" s="1"/>
  <c r="I30" i="1" s="1"/>
  <c r="AO30" i="1" s="1"/>
  <c r="G29" i="2"/>
  <c r="Z29" i="2" s="1"/>
  <c r="AA30" i="8" s="1"/>
  <c r="BJ30" i="1" l="1"/>
  <c r="C29" i="8"/>
  <c r="F29" i="9"/>
  <c r="P29" i="7"/>
  <c r="B30" i="8" l="1"/>
  <c r="Y29" i="2"/>
  <c r="X29" i="2" s="1"/>
  <c r="D30" i="2" l="1"/>
  <c r="H30" i="11"/>
  <c r="E30" i="2"/>
  <c r="L30" i="2" s="1"/>
  <c r="AW30" i="8"/>
  <c r="AB30" i="7"/>
  <c r="AJ30" i="7" s="1"/>
  <c r="U30" i="2" l="1"/>
  <c r="W29" i="2" s="1"/>
  <c r="C30" i="2" l="1"/>
  <c r="H30" i="2" l="1"/>
  <c r="S30" i="8"/>
  <c r="F30" i="2"/>
  <c r="F30" i="1"/>
  <c r="I30" i="2"/>
  <c r="AA30" i="1" l="1"/>
  <c r="S30" i="1" s="1"/>
  <c r="H31" i="1" s="1"/>
  <c r="O30" i="7"/>
  <c r="I30" i="11"/>
  <c r="AP30" i="1"/>
  <c r="T30" i="1" s="1"/>
  <c r="I31" i="1" s="1"/>
  <c r="AO31" i="1" s="1"/>
  <c r="J30" i="11"/>
  <c r="G30" i="2"/>
  <c r="Z30" i="2" s="1"/>
  <c r="AA31" i="8" s="1"/>
  <c r="V30" i="8"/>
  <c r="T30" i="8"/>
  <c r="W30" i="8" s="1"/>
  <c r="BJ31" i="1" l="1"/>
  <c r="F30" i="9"/>
  <c r="P30" i="7"/>
  <c r="C30" i="8"/>
  <c r="V31" i="10"/>
  <c r="C31" i="11"/>
  <c r="AK31" i="5"/>
  <c r="AQ31" i="8"/>
  <c r="BI31" i="1"/>
  <c r="AC31" i="7"/>
  <c r="B31" i="8" l="1"/>
  <c r="Y30" i="2"/>
  <c r="X30" i="2" s="1"/>
  <c r="D31" i="2" l="1"/>
  <c r="AB31" i="7"/>
  <c r="AJ31" i="7" s="1"/>
  <c r="AW31" i="8"/>
  <c r="H31" i="11"/>
  <c r="E31" i="2"/>
  <c r="L31" i="2" s="1"/>
  <c r="U31" i="2" l="1"/>
  <c r="W30" i="2" s="1"/>
  <c r="C31" i="2" l="1"/>
  <c r="S31" i="8" l="1"/>
  <c r="F31" i="1"/>
  <c r="I31" i="2"/>
  <c r="H31" i="2"/>
  <c r="F31" i="2"/>
  <c r="J31" i="11" l="1"/>
  <c r="AP31" i="1"/>
  <c r="T31" i="1" s="1"/>
  <c r="I32" i="1" s="1"/>
  <c r="AO32" i="1" s="1"/>
  <c r="G31" i="2"/>
  <c r="Z31" i="2" s="1"/>
  <c r="AA32" i="8" s="1"/>
  <c r="AA31" i="1"/>
  <c r="S31" i="1" s="1"/>
  <c r="H32" i="1" s="1"/>
  <c r="O31" i="7"/>
  <c r="I31" i="11"/>
  <c r="V31" i="8"/>
  <c r="T31" i="8"/>
  <c r="W31" i="8" s="1"/>
  <c r="C31" i="8" l="1"/>
  <c r="AQ32" i="8"/>
  <c r="C32" i="11"/>
  <c r="V32" i="10"/>
  <c r="AC32" i="7"/>
  <c r="BI32" i="1"/>
  <c r="AK32" i="5"/>
  <c r="BJ32" i="1"/>
  <c r="F31" i="9"/>
  <c r="P31" i="7"/>
  <c r="B32" i="8" l="1"/>
  <c r="Y31" i="2"/>
  <c r="X31" i="2" s="1"/>
  <c r="D32" i="2" l="1"/>
  <c r="AB32" i="7"/>
  <c r="AJ32" i="7" s="1"/>
  <c r="H32" i="11"/>
  <c r="E32" i="2"/>
  <c r="L32" i="2" s="1"/>
  <c r="AW32" i="8"/>
  <c r="U32" i="2" l="1"/>
  <c r="W31" i="2" s="1"/>
  <c r="C32" i="2" l="1"/>
  <c r="H32" i="2" l="1"/>
  <c r="F32" i="2"/>
  <c r="S32" i="8"/>
  <c r="F32" i="1"/>
  <c r="I32" i="2"/>
  <c r="V32" i="8" l="1"/>
  <c r="T32" i="8"/>
  <c r="W32" i="8" s="1"/>
  <c r="J32" i="11"/>
  <c r="AP32" i="1"/>
  <c r="T32" i="1" s="1"/>
  <c r="I33" i="1" s="1"/>
  <c r="AO33" i="1" s="1"/>
  <c r="G32" i="2"/>
  <c r="Z32" i="2" s="1"/>
  <c r="AA33" i="8" s="1"/>
  <c r="AA32" i="1"/>
  <c r="S32" i="1" s="1"/>
  <c r="H33" i="1" s="1"/>
  <c r="O32" i="7"/>
  <c r="I32" i="11"/>
  <c r="C32" i="8" l="1"/>
  <c r="BJ33" i="1"/>
  <c r="V33" i="10"/>
  <c r="BI33" i="1"/>
  <c r="C33" i="11"/>
  <c r="AK33" i="5"/>
  <c r="AC33" i="7"/>
  <c r="AQ33" i="8"/>
  <c r="P32" i="7"/>
  <c r="F32" i="9"/>
  <c r="B33" i="8" l="1"/>
  <c r="Y32" i="2"/>
  <c r="X32" i="2" s="1"/>
  <c r="D33" i="2" l="1"/>
  <c r="AB33" i="7"/>
  <c r="AJ33" i="7" s="1"/>
  <c r="E33" i="2"/>
  <c r="L33" i="2" s="1"/>
  <c r="H33" i="11"/>
  <c r="AW33" i="8"/>
  <c r="U33" i="2" l="1"/>
  <c r="W32" i="2" s="1"/>
  <c r="C33" i="2" l="1"/>
  <c r="S33" i="8" l="1"/>
  <c r="H33" i="2"/>
  <c r="F33" i="2"/>
  <c r="I33" i="2"/>
  <c r="F33" i="1"/>
  <c r="I33" i="11" l="1"/>
  <c r="O33" i="7"/>
  <c r="T33" i="8"/>
  <c r="W33" i="8" s="1"/>
  <c r="V33" i="8"/>
  <c r="AA33" i="1"/>
  <c r="S33" i="1" s="1"/>
  <c r="H34" i="1" s="1"/>
  <c r="AP33" i="1"/>
  <c r="T33" i="1" s="1"/>
  <c r="I34" i="1" s="1"/>
  <c r="AO34" i="1" s="1"/>
  <c r="J33" i="11"/>
  <c r="G33" i="2"/>
  <c r="Z33" i="2" s="1"/>
  <c r="AA34" i="8" s="1"/>
  <c r="BJ34" i="1" l="1"/>
  <c r="BI34" i="1"/>
  <c r="V34" i="10"/>
  <c r="AK34" i="5"/>
  <c r="AQ34" i="8"/>
  <c r="AC34" i="7"/>
  <c r="C34" i="11"/>
  <c r="C33" i="8"/>
  <c r="F33" i="9"/>
  <c r="P33" i="7"/>
  <c r="B34" i="8" l="1"/>
  <c r="Y33" i="2"/>
  <c r="X33" i="2" s="1"/>
  <c r="D34" i="2" l="1"/>
  <c r="AW34" i="8"/>
  <c r="H34" i="11"/>
  <c r="E34" i="2"/>
  <c r="L34" i="2" s="1"/>
  <c r="AB34" i="7"/>
  <c r="AJ34" i="7" s="1"/>
  <c r="U34" i="2" l="1"/>
  <c r="W33" i="2" s="1"/>
  <c r="C34" i="2" l="1"/>
  <c r="I34" i="2" l="1"/>
  <c r="S34" i="8"/>
  <c r="H34" i="2"/>
  <c r="F34" i="2"/>
  <c r="F34" i="1"/>
  <c r="T34" i="8" l="1"/>
  <c r="W34" i="8" s="1"/>
  <c r="V34" i="8"/>
  <c r="AA34" i="1"/>
  <c r="S34" i="1" s="1"/>
  <c r="H35" i="1" s="1"/>
  <c r="I34" i="11"/>
  <c r="O34" i="7"/>
  <c r="J34" i="11"/>
  <c r="AP34" i="1"/>
  <c r="T34" i="1" s="1"/>
  <c r="I35" i="1" s="1"/>
  <c r="AO35" i="1" s="1"/>
  <c r="G34" i="2"/>
  <c r="Z34" i="2" s="1"/>
  <c r="AA35" i="8" s="1"/>
  <c r="C34" i="8" l="1"/>
  <c r="P34" i="7"/>
  <c r="F34" i="9"/>
  <c r="BJ35" i="1"/>
  <c r="C35" i="11"/>
  <c r="AQ35" i="8"/>
  <c r="BI35" i="1"/>
  <c r="V35" i="10"/>
  <c r="AC35" i="7"/>
  <c r="AK35" i="5"/>
  <c r="B35" i="8" l="1"/>
  <c r="Y34" i="2"/>
  <c r="X34" i="2" s="1"/>
  <c r="D35" i="2" l="1"/>
  <c r="AW35" i="8"/>
  <c r="AB35" i="7"/>
  <c r="AJ35" i="7" s="1"/>
  <c r="E35" i="2"/>
  <c r="L35" i="2" s="1"/>
  <c r="H35" i="11"/>
  <c r="U35" i="2" l="1"/>
  <c r="W34" i="2" s="1"/>
  <c r="C35" i="2" l="1"/>
  <c r="H35" i="2" l="1"/>
  <c r="F35" i="1"/>
  <c r="S35" i="8"/>
  <c r="I35" i="2"/>
  <c r="F35" i="2"/>
  <c r="AA35" i="1" l="1"/>
  <c r="S35" i="1" s="1"/>
  <c r="H36" i="1" s="1"/>
  <c r="I35" i="11"/>
  <c r="O35" i="7"/>
  <c r="AP35" i="1"/>
  <c r="T35" i="1" s="1"/>
  <c r="I36" i="1" s="1"/>
  <c r="AO36" i="1" s="1"/>
  <c r="J35" i="11"/>
  <c r="G35" i="2"/>
  <c r="Z35" i="2" s="1"/>
  <c r="AA36" i="8" s="1"/>
  <c r="V35" i="8"/>
  <c r="T35" i="8"/>
  <c r="W35" i="8" s="1"/>
  <c r="BJ36" i="1" l="1"/>
  <c r="C35" i="8"/>
  <c r="P35" i="7"/>
  <c r="F35" i="9"/>
  <c r="AQ36" i="8"/>
  <c r="C36" i="11"/>
  <c r="AK36" i="5"/>
  <c r="BI36" i="1"/>
  <c r="V36" i="10"/>
  <c r="AC36" i="7"/>
  <c r="B36" i="8" l="1"/>
  <c r="Y35" i="2"/>
  <c r="X35" i="2" s="1"/>
  <c r="D36" i="2" l="1"/>
  <c r="E36" i="2"/>
  <c r="L36" i="2" s="1"/>
  <c r="AW36" i="8"/>
  <c r="H36" i="11"/>
  <c r="AB36" i="7"/>
  <c r="AJ36" i="7" s="1"/>
  <c r="U36" i="2" l="1"/>
  <c r="W35" i="2" s="1"/>
  <c r="C36" i="2" l="1"/>
  <c r="S36" i="8" l="1"/>
  <c r="H36" i="2"/>
  <c r="I36" i="2"/>
  <c r="F36" i="2"/>
  <c r="F36" i="1"/>
  <c r="AP36" i="1" l="1"/>
  <c r="T36" i="1" s="1"/>
  <c r="I37" i="1" s="1"/>
  <c r="AO37" i="1" s="1"/>
  <c r="J36" i="11"/>
  <c r="G36" i="2"/>
  <c r="Z36" i="2" s="1"/>
  <c r="AA37" i="8" s="1"/>
  <c r="V36" i="8"/>
  <c r="T36" i="8"/>
  <c r="W36" i="8" s="1"/>
  <c r="AA36" i="1"/>
  <c r="S36" i="1" s="1"/>
  <c r="H37" i="1" s="1"/>
  <c r="I36" i="11"/>
  <c r="O36" i="7"/>
  <c r="AK37" i="5" l="1"/>
  <c r="AQ37" i="8"/>
  <c r="C37" i="11"/>
  <c r="V37" i="10"/>
  <c r="AC37" i="7"/>
  <c r="BI37" i="1"/>
  <c r="C36" i="8"/>
  <c r="P36" i="7"/>
  <c r="F36" i="9"/>
  <c r="BJ37" i="1"/>
  <c r="B37" i="8" l="1"/>
  <c r="Y36" i="2"/>
  <c r="X36" i="2" s="1"/>
  <c r="D37" i="2" l="1"/>
  <c r="AW37" i="8"/>
  <c r="H37" i="11"/>
  <c r="AB37" i="7"/>
  <c r="AJ37" i="7" s="1"/>
  <c r="E37" i="2"/>
  <c r="L37" i="2" s="1"/>
  <c r="U37" i="2" l="1"/>
  <c r="W36" i="2" s="1"/>
  <c r="C37" i="2" l="1"/>
  <c r="H37" i="2" l="1"/>
  <c r="I37" i="2"/>
  <c r="F37" i="2"/>
  <c r="F37" i="1"/>
  <c r="S37" i="8"/>
  <c r="AP37" i="1" l="1"/>
  <c r="T37" i="1" s="1"/>
  <c r="I38" i="1" s="1"/>
  <c r="AO38" i="1" s="1"/>
  <c r="J37" i="11"/>
  <c r="G37" i="2"/>
  <c r="Z37" i="2" s="1"/>
  <c r="AA38" i="8" s="1"/>
  <c r="V37" i="8"/>
  <c r="T37" i="8"/>
  <c r="W37" i="8" s="1"/>
  <c r="AA37" i="1"/>
  <c r="S37" i="1" s="1"/>
  <c r="H38" i="1" s="1"/>
  <c r="I37" i="11"/>
  <c r="O37" i="7"/>
  <c r="V38" i="10" l="1"/>
  <c r="AQ38" i="8"/>
  <c r="AC38" i="7"/>
  <c r="C38" i="11"/>
  <c r="AK38" i="5"/>
  <c r="BI38" i="1"/>
  <c r="C37" i="8"/>
  <c r="P37" i="7"/>
  <c r="F37" i="9"/>
  <c r="BJ38" i="1"/>
  <c r="B38" i="8" l="1"/>
  <c r="Y37" i="2"/>
  <c r="X37" i="2" s="1"/>
  <c r="D38" i="2" l="1"/>
  <c r="AB38" i="7"/>
  <c r="AJ38" i="7" s="1"/>
  <c r="H38" i="11"/>
  <c r="AW38" i="8"/>
  <c r="E38" i="2"/>
  <c r="L38" i="2" s="1"/>
  <c r="U38" i="2" l="1"/>
  <c r="W37" i="2" s="1"/>
  <c r="C38" i="2" l="1"/>
  <c r="F38" i="1" l="1"/>
  <c r="I38" i="2"/>
  <c r="S38" i="8"/>
  <c r="F38" i="2"/>
  <c r="H38" i="2"/>
  <c r="J38" i="11" l="1"/>
  <c r="AP38" i="1"/>
  <c r="T38" i="1" s="1"/>
  <c r="I39" i="1" s="1"/>
  <c r="AO39" i="1" s="1"/>
  <c r="G38" i="2"/>
  <c r="Z38" i="2" s="1"/>
  <c r="AA39" i="8" s="1"/>
  <c r="T38" i="8"/>
  <c r="W38" i="8" s="1"/>
  <c r="V38" i="8"/>
  <c r="AA38" i="1"/>
  <c r="S38" i="1" s="1"/>
  <c r="H39" i="1" s="1"/>
  <c r="I38" i="11"/>
  <c r="O38" i="7"/>
  <c r="C38" i="8" l="1"/>
  <c r="BJ39" i="1"/>
  <c r="AQ39" i="8"/>
  <c r="AC39" i="7"/>
  <c r="V39" i="10"/>
  <c r="C39" i="11"/>
  <c r="AK39" i="5"/>
  <c r="BI39" i="1"/>
  <c r="P38" i="7"/>
  <c r="F38" i="9"/>
  <c r="B39" i="8" l="1"/>
  <c r="Y38" i="2"/>
  <c r="X38" i="2" s="1"/>
  <c r="D39" i="2" l="1"/>
  <c r="H39" i="11"/>
  <c r="AB39" i="7"/>
  <c r="AJ39" i="7" s="1"/>
  <c r="E39" i="2"/>
  <c r="L39" i="2" s="1"/>
  <c r="AW39" i="8"/>
  <c r="U39" i="2" l="1"/>
  <c r="W38" i="2" s="1"/>
  <c r="C39" i="2" l="1"/>
  <c r="H39" i="2" l="1"/>
  <c r="S39" i="8"/>
  <c r="F39" i="2"/>
  <c r="I39" i="2"/>
  <c r="F39" i="1"/>
  <c r="T39" i="8" l="1"/>
  <c r="W39" i="8" s="1"/>
  <c r="V39" i="8"/>
  <c r="J39" i="11"/>
  <c r="AP39" i="1"/>
  <c r="T39" i="1" s="1"/>
  <c r="I40" i="1" s="1"/>
  <c r="AO40" i="1" s="1"/>
  <c r="G39" i="2"/>
  <c r="Z39" i="2" s="1"/>
  <c r="AA40" i="8" s="1"/>
  <c r="AA39" i="1"/>
  <c r="S39" i="1" s="1"/>
  <c r="H40" i="1" s="1"/>
  <c r="I39" i="11"/>
  <c r="O39" i="7"/>
  <c r="C40" i="11" l="1"/>
  <c r="AQ40" i="8"/>
  <c r="AC40" i="7"/>
  <c r="BI40" i="1"/>
  <c r="V40" i="10"/>
  <c r="AK40" i="5"/>
  <c r="C39" i="8"/>
  <c r="BJ40" i="1"/>
  <c r="F39" i="9"/>
  <c r="P39" i="7"/>
  <c r="B40" i="8" l="1"/>
  <c r="Y39" i="2"/>
  <c r="X39" i="2" s="1"/>
  <c r="D40" i="2" l="1"/>
  <c r="E40" i="2"/>
  <c r="L40" i="2" s="1"/>
  <c r="H40" i="11"/>
  <c r="AW40" i="8"/>
  <c r="AB40" i="7"/>
  <c r="AJ40" i="7" s="1"/>
  <c r="U40" i="2" l="1"/>
  <c r="W39" i="2" s="1"/>
  <c r="C40" i="2" l="1"/>
  <c r="S40" i="8" l="1"/>
  <c r="I40" i="2"/>
  <c r="H40" i="2"/>
  <c r="F40" i="2"/>
  <c r="F40" i="1"/>
  <c r="O40" i="7" l="1"/>
  <c r="I40" i="11"/>
  <c r="AP40" i="1"/>
  <c r="T40" i="1" s="1"/>
  <c r="I41" i="1" s="1"/>
  <c r="AO41" i="1" s="1"/>
  <c r="J40" i="11"/>
  <c r="G40" i="2"/>
  <c r="Z40" i="2" s="1"/>
  <c r="AA41" i="8" s="1"/>
  <c r="AA40" i="1"/>
  <c r="S40" i="1" s="1"/>
  <c r="H41" i="1" s="1"/>
  <c r="V40" i="8"/>
  <c r="T40" i="8"/>
  <c r="W40" i="8" s="1"/>
  <c r="BJ41" i="1" l="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G41" i="2" s="1"/>
  <c r="Z41" i="2" s="1"/>
  <c r="AA42" i="8" s="1"/>
  <c r="I41" i="2"/>
  <c r="O41" i="7" s="1"/>
  <c r="F41" i="1"/>
  <c r="H41" i="2"/>
  <c r="V41" i="8"/>
  <c r="T41" i="8"/>
  <c r="W41" i="8" s="1"/>
  <c r="AP41" i="1" l="1"/>
  <c r="T41" i="1" s="1"/>
  <c r="I42" i="1" s="1"/>
  <c r="AO42" i="1" s="1"/>
  <c r="J41" i="11"/>
  <c r="P41" i="7" s="1"/>
  <c r="I41" i="11"/>
  <c r="AA41" i="1"/>
  <c r="S41" i="1" s="1"/>
  <c r="H42" i="1" s="1"/>
  <c r="AK42" i="5" s="1"/>
  <c r="C41" i="8"/>
  <c r="F41" i="9" l="1"/>
  <c r="BJ42" i="1"/>
  <c r="AC42" i="7"/>
  <c r="BI42" i="1"/>
  <c r="C42" i="11"/>
  <c r="AQ42" i="8"/>
  <c r="V42" i="10"/>
  <c r="B42" i="8"/>
  <c r="Y41" i="2"/>
  <c r="X41" i="2" s="1"/>
  <c r="D42" i="2" l="1"/>
  <c r="AB42" i="7"/>
  <c r="AJ42" i="7" s="1"/>
  <c r="AW42" i="8"/>
  <c r="E42" i="2"/>
  <c r="L42" i="2" s="1"/>
  <c r="H42" i="11"/>
  <c r="U42" i="2" l="1"/>
  <c r="W41" i="2" s="1"/>
  <c r="C42" i="2" l="1"/>
  <c r="I42" i="2" l="1"/>
  <c r="S42" i="8"/>
  <c r="F42" i="2"/>
  <c r="H42" i="2"/>
  <c r="F42" i="1"/>
  <c r="AP42" i="1" l="1"/>
  <c r="T42" i="1" s="1"/>
  <c r="I43" i="1" s="1"/>
  <c r="AO43" i="1" s="1"/>
  <c r="J42" i="11"/>
  <c r="G42" i="2"/>
  <c r="Z42" i="2" s="1"/>
  <c r="AA43" i="8" s="1"/>
  <c r="T42" i="8"/>
  <c r="W42" i="8" s="1"/>
  <c r="V42" i="8"/>
  <c r="AA42" i="1"/>
  <c r="S42" i="1" s="1"/>
  <c r="H43" i="1" s="1"/>
  <c r="O42" i="7"/>
  <c r="I42" i="11"/>
  <c r="C42" i="8" l="1"/>
  <c r="AC43" i="7"/>
  <c r="AK43" i="5"/>
  <c r="BI43" i="1"/>
  <c r="C43" i="11"/>
  <c r="AQ43" i="8"/>
  <c r="V43" i="10"/>
  <c r="P42" i="7"/>
  <c r="F42" i="9"/>
  <c r="BJ43" i="1"/>
  <c r="B43" i="8" l="1"/>
  <c r="Y42" i="2"/>
  <c r="X42" i="2" s="1"/>
  <c r="D43" i="2" l="1"/>
  <c r="H43" i="11"/>
  <c r="AW43" i="8"/>
  <c r="E43" i="2"/>
  <c r="L43" i="2" s="1"/>
  <c r="AB43" i="7"/>
  <c r="AJ43" i="7" s="1"/>
  <c r="U43" i="2" l="1"/>
  <c r="W42" i="2" s="1"/>
  <c r="C43" i="2" l="1"/>
  <c r="I43" i="2" l="1"/>
  <c r="AA43" i="1" s="1"/>
  <c r="S43" i="1" s="1"/>
  <c r="H44" i="1" s="1"/>
  <c r="S43" i="8"/>
  <c r="F43" i="2"/>
  <c r="F43" i="1"/>
  <c r="H43" i="2"/>
  <c r="AK44" i="5" l="1"/>
  <c r="BI44" i="1"/>
  <c r="C44" i="11"/>
  <c r="AQ44" i="8"/>
  <c r="V44" i="10"/>
  <c r="AC44" i="7"/>
  <c r="J43" i="11"/>
  <c r="AP43" i="1"/>
  <c r="T43" i="1" s="1"/>
  <c r="I44" i="1" s="1"/>
  <c r="AO44" i="1" s="1"/>
  <c r="G43" i="2"/>
  <c r="Z43" i="2" s="1"/>
  <c r="AA44" i="8" s="1"/>
  <c r="V43" i="8"/>
  <c r="T43" i="8"/>
  <c r="W43" i="8" s="1"/>
  <c r="I43" i="11"/>
  <c r="O43" i="7"/>
  <c r="P43" i="7" l="1"/>
  <c r="F43" i="9"/>
  <c r="BJ44" i="1"/>
  <c r="C43" i="8"/>
  <c r="B44" i="8" l="1"/>
  <c r="Y43" i="2"/>
  <c r="X43" i="2" s="1"/>
  <c r="D44" i="2" l="1"/>
  <c r="H44" i="11"/>
  <c r="E44" i="2"/>
  <c r="L44" i="2" s="1"/>
  <c r="AW44" i="8"/>
  <c r="AB44" i="7"/>
  <c r="AJ44" i="7" s="1"/>
  <c r="U44" i="2" l="1"/>
  <c r="W43" i="2" s="1"/>
  <c r="C44" i="2" l="1"/>
  <c r="F44" i="1" l="1"/>
  <c r="I44" i="2"/>
  <c r="AA44" i="1" s="1"/>
  <c r="S44" i="1" s="1"/>
  <c r="H45" i="1" s="1"/>
  <c r="S44" i="8"/>
  <c r="H44" i="2"/>
  <c r="F44" i="2"/>
  <c r="AP44" i="1" l="1"/>
  <c r="T44" i="1" s="1"/>
  <c r="I45" i="1" s="1"/>
  <c r="AO45" i="1" s="1"/>
  <c r="J44" i="11"/>
  <c r="G44" i="2"/>
  <c r="Z44" i="2" s="1"/>
  <c r="AA45" i="8" s="1"/>
  <c r="V44" i="8"/>
  <c r="T44" i="8"/>
  <c r="W44" i="8" s="1"/>
  <c r="AQ45" i="8"/>
  <c r="AC45" i="7"/>
  <c r="V45" i="10"/>
  <c r="C45" i="11"/>
  <c r="BI45" i="1"/>
  <c r="AK45" i="5"/>
  <c r="I44" i="11"/>
  <c r="O44" i="7"/>
  <c r="C44" i="8" l="1"/>
  <c r="P44" i="7"/>
  <c r="F44" i="9"/>
  <c r="BJ45" i="1"/>
  <c r="B45" i="8" l="1"/>
  <c r="Y44" i="2"/>
  <c r="X44" i="2" s="1"/>
  <c r="D45" i="2" l="1"/>
  <c r="AW45" i="8"/>
  <c r="H45" i="11"/>
  <c r="AB45" i="7"/>
  <c r="AJ45" i="7" s="1"/>
  <c r="E45" i="2"/>
  <c r="L45" i="2" s="1"/>
  <c r="U45" i="2" l="1"/>
  <c r="W44" i="2" s="1"/>
  <c r="C45" i="2" l="1"/>
  <c r="H45" i="2" l="1"/>
  <c r="S45" i="8"/>
  <c r="F45" i="1"/>
  <c r="F45" i="2"/>
  <c r="I45" i="2"/>
  <c r="AP45" i="1" l="1"/>
  <c r="T45" i="1" s="1"/>
  <c r="I46" i="1" s="1"/>
  <c r="AO46" i="1" s="1"/>
  <c r="J45" i="11"/>
  <c r="G45" i="2"/>
  <c r="Z45" i="2" s="1"/>
  <c r="AA46" i="8" s="1"/>
  <c r="I45" i="11"/>
  <c r="O45" i="7"/>
  <c r="T45" i="8"/>
  <c r="W45" i="8" s="1"/>
  <c r="V45" i="8"/>
  <c r="AA45" i="1"/>
  <c r="S45" i="1" s="1"/>
  <c r="H46" i="1" s="1"/>
  <c r="AQ46" i="8" l="1"/>
  <c r="BI46" i="1"/>
  <c r="AK46" i="5"/>
  <c r="V46" i="10"/>
  <c r="C46" i="11"/>
  <c r="AC46" i="7"/>
  <c r="C45" i="8"/>
  <c r="P45" i="7"/>
  <c r="F45" i="9"/>
  <c r="BJ46" i="1"/>
  <c r="B46" i="8" l="1"/>
  <c r="Y45" i="2"/>
  <c r="X45" i="2" s="1"/>
  <c r="D46" i="2" l="1"/>
  <c r="E46" i="2"/>
  <c r="L46" i="2" s="1"/>
  <c r="AW46" i="8"/>
  <c r="H46" i="11"/>
  <c r="AB46" i="7"/>
  <c r="AJ46" i="7" s="1"/>
  <c r="U46" i="2" l="1"/>
  <c r="W45" i="2" s="1"/>
  <c r="C46" i="2" l="1"/>
  <c r="F46" i="1" l="1"/>
  <c r="F46" i="2"/>
  <c r="I46" i="2"/>
  <c r="AA46" i="1" s="1"/>
  <c r="S46" i="1" s="1"/>
  <c r="H47" i="1" s="1"/>
  <c r="H46" i="2"/>
  <c r="S46" i="8"/>
  <c r="T46" i="8" l="1"/>
  <c r="W46" i="8" s="1"/>
  <c r="V46" i="8"/>
  <c r="AC47" i="7"/>
  <c r="C47" i="11"/>
  <c r="AQ47" i="8"/>
  <c r="AK47" i="5"/>
  <c r="BI47" i="1"/>
  <c r="V47" i="10"/>
  <c r="J46" i="11"/>
  <c r="AP46" i="1"/>
  <c r="T46" i="1" s="1"/>
  <c r="I47" i="1" s="1"/>
  <c r="AO47" i="1" s="1"/>
  <c r="G46" i="2"/>
  <c r="Z46" i="2" s="1"/>
  <c r="AA47" i="8" s="1"/>
  <c r="I46" i="11"/>
  <c r="O46" i="7"/>
  <c r="BJ47" i="1" l="1"/>
  <c r="C46" i="8"/>
  <c r="F46" i="9"/>
  <c r="P46" i="7"/>
  <c r="B47" i="8" l="1"/>
  <c r="Y46" i="2"/>
  <c r="X46" i="2" s="1"/>
  <c r="D47" i="2" l="1"/>
  <c r="H47" i="11"/>
  <c r="AB47" i="7"/>
  <c r="AJ47" i="7" s="1"/>
  <c r="AW47" i="8"/>
  <c r="E47" i="2"/>
  <c r="L47" i="2" s="1"/>
  <c r="U47" i="2" l="1"/>
  <c r="W46" i="2" s="1"/>
  <c r="C47" i="2" l="1"/>
  <c r="I47" i="2" l="1"/>
  <c r="F47" i="2"/>
  <c r="F47" i="1"/>
  <c r="S47" i="8"/>
  <c r="H47" i="2"/>
  <c r="V47" i="8" l="1"/>
  <c r="T47" i="8"/>
  <c r="W47" i="8" s="1"/>
  <c r="AA47" i="1"/>
  <c r="S47" i="1" s="1"/>
  <c r="H48" i="1" s="1"/>
  <c r="I47" i="11"/>
  <c r="O47" i="7"/>
  <c r="AP47" i="1"/>
  <c r="T47" i="1" s="1"/>
  <c r="I48" i="1" s="1"/>
  <c r="AO48" i="1" s="1"/>
  <c r="J47" i="11"/>
  <c r="G47" i="2"/>
  <c r="Z47" i="2" s="1"/>
  <c r="AA48" i="8" s="1"/>
  <c r="F47" i="9" l="1"/>
  <c r="P47" i="7"/>
  <c r="C47" i="8"/>
  <c r="BJ48" i="1"/>
  <c r="AK48" i="5"/>
  <c r="AC48" i="7"/>
  <c r="BI48" i="1"/>
  <c r="AQ48" i="8"/>
  <c r="C48" i="11"/>
  <c r="V48" i="10"/>
  <c r="B48" i="8" l="1"/>
  <c r="Y47" i="2"/>
  <c r="X47" i="2" s="1"/>
  <c r="D48" i="2" l="1"/>
  <c r="AW48" i="8"/>
  <c r="E48" i="2"/>
  <c r="L48" i="2" s="1"/>
  <c r="AB48" i="7"/>
  <c r="AJ48" i="7" s="1"/>
  <c r="H48" i="11"/>
  <c r="U48" i="2" l="1"/>
  <c r="W47" i="2" s="1"/>
  <c r="C48" i="2" l="1"/>
  <c r="F48" i="1" l="1"/>
  <c r="I48" i="2"/>
  <c r="AA48" i="1" s="1"/>
  <c r="S48" i="1" s="1"/>
  <c r="H49" i="1" s="1"/>
  <c r="H48" i="2"/>
  <c r="F48" i="2"/>
  <c r="S48" i="8"/>
  <c r="O48" i="7" l="1"/>
  <c r="I48" i="11"/>
  <c r="V48" i="8"/>
  <c r="T48" i="8"/>
  <c r="W48" i="8" s="1"/>
  <c r="J48" i="11"/>
  <c r="AP48" i="1"/>
  <c r="T48" i="1" s="1"/>
  <c r="I49" i="1" s="1"/>
  <c r="AO49" i="1" s="1"/>
  <c r="G48" i="2"/>
  <c r="Z48" i="2" s="1"/>
  <c r="AA49" i="8" s="1"/>
  <c r="C49" i="11"/>
  <c r="AK49" i="5"/>
  <c r="AC49" i="7"/>
  <c r="AQ49" i="8"/>
  <c r="V49" i="10"/>
  <c r="BI49" i="1"/>
  <c r="C48" i="8" l="1"/>
  <c r="F48" i="9"/>
  <c r="P48" i="7"/>
  <c r="BJ49" i="1"/>
  <c r="B49" i="8" l="1"/>
  <c r="Y48" i="2"/>
  <c r="X48" i="2" s="1"/>
  <c r="D49" i="2" l="1"/>
  <c r="H49" i="11"/>
  <c r="E49" i="2"/>
  <c r="L49" i="2" s="1"/>
  <c r="AB49" i="7"/>
  <c r="AJ49" i="7" s="1"/>
  <c r="AW49" i="8"/>
  <c r="U49" i="2" l="1"/>
  <c r="W48" i="2" s="1"/>
  <c r="C49" i="2" l="1"/>
  <c r="F49" i="2" l="1"/>
  <c r="H49" i="2"/>
  <c r="F49" i="1"/>
  <c r="I49" i="2"/>
  <c r="S49" i="8"/>
  <c r="AA49" i="1" l="1"/>
  <c r="S49" i="1" s="1"/>
  <c r="H50" i="1" s="1"/>
  <c r="O49" i="7"/>
  <c r="I49" i="11"/>
  <c r="J49" i="11"/>
  <c r="AP49" i="1"/>
  <c r="T49" i="1" s="1"/>
  <c r="I50" i="1" s="1"/>
  <c r="AO50" i="1" s="1"/>
  <c r="G49" i="2"/>
  <c r="Z49" i="2" s="1"/>
  <c r="AA50" i="8" s="1"/>
  <c r="V49" i="8"/>
  <c r="T49" i="8"/>
  <c r="W49" i="8" s="1"/>
  <c r="C49" i="8" l="1"/>
  <c r="BJ50" i="1"/>
  <c r="F49" i="9"/>
  <c r="P49" i="7"/>
  <c r="AC50" i="7"/>
  <c r="C50" i="11"/>
  <c r="BI50" i="1"/>
  <c r="AK50" i="5"/>
  <c r="AQ50" i="8"/>
  <c r="V50" i="10"/>
  <c r="B50" i="8" l="1"/>
  <c r="Y49" i="2"/>
  <c r="X49" i="2" s="1"/>
  <c r="D50" i="2" l="1"/>
  <c r="AW50" i="8"/>
  <c r="H50" i="11"/>
  <c r="E50" i="2"/>
  <c r="L50" i="2" s="1"/>
  <c r="AB50" i="7"/>
  <c r="AJ50" i="7" s="1"/>
  <c r="U50" i="2" l="1"/>
  <c r="W49" i="2" s="1"/>
  <c r="C50" i="2" l="1"/>
  <c r="F50" i="2" l="1"/>
  <c r="I50" i="2"/>
  <c r="S50" i="8"/>
  <c r="H50" i="2"/>
  <c r="F50" i="1"/>
  <c r="T50" i="8" l="1"/>
  <c r="W50" i="8" s="1"/>
  <c r="V50" i="8"/>
  <c r="AA50" i="1"/>
  <c r="S50" i="1" s="1"/>
  <c r="I50" i="11"/>
  <c r="O50" i="7"/>
  <c r="J50" i="11"/>
  <c r="AP50" i="1"/>
  <c r="T50" i="1" s="1"/>
  <c r="I51" i="1" s="1"/>
  <c r="AO51" i="1" s="1"/>
  <c r="G50" i="2"/>
  <c r="Z50" i="2" s="1"/>
  <c r="AA51" i="8" s="1"/>
  <c r="C50" i="8" l="1"/>
  <c r="BJ51" i="1"/>
  <c r="P50" i="7"/>
  <c r="F50" i="9"/>
  <c r="B51" i="8" l="1"/>
  <c r="Y50" i="2"/>
  <c r="X50" i="2" s="1"/>
  <c r="D51" i="2" l="1"/>
  <c r="AB51" i="7"/>
  <c r="H51" i="11"/>
  <c r="AW51" i="8"/>
  <c r="E51" i="2"/>
  <c r="L51" i="2" s="1"/>
  <c r="U51" i="2" l="1"/>
  <c r="W50" i="2" s="1"/>
  <c r="C51" i="2" l="1"/>
  <c r="F51" i="2" l="1"/>
  <c r="I51" i="2"/>
  <c r="AA51" i="1" s="1"/>
  <c r="S51" i="1" s="1"/>
  <c r="H51" i="2"/>
  <c r="F51" i="1"/>
  <c r="S51" i="8"/>
  <c r="H51" i="1"/>
  <c r="AK51" i="5" l="1"/>
  <c r="BI51" i="1"/>
  <c r="V51" i="10"/>
  <c r="AC51" i="7"/>
  <c r="AJ51" i="7" s="1"/>
  <c r="AQ51" i="8"/>
  <c r="C51" i="11"/>
  <c r="T51" i="8"/>
  <c r="W51" i="8" s="1"/>
  <c r="V51" i="8"/>
  <c r="O51" i="7"/>
  <c r="I51" i="11"/>
  <c r="J51" i="11"/>
  <c r="AP51" i="1"/>
  <c r="T51" i="1" s="1"/>
  <c r="I52" i="1" s="1"/>
  <c r="AO52" i="1" s="1"/>
  <c r="G51" i="2"/>
  <c r="Z51" i="2" s="1"/>
  <c r="AA52" i="8" s="1"/>
  <c r="BJ52" i="1" l="1"/>
  <c r="F51" i="9"/>
  <c r="P51" i="7"/>
  <c r="C51" i="8"/>
  <c r="B52" i="8" l="1"/>
  <c r="Y51" i="2"/>
  <c r="X51" i="2" s="1"/>
  <c r="D52" i="2" l="1"/>
  <c r="E52" i="2"/>
  <c r="L52" i="2" s="1"/>
  <c r="AB52" i="7"/>
  <c r="AW52" i="8"/>
  <c r="H52" i="11"/>
  <c r="U52" i="2" l="1"/>
  <c r="W51" i="2" s="1"/>
  <c r="C52" i="2" l="1"/>
  <c r="F52" i="1" s="1"/>
  <c r="S52" i="8" l="1"/>
  <c r="V52" i="8" s="1"/>
  <c r="H52" i="1"/>
  <c r="BI52" i="1" s="1"/>
  <c r="F52" i="2"/>
  <c r="AP52" i="1" s="1"/>
  <c r="T52" i="1" s="1"/>
  <c r="I53" i="1" s="1"/>
  <c r="AO53" i="1" s="1"/>
  <c r="H52" i="2"/>
  <c r="I52" i="2"/>
  <c r="AA52" i="1" s="1"/>
  <c r="S52" i="1" s="1"/>
  <c r="H53" i="1" s="1"/>
  <c r="G52" i="2"/>
  <c r="Z52" i="2" s="1"/>
  <c r="AA53" i="8" s="1"/>
  <c r="T52" i="8" l="1"/>
  <c r="W52" i="8" s="1"/>
  <c r="O52" i="7"/>
  <c r="J52" i="11"/>
  <c r="P52" i="7" s="1"/>
  <c r="I52" i="11"/>
  <c r="C52" i="11"/>
  <c r="AK52" i="5"/>
  <c r="V52" i="10"/>
  <c r="AQ52" i="8"/>
  <c r="AC52" i="7"/>
  <c r="AJ52" i="7" s="1"/>
  <c r="AC53" i="7"/>
  <c r="V53" i="10"/>
  <c r="BI53" i="1"/>
  <c r="AK53" i="5"/>
  <c r="C53" i="11"/>
  <c r="AQ53" i="8"/>
  <c r="BJ53" i="1"/>
  <c r="C52" i="8"/>
  <c r="F52" i="9" l="1"/>
  <c r="B53" i="8"/>
  <c r="Y52" i="2"/>
  <c r="X52" i="2" s="1"/>
  <c r="D53" i="2" l="1"/>
  <c r="H53" i="11"/>
  <c r="E53" i="2"/>
  <c r="L53" i="2" s="1"/>
  <c r="AW53" i="8"/>
  <c r="AB53" i="7"/>
  <c r="AJ53" i="7" s="1"/>
  <c r="U53" i="2" l="1"/>
  <c r="W52" i="2" s="1"/>
  <c r="C53" i="2" l="1"/>
  <c r="F53" i="2" l="1"/>
  <c r="F53" i="1"/>
  <c r="I53" i="2"/>
  <c r="H53" i="2"/>
  <c r="S53" i="8"/>
  <c r="T53" i="8" l="1"/>
  <c r="W53" i="8" s="1"/>
  <c r="V53" i="8"/>
  <c r="AA53" i="1"/>
  <c r="S53" i="1" s="1"/>
  <c r="H54" i="1" s="1"/>
  <c r="I53" i="11"/>
  <c r="O53" i="7"/>
  <c r="AP53" i="1"/>
  <c r="T53" i="1" s="1"/>
  <c r="I54" i="1" s="1"/>
  <c r="AO54" i="1" s="1"/>
  <c r="J53" i="11"/>
  <c r="G53" i="2"/>
  <c r="Z53" i="2" s="1"/>
  <c r="AA54" i="8" s="1"/>
  <c r="P53" i="7" l="1"/>
  <c r="F53" i="9"/>
  <c r="C54" i="11"/>
  <c r="AC54" i="7"/>
  <c r="AQ54" i="8"/>
  <c r="BI54" i="1"/>
  <c r="V54" i="10"/>
  <c r="AK54" i="5"/>
  <c r="C53" i="8"/>
  <c r="BJ54" i="1"/>
  <c r="B54" i="8" l="1"/>
  <c r="Y53" i="2"/>
  <c r="X53" i="2" s="1"/>
  <c r="D54" i="2" l="1"/>
  <c r="E54" i="2"/>
  <c r="L54" i="2" s="1"/>
  <c r="AW54" i="8"/>
  <c r="AB54" i="7"/>
  <c r="AJ54" i="7" s="1"/>
  <c r="H54" i="11"/>
  <c r="U54" i="2" l="1"/>
  <c r="W53" i="2" s="1"/>
  <c r="C54" i="2" l="1"/>
  <c r="H54" i="2" l="1"/>
  <c r="I54" i="2"/>
  <c r="AA54" i="1" s="1"/>
  <c r="S54" i="1" s="1"/>
  <c r="H55" i="1" s="1"/>
  <c r="F54" i="2"/>
  <c r="S54" i="8"/>
  <c r="F54" i="1"/>
  <c r="J54" i="11" l="1"/>
  <c r="AP54" i="1"/>
  <c r="T54" i="1" s="1"/>
  <c r="I55" i="1" s="1"/>
  <c r="AO55" i="1" s="1"/>
  <c r="G54" i="2"/>
  <c r="Z54" i="2" s="1"/>
  <c r="AA55" i="8" s="1"/>
  <c r="O54" i="7"/>
  <c r="I54" i="11"/>
  <c r="AQ55" i="8"/>
  <c r="AC55" i="7"/>
  <c r="C55" i="11"/>
  <c r="V55" i="10"/>
  <c r="AK55" i="5"/>
  <c r="BI55" i="1"/>
  <c r="T54" i="8"/>
  <c r="W54" i="8" s="1"/>
  <c r="V54" i="8"/>
  <c r="C54" i="8" l="1"/>
  <c r="BJ55" i="1"/>
  <c r="F54" i="9"/>
  <c r="P54" i="7"/>
  <c r="B55" i="8" l="1"/>
  <c r="Y54" i="2"/>
  <c r="X54" i="2" s="1"/>
  <c r="D55" i="2" l="1"/>
  <c r="AB55" i="7"/>
  <c r="AJ55" i="7" s="1"/>
  <c r="H55" i="11"/>
  <c r="E55" i="2"/>
  <c r="L55" i="2" s="1"/>
  <c r="AW55" i="8"/>
  <c r="U55" i="2" l="1"/>
  <c r="W54" i="2" s="1"/>
  <c r="C55" i="2" l="1"/>
  <c r="I55" i="2" l="1"/>
  <c r="AA55" i="1" s="1"/>
  <c r="S55" i="1" s="1"/>
  <c r="H56" i="1" s="1"/>
  <c r="H55" i="2"/>
  <c r="S55" i="8"/>
  <c r="F55" i="2"/>
  <c r="F55" i="1"/>
  <c r="AP55" i="1" l="1"/>
  <c r="T55" i="1" s="1"/>
  <c r="I56" i="1" s="1"/>
  <c r="AO56" i="1" s="1"/>
  <c r="J55" i="11"/>
  <c r="G55" i="2"/>
  <c r="Z55" i="2" s="1"/>
  <c r="AA56" i="8" s="1"/>
  <c r="AK56" i="5"/>
  <c r="AQ56" i="8"/>
  <c r="AC56" i="7"/>
  <c r="BI56" i="1"/>
  <c r="V56" i="10"/>
  <c r="C56" i="11"/>
  <c r="I55" i="11"/>
  <c r="O55" i="7"/>
  <c r="V55" i="8"/>
  <c r="T55" i="8"/>
  <c r="W55" i="8" s="1"/>
  <c r="C55" i="8" l="1"/>
  <c r="P55" i="7"/>
  <c r="F55" i="9"/>
  <c r="BJ56" i="1"/>
  <c r="B56" i="8" l="1"/>
  <c r="Y55" i="2"/>
  <c r="X55" i="2" s="1"/>
  <c r="D56" i="2" l="1"/>
  <c r="E56" i="2"/>
  <c r="L56" i="2" s="1"/>
  <c r="AW56" i="8"/>
  <c r="H56" i="11"/>
  <c r="AB56" i="7"/>
  <c r="AJ56" i="7" s="1"/>
  <c r="U56" i="2" l="1"/>
  <c r="W55" i="2" s="1"/>
  <c r="C56" i="2" l="1"/>
  <c r="F56" i="1" l="1"/>
  <c r="F56" i="2"/>
  <c r="I56" i="2"/>
  <c r="H56" i="2"/>
  <c r="S56" i="8"/>
  <c r="T56" i="8" l="1"/>
  <c r="W56" i="8" s="1"/>
  <c r="V56" i="8"/>
  <c r="J56" i="11"/>
  <c r="AP56" i="1"/>
  <c r="T56" i="1" s="1"/>
  <c r="I57" i="1" s="1"/>
  <c r="AO57" i="1" s="1"/>
  <c r="G56" i="2"/>
  <c r="Z56" i="2" s="1"/>
  <c r="AA57" i="8" s="1"/>
  <c r="AA56" i="1"/>
  <c r="S56" i="1" s="1"/>
  <c r="H57" i="1" s="1"/>
  <c r="O56" i="7"/>
  <c r="I56" i="11"/>
  <c r="BJ57" i="1" l="1"/>
  <c r="P56" i="7"/>
  <c r="F56" i="9"/>
  <c r="BI57" i="1"/>
  <c r="V57" i="10"/>
  <c r="AQ57" i="8"/>
  <c r="AK57" i="5"/>
  <c r="AC57" i="7"/>
  <c r="C57" i="11"/>
  <c r="C56" i="8"/>
  <c r="B57" i="8" l="1"/>
  <c r="Y56" i="2"/>
  <c r="X56" i="2" s="1"/>
  <c r="D57" i="2" l="1"/>
  <c r="AB57" i="7"/>
  <c r="AJ57" i="7" s="1"/>
  <c r="AW57" i="8"/>
  <c r="E57" i="2"/>
  <c r="L57" i="2" s="1"/>
  <c r="H57" i="11"/>
  <c r="U57" i="2" l="1"/>
  <c r="W56" i="2" s="1"/>
  <c r="C57" i="2" l="1"/>
  <c r="H57" i="2" l="1"/>
  <c r="F57" i="2"/>
  <c r="I57" i="2"/>
  <c r="S57" i="8"/>
  <c r="F57" i="1"/>
  <c r="T57" i="8" l="1"/>
  <c r="W57" i="8" s="1"/>
  <c r="V57" i="8"/>
  <c r="J57" i="11"/>
  <c r="AP57" i="1"/>
  <c r="T57" i="1" s="1"/>
  <c r="I58" i="1" s="1"/>
  <c r="AO58" i="1" s="1"/>
  <c r="G57" i="2"/>
  <c r="Z57" i="2" s="1"/>
  <c r="AA58" i="8" s="1"/>
  <c r="AA57" i="1"/>
  <c r="S57" i="1" s="1"/>
  <c r="H58" i="1" s="1"/>
  <c r="O57" i="7"/>
  <c r="I57" i="11"/>
  <c r="C58" i="11" l="1"/>
  <c r="AQ58" i="8"/>
  <c r="V58" i="10"/>
  <c r="BI58" i="1"/>
  <c r="AK58" i="5"/>
  <c r="AC58" i="7"/>
  <c r="C57" i="8"/>
  <c r="BJ58" i="1"/>
  <c r="F57" i="9"/>
  <c r="P57" i="7"/>
  <c r="Y57" i="2" l="1"/>
  <c r="X57" i="2" s="1"/>
  <c r="B58" i="8" l="1"/>
  <c r="D58" i="2" s="1"/>
  <c r="U58" i="2" s="1"/>
  <c r="H58" i="11"/>
  <c r="AB58" i="7"/>
  <c r="AJ58" i="7" s="1"/>
  <c r="E58" i="2"/>
  <c r="L58" i="2" s="1"/>
  <c r="AW58" i="8"/>
  <c r="W57" i="2" l="1"/>
  <c r="C58" i="2" l="1"/>
  <c r="F58" i="1" l="1"/>
  <c r="H58" i="2"/>
  <c r="S58" i="8"/>
  <c r="F58" i="2"/>
  <c r="I58" i="2"/>
  <c r="AA58" i="1" s="1"/>
  <c r="S58" i="1" s="1"/>
  <c r="H59" i="1" s="1"/>
  <c r="AK59" i="5" l="1"/>
  <c r="AC59" i="7"/>
  <c r="C59" i="11"/>
  <c r="AQ59" i="8"/>
  <c r="V59" i="10"/>
  <c r="BI59" i="1"/>
  <c r="I58" i="11"/>
  <c r="O58" i="7"/>
  <c r="J58" i="11"/>
  <c r="AP58" i="1"/>
  <c r="T58" i="1" s="1"/>
  <c r="I59" i="1" s="1"/>
  <c r="AO59" i="1" s="1"/>
  <c r="G58" i="2"/>
  <c r="Z58" i="2" s="1"/>
  <c r="T58" i="8"/>
  <c r="W58" i="8" s="1"/>
  <c r="V58" i="8"/>
  <c r="AO59" i="8" l="1"/>
  <c r="AA59" i="8" s="1"/>
  <c r="BJ59" i="1"/>
  <c r="C58" i="8"/>
  <c r="P58" i="7"/>
  <c r="F58" i="9"/>
  <c r="B59" i="8" l="1"/>
  <c r="Y58" i="2"/>
  <c r="X58" i="2" s="1"/>
  <c r="E59" i="2" l="1"/>
  <c r="L59" i="2" s="1"/>
  <c r="H59" i="11"/>
  <c r="AB59" i="7"/>
  <c r="AJ59" i="7" s="1"/>
  <c r="AW59" i="8"/>
  <c r="D59" i="2"/>
  <c r="U59" i="2" s="1"/>
  <c r="W58" i="2" l="1"/>
  <c r="C59" i="2" l="1"/>
  <c r="F59" i="1" l="1"/>
  <c r="S59" i="8"/>
  <c r="I59" i="2"/>
  <c r="AA59" i="1" s="1"/>
  <c r="S59" i="1" s="1"/>
  <c r="H60" i="1" s="1"/>
  <c r="H59" i="2"/>
  <c r="F59" i="2"/>
  <c r="AP59" i="1" l="1"/>
  <c r="T59" i="1" s="1"/>
  <c r="I60" i="1" s="1"/>
  <c r="AO60" i="1" s="1"/>
  <c r="J59" i="11"/>
  <c r="G59" i="2"/>
  <c r="V60" i="10"/>
  <c r="AC60" i="7"/>
  <c r="C60" i="11"/>
  <c r="BI60" i="1"/>
  <c r="AQ60" i="8"/>
  <c r="AK60" i="5"/>
  <c r="V59" i="8"/>
  <c r="T59" i="8"/>
  <c r="W59" i="8" s="1"/>
  <c r="I59" i="11"/>
  <c r="O59" i="7"/>
  <c r="Z59" i="2" l="1"/>
  <c r="C59" i="8"/>
  <c r="P59" i="7"/>
  <c r="F59" i="9"/>
  <c r="BJ60" i="1"/>
  <c r="E71" i="8" l="1"/>
  <c r="CG71" i="8" s="1"/>
  <c r="P71" i="8" s="1"/>
  <c r="R71" i="8" s="1"/>
  <c r="AO60" i="8"/>
  <c r="AA60" i="8" s="1"/>
  <c r="Y59" i="2"/>
  <c r="X59" i="2" s="1"/>
  <c r="M71" i="2" l="1"/>
  <c r="DD71" i="8"/>
  <c r="G71" i="1" s="1"/>
  <c r="N71" i="8" s="1"/>
  <c r="B60" i="8"/>
  <c r="D60" i="2" s="1"/>
  <c r="U60" i="2" s="1"/>
  <c r="H60" i="11"/>
  <c r="AW60" i="8"/>
  <c r="AB60" i="7"/>
  <c r="AJ60" i="7" s="1"/>
  <c r="E60" i="2"/>
  <c r="L60" i="2" s="1"/>
  <c r="W59" i="2" l="1"/>
  <c r="C60" i="2" l="1"/>
  <c r="S60" i="8" l="1"/>
  <c r="H60" i="2"/>
  <c r="F60" i="1"/>
  <c r="F60" i="2"/>
  <c r="I60" i="2"/>
  <c r="O60" i="7" l="1"/>
  <c r="AA60" i="1"/>
  <c r="S60" i="1" s="1"/>
  <c r="H61" i="1" s="1"/>
  <c r="I60" i="11"/>
  <c r="G60" i="2"/>
  <c r="Z60" i="2" s="1"/>
  <c r="J60" i="11"/>
  <c r="AP60" i="1"/>
  <c r="T60" i="1" s="1"/>
  <c r="I61" i="1" s="1"/>
  <c r="AO61" i="1" s="1"/>
  <c r="V60" i="8"/>
  <c r="T60" i="8"/>
  <c r="W60" i="8" s="1"/>
  <c r="AO61" i="8" l="1"/>
  <c r="AA61" i="8" s="1"/>
  <c r="BJ61" i="1"/>
  <c r="P60" i="7"/>
  <c r="F60" i="9"/>
  <c r="C60" i="8"/>
  <c r="C61" i="11"/>
  <c r="AQ61" i="8"/>
  <c r="AK61" i="5"/>
  <c r="BI61" i="1"/>
  <c r="AC61" i="7"/>
  <c r="V61" i="10"/>
  <c r="E72" i="8" l="1"/>
  <c r="Y60" i="2"/>
  <c r="X60" i="2" s="1"/>
  <c r="AW61" i="8" l="1"/>
  <c r="AB61" i="7"/>
  <c r="AJ61" i="7" s="1"/>
  <c r="H61" i="11"/>
  <c r="B61" i="8"/>
  <c r="D61" i="2" s="1"/>
  <c r="E61" i="2"/>
  <c r="L61" i="2" s="1"/>
  <c r="CG72" i="8"/>
  <c r="P72" i="8" s="1"/>
  <c r="R72" i="8" s="1"/>
  <c r="DD72" i="8"/>
  <c r="G72" i="1" s="1"/>
  <c r="N72" i="8" s="1"/>
  <c r="M72" i="2"/>
  <c r="U61" i="2" l="1"/>
  <c r="W60" i="2" s="1"/>
  <c r="C61" i="2" s="1"/>
  <c r="I61" i="2" l="1"/>
  <c r="AA61" i="1" s="1"/>
  <c r="S61" i="1" s="1"/>
  <c r="H62" i="1" s="1"/>
  <c r="AC62" i="7" s="1"/>
  <c r="S61" i="8"/>
  <c r="V61" i="8" s="1"/>
  <c r="F61" i="2"/>
  <c r="H61" i="2"/>
  <c r="F61" i="1"/>
  <c r="AP61" i="1"/>
  <c r="T61" i="1" s="1"/>
  <c r="I62" i="1" s="1"/>
  <c r="AO62" i="1" s="1"/>
  <c r="J61" i="11"/>
  <c r="G61" i="2"/>
  <c r="O61" i="7"/>
  <c r="I61" i="11"/>
  <c r="AQ62" i="8" l="1"/>
  <c r="BI62" i="1"/>
  <c r="AK62" i="5"/>
  <c r="V62" i="10"/>
  <c r="C62" i="11"/>
  <c r="T61" i="8"/>
  <c r="W61" i="8" s="1"/>
  <c r="Z61" i="2"/>
  <c r="BJ62" i="1"/>
  <c r="P61" i="7"/>
  <c r="F61" i="9"/>
  <c r="C61" i="8"/>
  <c r="E73" i="8" l="1"/>
  <c r="M73" i="2" s="1"/>
  <c r="AO62" i="8"/>
  <c r="AA62" i="8" s="1"/>
  <c r="Y61" i="2"/>
  <c r="X61" i="2" s="1"/>
  <c r="DD73" i="8" l="1"/>
  <c r="G73" i="1" s="1"/>
  <c r="N73" i="8" s="1"/>
  <c r="CG73" i="8"/>
  <c r="P73" i="8" s="1"/>
  <c r="R73" i="8" s="1"/>
  <c r="B62" i="8"/>
  <c r="D62" i="2" s="1"/>
  <c r="E62" i="2"/>
  <c r="L62" i="2" s="1"/>
  <c r="AB62" i="7"/>
  <c r="AJ62" i="7" s="1"/>
  <c r="AW62" i="8"/>
  <c r="H62" i="11"/>
  <c r="U62" i="2" l="1"/>
  <c r="W61" i="2"/>
  <c r="C62" i="2" l="1"/>
  <c r="F62" i="2" l="1"/>
  <c r="I62" i="2"/>
  <c r="AA62" i="1" s="1"/>
  <c r="S62" i="1" s="1"/>
  <c r="H63" i="1" s="1"/>
  <c r="H62" i="2"/>
  <c r="F62" i="1"/>
  <c r="S62" i="8"/>
  <c r="T62" i="8" l="1"/>
  <c r="W62" i="8" s="1"/>
  <c r="V62" i="8"/>
  <c r="I62" i="11"/>
  <c r="O62" i="7"/>
  <c r="AC63" i="7"/>
  <c r="V63" i="10"/>
  <c r="AK63" i="5"/>
  <c r="BI63" i="1"/>
  <c r="AQ63" i="8"/>
  <c r="C63" i="11"/>
  <c r="J62" i="11"/>
  <c r="AP62" i="1"/>
  <c r="T62" i="1" s="1"/>
  <c r="I63" i="1" s="1"/>
  <c r="AO63" i="1" s="1"/>
  <c r="G62" i="2"/>
  <c r="Z62" i="2" l="1"/>
  <c r="BJ63" i="1"/>
  <c r="P62" i="7"/>
  <c r="F62" i="9"/>
  <c r="C62" i="8"/>
  <c r="E74" i="8" l="1"/>
  <c r="DD74" i="8" s="1"/>
  <c r="G74" i="1" s="1"/>
  <c r="N74" i="8" s="1"/>
  <c r="AO63" i="8"/>
  <c r="AA63" i="8" s="1"/>
  <c r="Y62" i="2"/>
  <c r="X62" i="2" s="1"/>
  <c r="CG74" i="8" l="1"/>
  <c r="P74" i="8" s="1"/>
  <c r="R74" i="8" s="1"/>
  <c r="M74" i="2"/>
  <c r="B63" i="8"/>
  <c r="D63" i="2" s="1"/>
  <c r="U63" i="2" s="1"/>
  <c r="E63" i="2"/>
  <c r="L63" i="2" s="1"/>
  <c r="H63" i="11"/>
  <c r="AW63" i="8"/>
  <c r="AB63" i="7"/>
  <c r="AJ63" i="7" s="1"/>
  <c r="W62" i="2" l="1"/>
  <c r="C63" i="2" l="1"/>
  <c r="S63" i="8" l="1"/>
  <c r="F63" i="2"/>
  <c r="I63" i="2"/>
  <c r="AA63" i="1" s="1"/>
  <c r="S63" i="1" s="1"/>
  <c r="H64" i="1" s="1"/>
  <c r="F63" i="1"/>
  <c r="H63" i="2"/>
  <c r="J63" i="11" l="1"/>
  <c r="AP63" i="1"/>
  <c r="T63" i="1" s="1"/>
  <c r="I64" i="1" s="1"/>
  <c r="AO64" i="1" s="1"/>
  <c r="G63" i="2"/>
  <c r="I55" i="4"/>
  <c r="C64" i="11"/>
  <c r="J55" i="4"/>
  <c r="AQ64" i="8"/>
  <c r="V64" i="10"/>
  <c r="AK64" i="5"/>
  <c r="AC64" i="7"/>
  <c r="BI64" i="1"/>
  <c r="I63" i="11"/>
  <c r="O63" i="7"/>
  <c r="V63" i="8"/>
  <c r="T63" i="8"/>
  <c r="W63" i="8" s="1"/>
  <c r="Z63" i="2" l="1"/>
  <c r="BJ64" i="1"/>
  <c r="C63" i="8"/>
  <c r="P63" i="7"/>
  <c r="F63" i="9"/>
  <c r="E75" i="8" l="1"/>
  <c r="CG75" i="8" s="1"/>
  <c r="P75" i="8" s="1"/>
  <c r="R75" i="8" s="1"/>
  <c r="AO64" i="8"/>
  <c r="AA64" i="8" s="1"/>
  <c r="Y63" i="2"/>
  <c r="X63" i="2" s="1"/>
  <c r="B64" i="8" l="1"/>
  <c r="D64" i="2" s="1"/>
  <c r="DD75" i="8"/>
  <c r="G75" i="1" s="1"/>
  <c r="N75" i="8" s="1"/>
  <c r="M75" i="2"/>
  <c r="E64" i="2"/>
  <c r="L64" i="2" s="1"/>
  <c r="AB64" i="7"/>
  <c r="AJ64" i="7" s="1"/>
  <c r="H64" i="11"/>
  <c r="M28" i="7"/>
  <c r="AW64" i="8"/>
  <c r="U64" i="2" l="1"/>
  <c r="W63" i="2" s="1"/>
  <c r="C64" i="2" l="1"/>
  <c r="F64" i="1" l="1"/>
  <c r="H64" i="2"/>
  <c r="I64" i="2"/>
  <c r="AA64" i="1" s="1"/>
  <c r="S64" i="1" s="1"/>
  <c r="H65" i="1" s="1"/>
  <c r="F64" i="2"/>
  <c r="S64" i="8"/>
  <c r="C65" i="11" l="1"/>
  <c r="AK65" i="5"/>
  <c r="AQ65" i="8"/>
  <c r="V65" i="10"/>
  <c r="BI65" i="1"/>
  <c r="AC65" i="7"/>
  <c r="O64" i="7"/>
  <c r="I64" i="11"/>
  <c r="T64" i="8"/>
  <c r="W64" i="8" s="1"/>
  <c r="V64" i="8"/>
  <c r="AP64" i="1"/>
  <c r="T64" i="1" s="1"/>
  <c r="I65" i="1" s="1"/>
  <c r="AO65" i="1" s="1"/>
  <c r="J64" i="11"/>
  <c r="G64" i="2"/>
  <c r="Z64" i="2" l="1"/>
  <c r="F64" i="9"/>
  <c r="P64" i="7"/>
  <c r="C64" i="8"/>
  <c r="BJ65" i="1"/>
  <c r="E76" i="8" l="1"/>
  <c r="DD76" i="8" s="1"/>
  <c r="G76" i="1" s="1"/>
  <c r="N76" i="8" s="1"/>
  <c r="AA65" i="8"/>
  <c r="Y64" i="2"/>
  <c r="X64" i="2" s="1"/>
  <c r="B36" i="4" l="1"/>
  <c r="C89" i="4" s="1"/>
  <c r="C39" i="4" s="1"/>
  <c r="E39" i="4" s="1"/>
  <c r="CG76" i="8"/>
  <c r="P76" i="8" s="1"/>
  <c r="R76" i="8" s="1"/>
  <c r="M76" i="2"/>
  <c r="E77" i="8"/>
  <c r="B56" i="4"/>
  <c r="B65" i="8"/>
  <c r="D65" i="2" s="1"/>
  <c r="U65" i="2" s="1"/>
  <c r="H65" i="11"/>
  <c r="E65" i="2"/>
  <c r="L65" i="2" s="1"/>
  <c r="AB65" i="7"/>
  <c r="AJ65" i="7" s="1"/>
  <c r="AW65" i="8"/>
  <c r="F36" i="4" l="1"/>
  <c r="H36" i="4" s="1"/>
  <c r="H40" i="4" s="1"/>
  <c r="C36" i="4"/>
  <c r="C40" i="4" s="1"/>
  <c r="I48" i="4" s="1"/>
  <c r="F40" i="4"/>
  <c r="I49" i="4" s="1"/>
  <c r="DD77" i="8"/>
  <c r="G77" i="1" s="1"/>
  <c r="N77" i="8" s="1"/>
  <c r="CG77" i="8"/>
  <c r="P77" i="8" s="1"/>
  <c r="R77" i="8" s="1"/>
  <c r="M77" i="2"/>
  <c r="E78" i="8"/>
  <c r="E36" i="4"/>
  <c r="E40" i="4" s="1"/>
  <c r="B58" i="4" s="1"/>
  <c r="J49" i="4"/>
  <c r="B57" i="4"/>
  <c r="W64" i="2"/>
  <c r="J48" i="4" l="1"/>
  <c r="M78" i="2"/>
  <c r="E79" i="8"/>
  <c r="DD78" i="8"/>
  <c r="G78" i="1" s="1"/>
  <c r="N78" i="8" s="1"/>
  <c r="CG78" i="8"/>
  <c r="P78" i="8" s="1"/>
  <c r="R78" i="8" s="1"/>
  <c r="C65" i="2"/>
  <c r="CG79" i="8" l="1"/>
  <c r="P79" i="8" s="1"/>
  <c r="R79" i="8" s="1"/>
  <c r="E80" i="8"/>
  <c r="M79" i="2"/>
  <c r="DD79" i="8"/>
  <c r="G79" i="1" s="1"/>
  <c r="N79" i="8" s="1"/>
  <c r="I65" i="2"/>
  <c r="AA65" i="1" s="1"/>
  <c r="S65" i="1" s="1"/>
  <c r="H66" i="1" s="1"/>
  <c r="S65" i="8"/>
  <c r="F65" i="1"/>
  <c r="H65" i="2"/>
  <c r="F65" i="2"/>
  <c r="DD80" i="8" l="1"/>
  <c r="G80" i="1" s="1"/>
  <c r="N80" i="8" s="1"/>
  <c r="M80" i="2"/>
  <c r="CG80" i="8"/>
  <c r="P80" i="8" s="1"/>
  <c r="R80" i="8" s="1"/>
  <c r="E81" i="8"/>
  <c r="AC66" i="7"/>
  <c r="C66" i="11"/>
  <c r="V66" i="10"/>
  <c r="AK66" i="5"/>
  <c r="AQ66" i="8"/>
  <c r="BI66" i="1"/>
  <c r="AP65" i="1"/>
  <c r="T65" i="1" s="1"/>
  <c r="I66" i="1" s="1"/>
  <c r="AO66" i="1" s="1"/>
  <c r="J65" i="11"/>
  <c r="G65" i="2"/>
  <c r="Z65" i="2" s="1"/>
  <c r="AA66" i="8" s="1"/>
  <c r="T65" i="8"/>
  <c r="W65" i="8" s="1"/>
  <c r="V65" i="8"/>
  <c r="I65" i="11"/>
  <c r="O65" i="7"/>
  <c r="DD81" i="8" l="1"/>
  <c r="G81" i="1" s="1"/>
  <c r="N81" i="8" s="1"/>
  <c r="CG81" i="8"/>
  <c r="M81" i="2"/>
  <c r="E82" i="8"/>
  <c r="P81" i="8"/>
  <c r="R81" i="8" s="1"/>
  <c r="C65" i="8"/>
  <c r="BJ66" i="1"/>
  <c r="F65" i="9"/>
  <c r="P65" i="7"/>
  <c r="CG82" i="8" l="1"/>
  <c r="P82" i="8" s="1"/>
  <c r="R82" i="8" s="1"/>
  <c r="M82" i="2"/>
  <c r="DD82" i="8"/>
  <c r="G82" i="1" s="1"/>
  <c r="N82" i="8" s="1"/>
  <c r="Y65" i="2"/>
  <c r="X65" i="2" s="1"/>
  <c r="B66" i="8" l="1"/>
  <c r="D66" i="2" s="1"/>
  <c r="U66" i="2" s="1"/>
  <c r="AB66" i="7"/>
  <c r="AJ66" i="7" s="1"/>
  <c r="H66" i="11"/>
  <c r="AW66" i="8"/>
  <c r="E66" i="2"/>
  <c r="L66" i="2" s="1"/>
  <c r="W65" i="2" l="1"/>
  <c r="C66" i="2" l="1"/>
  <c r="I66" i="2" l="1"/>
  <c r="AA66" i="1" s="1"/>
  <c r="S66" i="1" s="1"/>
  <c r="H67" i="1" s="1"/>
  <c r="F66" i="2"/>
  <c r="H66" i="2"/>
  <c r="F66" i="1"/>
  <c r="S66" i="8"/>
  <c r="AC67" i="7" l="1"/>
  <c r="J56" i="4"/>
  <c r="C67" i="11"/>
  <c r="I56" i="4"/>
  <c r="BI67" i="1"/>
  <c r="V67" i="10"/>
  <c r="AK67" i="5"/>
  <c r="AQ67" i="8"/>
  <c r="M26" i="7" s="1"/>
  <c r="V66" i="8"/>
  <c r="T66" i="8"/>
  <c r="W66" i="8" s="1"/>
  <c r="AP66" i="1"/>
  <c r="T66" i="1" s="1"/>
  <c r="I67" i="1" s="1"/>
  <c r="AO67" i="1" s="1"/>
  <c r="J66" i="11"/>
  <c r="G66" i="2"/>
  <c r="Z66" i="2" s="1"/>
  <c r="AA67" i="8" s="1"/>
  <c r="O66" i="7"/>
  <c r="I66" i="11"/>
  <c r="C66" i="8" l="1"/>
  <c r="P66" i="7"/>
  <c r="F66" i="9"/>
  <c r="BJ67" i="1"/>
  <c r="Y66" i="2" l="1"/>
  <c r="X66" i="2" s="1"/>
  <c r="B67" i="8" l="1"/>
  <c r="D67" i="2" s="1"/>
  <c r="U67" i="2" s="1"/>
  <c r="H67" i="11"/>
  <c r="E67" i="2"/>
  <c r="L67" i="2" s="1"/>
  <c r="AB67" i="7"/>
  <c r="AJ67" i="7" s="1"/>
  <c r="AW67" i="8"/>
  <c r="W66" i="2" l="1"/>
  <c r="C67" i="2" l="1"/>
  <c r="S67" i="8" l="1"/>
  <c r="I67" i="2"/>
  <c r="AA67" i="1" s="1"/>
  <c r="S67" i="1" s="1"/>
  <c r="H68" i="1" s="1"/>
  <c r="H67" i="2"/>
  <c r="F67" i="2"/>
  <c r="F67" i="1"/>
  <c r="AK68" i="5" l="1"/>
  <c r="BI68" i="1"/>
  <c r="V68" i="10"/>
  <c r="C68" i="11"/>
  <c r="AQ68" i="8"/>
  <c r="AC68" i="7"/>
  <c r="T67" i="8"/>
  <c r="W67" i="8" s="1"/>
  <c r="V67" i="8"/>
  <c r="AP67" i="1"/>
  <c r="T67" i="1" s="1"/>
  <c r="I68" i="1" s="1"/>
  <c r="AO68" i="1" s="1"/>
  <c r="J67" i="11"/>
  <c r="G67" i="2"/>
  <c r="Z67" i="2" s="1"/>
  <c r="AA68" i="8" s="1"/>
  <c r="I67" i="11"/>
  <c r="O67" i="7"/>
  <c r="P67" i="7" l="1"/>
  <c r="F67" i="9"/>
  <c r="C67" i="8"/>
  <c r="BJ68" i="1"/>
  <c r="Y67" i="2" l="1"/>
  <c r="X67" i="2" s="1"/>
  <c r="B68" i="8" l="1"/>
  <c r="D68" i="2" s="1"/>
  <c r="H68" i="11"/>
  <c r="AB68" i="7"/>
  <c r="AJ68" i="7" s="1"/>
  <c r="AW68" i="8"/>
  <c r="E68" i="2"/>
  <c r="L68" i="2" s="1"/>
  <c r="U68" i="2" l="1"/>
  <c r="W67" i="2" s="1"/>
  <c r="C68" i="2" l="1"/>
  <c r="I68" i="2" l="1"/>
  <c r="AA68" i="1" s="1"/>
  <c r="S68" i="1" s="1"/>
  <c r="H69" i="1" s="1"/>
  <c r="H68" i="2"/>
  <c r="F68" i="2"/>
  <c r="F68" i="1"/>
  <c r="S68" i="8"/>
  <c r="V68" i="8" l="1"/>
  <c r="T68" i="8"/>
  <c r="W68" i="8" s="1"/>
  <c r="AC69" i="7"/>
  <c r="C69" i="11"/>
  <c r="AQ69" i="8"/>
  <c r="BI69" i="1"/>
  <c r="V69" i="10"/>
  <c r="AK69" i="5"/>
  <c r="AP68" i="1"/>
  <c r="T68" i="1" s="1"/>
  <c r="I69" i="1" s="1"/>
  <c r="AO69" i="1" s="1"/>
  <c r="J68" i="11"/>
  <c r="G68" i="2"/>
  <c r="Z68" i="2" s="1"/>
  <c r="AA69" i="8" s="1"/>
  <c r="I68" i="11"/>
  <c r="O68" i="7"/>
  <c r="BJ69" i="1" l="1"/>
  <c r="C68" i="8"/>
  <c r="P68" i="7"/>
  <c r="F68" i="9"/>
  <c r="Y68" i="2" l="1"/>
  <c r="X68" i="2" s="1"/>
  <c r="B69" i="8" l="1"/>
  <c r="D69" i="2" s="1"/>
  <c r="AB69" i="7"/>
  <c r="AJ69" i="7" s="1"/>
  <c r="AW69" i="8"/>
  <c r="H69" i="11"/>
  <c r="E69" i="2"/>
  <c r="L69" i="2" s="1"/>
  <c r="U69" i="2" l="1"/>
  <c r="W68" i="2" s="1"/>
  <c r="C69" i="2" l="1"/>
  <c r="I69" i="2" l="1"/>
  <c r="AA69" i="1" s="1"/>
  <c r="S69" i="1" s="1"/>
  <c r="H70" i="1" s="1"/>
  <c r="H69" i="2"/>
  <c r="F69" i="1"/>
  <c r="S69" i="8"/>
  <c r="F69" i="2"/>
  <c r="AP69" i="1" l="1"/>
  <c r="T69" i="1" s="1"/>
  <c r="I70" i="1" s="1"/>
  <c r="AO70" i="1" s="1"/>
  <c r="J69" i="11"/>
  <c r="G69" i="2"/>
  <c r="Z69" i="2" s="1"/>
  <c r="AA70" i="8" s="1"/>
  <c r="V69" i="8"/>
  <c r="T69" i="8"/>
  <c r="W69" i="8" s="1"/>
  <c r="AQ70" i="8"/>
  <c r="AK70" i="5"/>
  <c r="V70" i="10"/>
  <c r="C70" i="11"/>
  <c r="AC70" i="7"/>
  <c r="BI70" i="1"/>
  <c r="I69" i="11"/>
  <c r="O69" i="7"/>
  <c r="C69" i="8" l="1"/>
  <c r="P69" i="7"/>
  <c r="F69" i="9"/>
  <c r="BJ70" i="1"/>
  <c r="Y69" i="2" l="1"/>
  <c r="X69" i="2" s="1"/>
  <c r="B70" i="8" l="1"/>
  <c r="D70" i="2" s="1"/>
  <c r="U70" i="2" s="1"/>
  <c r="H70" i="11"/>
  <c r="AW70" i="8"/>
  <c r="AB70" i="7"/>
  <c r="AJ70" i="7" s="1"/>
  <c r="E70" i="2"/>
  <c r="L70" i="2" s="1"/>
  <c r="W69" i="2" l="1"/>
  <c r="C70" i="2" l="1"/>
  <c r="F70" i="2" l="1"/>
  <c r="S70" i="8"/>
  <c r="I70" i="2"/>
  <c r="F70" i="1"/>
  <c r="H70" i="2"/>
  <c r="T70" i="8" l="1"/>
  <c r="W70" i="8" s="1"/>
  <c r="V70" i="8"/>
  <c r="AP70" i="1"/>
  <c r="T70" i="1" s="1"/>
  <c r="I71" i="1" s="1"/>
  <c r="AO71" i="1" s="1"/>
  <c r="J70" i="11"/>
  <c r="G70" i="2"/>
  <c r="Z70" i="2" s="1"/>
  <c r="AA71" i="8" s="1"/>
  <c r="O70" i="7"/>
  <c r="I70" i="11"/>
  <c r="AA70" i="1"/>
  <c r="S70" i="1" s="1"/>
  <c r="H71" i="1" s="1"/>
  <c r="P70" i="7" l="1"/>
  <c r="F70" i="9"/>
  <c r="AC71" i="7"/>
  <c r="V71" i="10"/>
  <c r="AK71" i="5"/>
  <c r="BI71" i="1"/>
  <c r="AQ71" i="8"/>
  <c r="C71" i="11"/>
  <c r="C70" i="8"/>
  <c r="BJ71" i="1"/>
  <c r="Y70" i="2" l="1"/>
  <c r="X70" i="2" s="1"/>
  <c r="AW71" i="8" l="1"/>
  <c r="H71" i="11"/>
  <c r="AB71" i="7"/>
  <c r="AJ71" i="7" s="1"/>
  <c r="E71" i="2"/>
  <c r="L71" i="2" s="1"/>
  <c r="B71" i="8"/>
  <c r="D71" i="2" s="1"/>
  <c r="U71" i="2" s="1"/>
  <c r="W70" i="2" l="1"/>
  <c r="C71" i="2" l="1"/>
  <c r="E83" i="8"/>
  <c r="DD83" i="8" l="1"/>
  <c r="G83" i="1" s="1"/>
  <c r="N83" i="8" s="1"/>
  <c r="M83" i="2"/>
  <c r="CG83" i="8"/>
  <c r="P83" i="8" s="1"/>
  <c r="R83" i="8" s="1"/>
  <c r="F71" i="1"/>
  <c r="H71" i="2"/>
  <c r="F71" i="2"/>
  <c r="I71" i="2"/>
  <c r="AA71" i="1" s="1"/>
  <c r="S71" i="1" s="1"/>
  <c r="H72" i="1" s="1"/>
  <c r="S71" i="8"/>
  <c r="C72" i="11" l="1"/>
  <c r="BI72" i="1"/>
  <c r="AQ72" i="8"/>
  <c r="AC72" i="7"/>
  <c r="AK72" i="5"/>
  <c r="V72" i="10"/>
  <c r="V71" i="8"/>
  <c r="T71" i="8"/>
  <c r="W71" i="8" s="1"/>
  <c r="AP71" i="1"/>
  <c r="T71" i="1" s="1"/>
  <c r="I72" i="1" s="1"/>
  <c r="AO72" i="1" s="1"/>
  <c r="J71" i="11"/>
  <c r="G71" i="2"/>
  <c r="Z71" i="2" s="1"/>
  <c r="AA72" i="8" s="1"/>
  <c r="O71" i="7"/>
  <c r="I71" i="11"/>
  <c r="BJ72" i="1" l="1"/>
  <c r="C71" i="8"/>
  <c r="P71" i="7"/>
  <c r="F71" i="9"/>
  <c r="Y71" i="2" l="1"/>
  <c r="X71" i="2" s="1"/>
  <c r="E72" i="2" l="1"/>
  <c r="L72" i="2" s="1"/>
  <c r="H72" i="11"/>
  <c r="AW72" i="8"/>
  <c r="AB72" i="7"/>
  <c r="AJ72" i="7" s="1"/>
  <c r="B72" i="8"/>
  <c r="D72" i="2" s="1"/>
  <c r="U72" i="2" s="1"/>
  <c r="W71" i="2" l="1"/>
  <c r="E84" i="8" l="1"/>
  <c r="C72" i="2"/>
  <c r="M84" i="2" l="1"/>
  <c r="CG84" i="8"/>
  <c r="P84" i="8" s="1"/>
  <c r="R84" i="8" s="1"/>
  <c r="DD84" i="8"/>
  <c r="G84" i="1" s="1"/>
  <c r="N84" i="8" s="1"/>
  <c r="F72" i="2"/>
  <c r="I72" i="2"/>
  <c r="AA72" i="1" s="1"/>
  <c r="S72" i="1" s="1"/>
  <c r="H73" i="1" s="1"/>
  <c r="S72" i="8"/>
  <c r="F72" i="1"/>
  <c r="H72" i="2"/>
  <c r="AC73" i="7" l="1"/>
  <c r="AK73" i="5"/>
  <c r="C73" i="11"/>
  <c r="V73" i="10"/>
  <c r="BI73" i="1"/>
  <c r="AQ73" i="8"/>
  <c r="V72" i="8"/>
  <c r="T72" i="8"/>
  <c r="W72" i="8" s="1"/>
  <c r="O72" i="7"/>
  <c r="I72" i="11"/>
  <c r="AP72" i="1"/>
  <c r="T72" i="1" s="1"/>
  <c r="I73" i="1" s="1"/>
  <c r="AO73" i="1" s="1"/>
  <c r="J72" i="11"/>
  <c r="G72" i="2"/>
  <c r="Z72" i="2" s="1"/>
  <c r="AA73" i="8" s="1"/>
  <c r="P72" i="7" l="1"/>
  <c r="F72" i="9"/>
  <c r="BJ73" i="1"/>
  <c r="C72" i="8"/>
  <c r="Y72" i="2" l="1"/>
  <c r="X72" i="2" s="1"/>
  <c r="AB73" i="7" l="1"/>
  <c r="AJ73" i="7" s="1"/>
  <c r="AW73" i="8"/>
  <c r="E73" i="2"/>
  <c r="L73" i="2" s="1"/>
  <c r="H73" i="11"/>
  <c r="B73" i="8"/>
  <c r="D73" i="2" s="1"/>
  <c r="U73" i="2" s="1"/>
  <c r="W72" i="2" l="1"/>
  <c r="E85" i="8" l="1"/>
  <c r="C73" i="2"/>
  <c r="M85" i="2" l="1"/>
  <c r="CG85" i="8"/>
  <c r="P85" i="8" s="1"/>
  <c r="R85" i="8" s="1"/>
  <c r="DD85" i="8"/>
  <c r="G85" i="1" s="1"/>
  <c r="N85" i="8" s="1"/>
  <c r="I73" i="2"/>
  <c r="AA73" i="1" s="1"/>
  <c r="S73" i="1" s="1"/>
  <c r="H74" i="1" s="1"/>
  <c r="S73" i="8"/>
  <c r="F73" i="1"/>
  <c r="H73" i="2"/>
  <c r="F73" i="2"/>
  <c r="J73" i="11" l="1"/>
  <c r="AP73" i="1"/>
  <c r="T73" i="1" s="1"/>
  <c r="I74" i="1" s="1"/>
  <c r="AO74" i="1" s="1"/>
  <c r="G73" i="2"/>
  <c r="Z73" i="2" s="1"/>
  <c r="AA74" i="8" s="1"/>
  <c r="AQ74" i="8"/>
  <c r="AC74" i="7"/>
  <c r="C74" i="11"/>
  <c r="AK74" i="5"/>
  <c r="BI74" i="1"/>
  <c r="V74" i="10"/>
  <c r="T73" i="8"/>
  <c r="W73" i="8" s="1"/>
  <c r="V73" i="8"/>
  <c r="O73" i="7"/>
  <c r="I73" i="11"/>
  <c r="C73" i="8" l="1"/>
  <c r="BJ74" i="1"/>
  <c r="F73" i="9"/>
  <c r="P73" i="7"/>
  <c r="Y73" i="2" l="1"/>
  <c r="X73" i="2" s="1"/>
  <c r="E74" i="2" l="1"/>
  <c r="L74" i="2" s="1"/>
  <c r="AB74" i="7"/>
  <c r="AJ74" i="7" s="1"/>
  <c r="H74" i="11"/>
  <c r="AW74" i="8"/>
  <c r="B74" i="8"/>
  <c r="D74" i="2" s="1"/>
  <c r="U74" i="2" s="1"/>
  <c r="W73" i="2" l="1"/>
  <c r="E86" i="8" l="1"/>
  <c r="C74" i="2"/>
  <c r="DD86" i="8" l="1"/>
  <c r="G86" i="1" s="1"/>
  <c r="N86" i="8" s="1"/>
  <c r="CG86" i="8"/>
  <c r="P86" i="8" s="1"/>
  <c r="R86" i="8" s="1"/>
  <c r="M86" i="2"/>
  <c r="S74" i="8"/>
  <c r="F74" i="2"/>
  <c r="F74" i="1"/>
  <c r="I74" i="2"/>
  <c r="H74" i="2"/>
  <c r="AP74" i="1" l="1"/>
  <c r="T74" i="1" s="1"/>
  <c r="I75" i="1" s="1"/>
  <c r="AO75" i="1" s="1"/>
  <c r="J74" i="11"/>
  <c r="G74" i="2"/>
  <c r="Z74" i="2" s="1"/>
  <c r="AA75" i="8" s="1"/>
  <c r="I74" i="11"/>
  <c r="O74" i="7"/>
  <c r="AA74" i="1"/>
  <c r="S74" i="1" s="1"/>
  <c r="H75" i="1" s="1"/>
  <c r="V74" i="8"/>
  <c r="T74" i="8"/>
  <c r="W74" i="8" s="1"/>
  <c r="AC75" i="7" l="1"/>
  <c r="V75" i="10"/>
  <c r="BI75" i="1"/>
  <c r="C75" i="11"/>
  <c r="AK75" i="5"/>
  <c r="AQ75" i="8"/>
  <c r="C74" i="8"/>
  <c r="P74" i="7"/>
  <c r="F74" i="9"/>
  <c r="BJ75" i="1"/>
  <c r="Y74" i="2" l="1"/>
  <c r="X74" i="2" s="1"/>
  <c r="E75" i="2" l="1"/>
  <c r="L75" i="2" s="1"/>
  <c r="AB75" i="7"/>
  <c r="AJ75" i="7" s="1"/>
  <c r="AW75" i="8"/>
  <c r="H75" i="11"/>
  <c r="B75" i="8"/>
  <c r="D75" i="2" s="1"/>
  <c r="U75" i="2" s="1"/>
  <c r="W74" i="2" l="1"/>
  <c r="E87" i="8" l="1"/>
  <c r="C75" i="2"/>
  <c r="M87" i="2" l="1"/>
  <c r="DD87" i="8"/>
  <c r="G87" i="1" s="1"/>
  <c r="N87" i="8" s="1"/>
  <c r="CG87" i="8"/>
  <c r="P87" i="8" s="1"/>
  <c r="R87" i="8" s="1"/>
  <c r="I75" i="2"/>
  <c r="AA75" i="1" s="1"/>
  <c r="S75" i="1" s="1"/>
  <c r="H76" i="1" s="1"/>
  <c r="S75" i="8"/>
  <c r="H75" i="2"/>
  <c r="F75" i="2"/>
  <c r="F75" i="1"/>
  <c r="V76" i="10" l="1"/>
  <c r="I57" i="4"/>
  <c r="AC76" i="7"/>
  <c r="AQ76" i="8"/>
  <c r="AK76" i="5"/>
  <c r="BI76" i="1"/>
  <c r="B60" i="4"/>
  <c r="J57" i="4"/>
  <c r="C76" i="11"/>
  <c r="AP75" i="1"/>
  <c r="T75" i="1" s="1"/>
  <c r="I76" i="1" s="1"/>
  <c r="AO76" i="1" s="1"/>
  <c r="J75" i="11"/>
  <c r="G75" i="2"/>
  <c r="Z75" i="2" s="1"/>
  <c r="AA76" i="8" s="1"/>
  <c r="V75" i="8"/>
  <c r="T75" i="8"/>
  <c r="W75" i="8" s="1"/>
  <c r="O75" i="7"/>
  <c r="I75" i="11"/>
  <c r="C75" i="8" l="1"/>
  <c r="F75" i="9"/>
  <c r="P75" i="7"/>
  <c r="BJ76" i="1"/>
  <c r="B61" i="4"/>
  <c r="Y75" i="2" l="1"/>
  <c r="X75" i="2" s="1"/>
  <c r="F41" i="4" l="1"/>
  <c r="E76" i="2"/>
  <c r="L76" i="2" s="1"/>
  <c r="H76" i="11"/>
  <c r="AW76" i="8"/>
  <c r="AB76" i="7"/>
  <c r="AJ76" i="7" s="1"/>
  <c r="B76" i="8"/>
  <c r="D76" i="2" s="1"/>
  <c r="U76" i="2" s="1"/>
  <c r="W75" i="2" l="1"/>
  <c r="H41" i="4"/>
  <c r="B41" i="4"/>
  <c r="B55" i="4" s="1"/>
  <c r="E88" i="8" l="1"/>
  <c r="C76" i="2"/>
  <c r="DD88" i="8" l="1"/>
  <c r="G88" i="1" s="1"/>
  <c r="N88" i="8" s="1"/>
  <c r="M88" i="2"/>
  <c r="CG88" i="8"/>
  <c r="P88" i="8" s="1"/>
  <c r="R88" i="8" s="1"/>
  <c r="E89" i="8"/>
  <c r="F42" i="4"/>
  <c r="H76" i="2"/>
  <c r="F76" i="2"/>
  <c r="B54" i="4"/>
  <c r="F76" i="1"/>
  <c r="I76" i="2"/>
  <c r="S76" i="8"/>
  <c r="DD89" i="8" l="1"/>
  <c r="G89" i="1" s="1"/>
  <c r="N89" i="8" s="1"/>
  <c r="M89" i="2"/>
  <c r="CG89" i="8"/>
  <c r="P89" i="8" s="1"/>
  <c r="R89" i="8" s="1"/>
  <c r="E90" i="8"/>
  <c r="T76" i="8"/>
  <c r="W76" i="8" s="1"/>
  <c r="V76" i="8"/>
  <c r="I76" i="11"/>
  <c r="O76" i="7"/>
  <c r="AA76" i="1"/>
  <c r="S76" i="1" s="1"/>
  <c r="J76" i="11"/>
  <c r="AP76" i="1"/>
  <c r="T76" i="1" s="1"/>
  <c r="I77" i="1" s="1"/>
  <c r="AO77" i="1" s="1"/>
  <c r="G76" i="2"/>
  <c r="Z76" i="2" s="1"/>
  <c r="AA77" i="8" s="1"/>
  <c r="H42" i="4"/>
  <c r="H43" i="4" s="1"/>
  <c r="F43" i="4"/>
  <c r="DD90" i="8" l="1"/>
  <c r="G90" i="1" s="1"/>
  <c r="N90" i="8" s="1"/>
  <c r="M90" i="2"/>
  <c r="E91" i="8"/>
  <c r="CG90" i="8"/>
  <c r="P90" i="8" s="1"/>
  <c r="R90" i="8" s="1"/>
  <c r="C76" i="8"/>
  <c r="B59" i="4"/>
  <c r="M27" i="7"/>
  <c r="H77" i="1"/>
  <c r="BJ77" i="1"/>
  <c r="P76" i="7"/>
  <c r="F76" i="9"/>
  <c r="DD91" i="8" l="1"/>
  <c r="G91" i="1" s="1"/>
  <c r="N91" i="8" s="1"/>
  <c r="M91" i="2"/>
  <c r="CG91" i="8"/>
  <c r="P91" i="8" s="1"/>
  <c r="R91" i="8" s="1"/>
  <c r="E92" i="8"/>
  <c r="AK77" i="5"/>
  <c r="BI77" i="1"/>
  <c r="V77" i="10"/>
  <c r="C77" i="11"/>
  <c r="AQ77" i="8"/>
  <c r="AC77" i="7"/>
  <c r="Y76" i="2"/>
  <c r="X76" i="2" s="1"/>
  <c r="M92" i="2" l="1"/>
  <c r="DD92" i="8"/>
  <c r="G92" i="1" s="1"/>
  <c r="N92" i="8" s="1"/>
  <c r="E93" i="8"/>
  <c r="CG92" i="8"/>
  <c r="P92" i="8" s="1"/>
  <c r="R92" i="8" s="1"/>
  <c r="H77" i="11"/>
  <c r="AB77" i="7"/>
  <c r="AJ77" i="7" s="1"/>
  <c r="E77" i="2"/>
  <c r="L77" i="2" s="1"/>
  <c r="AW77" i="8"/>
  <c r="B77" i="8"/>
  <c r="D77" i="2" s="1"/>
  <c r="U77" i="2" s="1"/>
  <c r="DD93" i="8" l="1"/>
  <c r="G93" i="1" s="1"/>
  <c r="N93" i="8" s="1"/>
  <c r="CG93" i="8"/>
  <c r="P93" i="8" s="1"/>
  <c r="R93" i="8" s="1"/>
  <c r="M93" i="2"/>
  <c r="E94" i="8"/>
  <c r="W76" i="2"/>
  <c r="DD94" i="8" l="1"/>
  <c r="G94" i="1" s="1"/>
  <c r="N94" i="8" s="1"/>
  <c r="E95" i="8"/>
  <c r="M94" i="2"/>
  <c r="CG94" i="8"/>
  <c r="P94" i="8" s="1"/>
  <c r="R94" i="8" s="1"/>
  <c r="C77" i="2"/>
  <c r="DD95" i="8" l="1"/>
  <c r="G95" i="1" s="1"/>
  <c r="N95" i="8" s="1"/>
  <c r="CG95" i="8"/>
  <c r="P95" i="8" s="1"/>
  <c r="R95" i="8" s="1"/>
  <c r="M95" i="2"/>
  <c r="E96" i="8"/>
  <c r="I77" i="2"/>
  <c r="S77" i="8"/>
  <c r="F77" i="1"/>
  <c r="H77" i="2"/>
  <c r="F77" i="2"/>
  <c r="M96" i="2" l="1"/>
  <c r="E97" i="8"/>
  <c r="DD96" i="8"/>
  <c r="G96" i="1" s="1"/>
  <c r="N96" i="8" s="1"/>
  <c r="CG96" i="8"/>
  <c r="P96" i="8" s="1"/>
  <c r="R96" i="8" s="1"/>
  <c r="J77" i="11"/>
  <c r="AP77" i="1"/>
  <c r="T77" i="1" s="1"/>
  <c r="I78" i="1" s="1"/>
  <c r="AO78" i="1" s="1"/>
  <c r="G77" i="2"/>
  <c r="Z77" i="2" s="1"/>
  <c r="AA78" i="8" s="1"/>
  <c r="I77" i="11"/>
  <c r="O77" i="7"/>
  <c r="V77" i="8"/>
  <c r="T77" i="8"/>
  <c r="W77" i="8" s="1"/>
  <c r="AA77" i="1"/>
  <c r="S77" i="1" s="1"/>
  <c r="H78" i="1" s="1"/>
  <c r="CG97" i="8" l="1"/>
  <c r="P97" i="8" s="1"/>
  <c r="R97" i="8" s="1"/>
  <c r="E98" i="8"/>
  <c r="DD97" i="8"/>
  <c r="G97" i="1" s="1"/>
  <c r="N97" i="8" s="1"/>
  <c r="M97" i="2"/>
  <c r="AC78" i="7"/>
  <c r="AK78" i="5"/>
  <c r="V78" i="10"/>
  <c r="AQ78" i="8"/>
  <c r="BI78" i="1"/>
  <c r="C78" i="11"/>
  <c r="C77" i="8"/>
  <c r="BJ78" i="1"/>
  <c r="F77" i="9"/>
  <c r="P77" i="7"/>
  <c r="CG98" i="8" l="1"/>
  <c r="P98" i="8" s="1"/>
  <c r="R98" i="8" s="1"/>
  <c r="DD98" i="8"/>
  <c r="G98" i="1" s="1"/>
  <c r="N98" i="8" s="1"/>
  <c r="M98" i="2"/>
  <c r="E99" i="8"/>
  <c r="Y77" i="2"/>
  <c r="X77" i="2" s="1"/>
  <c r="CG99" i="8" l="1"/>
  <c r="P99" i="8" s="1"/>
  <c r="R99" i="8" s="1"/>
  <c r="DD99" i="8"/>
  <c r="G99" i="1" s="1"/>
  <c r="N99" i="8" s="1"/>
  <c r="M99" i="2"/>
  <c r="E100" i="8"/>
  <c r="AB78" i="7"/>
  <c r="AJ78" i="7" s="1"/>
  <c r="E78" i="2"/>
  <c r="L78" i="2" s="1"/>
  <c r="H78" i="11"/>
  <c r="AW78" i="8"/>
  <c r="B78" i="8"/>
  <c r="D78" i="2" s="1"/>
  <c r="U78" i="2" s="1"/>
  <c r="M100" i="2" l="1"/>
  <c r="DD100" i="8"/>
  <c r="G100" i="1" s="1"/>
  <c r="N100" i="8" s="1"/>
  <c r="E101" i="8"/>
  <c r="CG100" i="8"/>
  <c r="P100" i="8" s="1"/>
  <c r="R100" i="8" s="1"/>
  <c r="W77" i="2"/>
  <c r="DD101" i="8" l="1"/>
  <c r="G101" i="1" s="1"/>
  <c r="N101" i="8" s="1"/>
  <c r="E102" i="8"/>
  <c r="CG101" i="8"/>
  <c r="P101" i="8" s="1"/>
  <c r="R101" i="8" s="1"/>
  <c r="M101" i="2"/>
  <c r="C78" i="2"/>
  <c r="DD102" i="8" l="1"/>
  <c r="G102" i="1" s="1"/>
  <c r="N102" i="8" s="1"/>
  <c r="CG102" i="8"/>
  <c r="P102" i="8" s="1"/>
  <c r="R102" i="8" s="1"/>
  <c r="M102" i="2"/>
  <c r="E103" i="8"/>
  <c r="F78" i="2"/>
  <c r="S78" i="8"/>
  <c r="I78" i="2"/>
  <c r="F78" i="1"/>
  <c r="H78" i="2"/>
  <c r="DD103" i="8" l="1"/>
  <c r="G103" i="1" s="1"/>
  <c r="N103" i="8" s="1"/>
  <c r="M103" i="2"/>
  <c r="E104" i="8"/>
  <c r="CG103" i="8"/>
  <c r="P103" i="8" s="1"/>
  <c r="R103" i="8" s="1"/>
  <c r="O78" i="7"/>
  <c r="I78" i="11"/>
  <c r="T78" i="8"/>
  <c r="W78" i="8" s="1"/>
  <c r="V78" i="8"/>
  <c r="J78" i="11"/>
  <c r="AP78" i="1"/>
  <c r="T78" i="1" s="1"/>
  <c r="I79" i="1" s="1"/>
  <c r="AO79" i="1" s="1"/>
  <c r="G78" i="2"/>
  <c r="Z78" i="2" s="1"/>
  <c r="AA79" i="8" s="1"/>
  <c r="AA78" i="1"/>
  <c r="S78" i="1" s="1"/>
  <c r="H79" i="1" s="1"/>
  <c r="DD104" i="8" l="1"/>
  <c r="G104" i="1" s="1"/>
  <c r="N104" i="8" s="1"/>
  <c r="CG104" i="8"/>
  <c r="P104" i="8" s="1"/>
  <c r="R104" i="8" s="1"/>
  <c r="E105" i="8"/>
  <c r="M104" i="2"/>
  <c r="BJ79" i="1"/>
  <c r="C79" i="11"/>
  <c r="AC79" i="7"/>
  <c r="V79" i="10"/>
  <c r="AK79" i="5"/>
  <c r="AQ79" i="8"/>
  <c r="BI79" i="1"/>
  <c r="F78" i="9"/>
  <c r="P78" i="7"/>
  <c r="C78" i="8"/>
  <c r="CG105" i="8" l="1"/>
  <c r="P105" i="8" s="1"/>
  <c r="R105" i="8" s="1"/>
  <c r="M105" i="2"/>
  <c r="DD105" i="8"/>
  <c r="G105" i="1" s="1"/>
  <c r="N105" i="8" s="1"/>
  <c r="E106" i="8"/>
  <c r="Y78" i="2"/>
  <c r="X78" i="2" s="1"/>
  <c r="M106" i="2" l="1"/>
  <c r="CG106" i="8"/>
  <c r="P106" i="8" s="1"/>
  <c r="R106" i="8" s="1"/>
  <c r="E107" i="8"/>
  <c r="DD106" i="8"/>
  <c r="G106" i="1" s="1"/>
  <c r="N106" i="8" s="1"/>
  <c r="E79" i="2"/>
  <c r="L79" i="2" s="1"/>
  <c r="AW79" i="8"/>
  <c r="H79" i="11"/>
  <c r="AB79" i="7"/>
  <c r="AJ79" i="7" s="1"/>
  <c r="B79" i="8"/>
  <c r="D79" i="2" s="1"/>
  <c r="U79" i="2" s="1"/>
  <c r="E108" i="8" l="1"/>
  <c r="DD107" i="8"/>
  <c r="G107" i="1" s="1"/>
  <c r="N107" i="8" s="1"/>
  <c r="M107" i="2"/>
  <c r="CG107" i="8"/>
  <c r="P107" i="8" s="1"/>
  <c r="R107" i="8" s="1"/>
  <c r="W78" i="2"/>
  <c r="DD108" i="8" l="1"/>
  <c r="G108" i="1" s="1"/>
  <c r="N108" i="8" s="1"/>
  <c r="CG108" i="8"/>
  <c r="P108" i="8" s="1"/>
  <c r="R108" i="8" s="1"/>
  <c r="M108" i="2"/>
  <c r="E109" i="8"/>
  <c r="C79" i="2"/>
  <c r="DD109" i="8" l="1"/>
  <c r="G109" i="1" s="1"/>
  <c r="N109" i="8" s="1"/>
  <c r="M109" i="2"/>
  <c r="CG109" i="8"/>
  <c r="P109" i="8" s="1"/>
  <c r="R109" i="8" s="1"/>
  <c r="E110" i="8"/>
  <c r="F79" i="2"/>
  <c r="S79" i="8"/>
  <c r="F79" i="1"/>
  <c r="H79" i="2"/>
  <c r="I79" i="2"/>
  <c r="AA79" i="1" s="1"/>
  <c r="S79" i="1" s="1"/>
  <c r="H80" i="1" s="1"/>
  <c r="M110" i="2" l="1"/>
  <c r="E111" i="8"/>
  <c r="DD110" i="8"/>
  <c r="G110" i="1" s="1"/>
  <c r="N110" i="8" s="1"/>
  <c r="CG110" i="8"/>
  <c r="P110" i="8" s="1"/>
  <c r="R110" i="8" s="1"/>
  <c r="AC80" i="7"/>
  <c r="C80" i="11"/>
  <c r="AQ80" i="8"/>
  <c r="AK80" i="5"/>
  <c r="V80" i="10"/>
  <c r="BI80" i="1"/>
  <c r="O79" i="7"/>
  <c r="I79" i="11"/>
  <c r="V79" i="8"/>
  <c r="T79" i="8"/>
  <c r="W79" i="8" s="1"/>
  <c r="AP79" i="1"/>
  <c r="T79" i="1" s="1"/>
  <c r="I80" i="1" s="1"/>
  <c r="AO80" i="1" s="1"/>
  <c r="J79" i="11"/>
  <c r="G79" i="2"/>
  <c r="Z79" i="2" s="1"/>
  <c r="AA80" i="8" s="1"/>
  <c r="DD111" i="8" l="1"/>
  <c r="G111" i="1" s="1"/>
  <c r="N111" i="8" s="1"/>
  <c r="M111" i="2"/>
  <c r="CG111" i="8"/>
  <c r="P111" i="8" s="1"/>
  <c r="R111" i="8" s="1"/>
  <c r="E112" i="8"/>
  <c r="BJ80" i="1"/>
  <c r="C79" i="8"/>
  <c r="F79" i="9"/>
  <c r="P79" i="7"/>
  <c r="CG112" i="8" l="1"/>
  <c r="E113" i="8"/>
  <c r="M112" i="2"/>
  <c r="DD112" i="8"/>
  <c r="G112" i="1" s="1"/>
  <c r="N112" i="8" s="1"/>
  <c r="P112" i="8"/>
  <c r="R112" i="8" s="1"/>
  <c r="Y79" i="2"/>
  <c r="X79" i="2" s="1"/>
  <c r="CG113" i="8" l="1"/>
  <c r="DD113" i="8"/>
  <c r="G113" i="1" s="1"/>
  <c r="N113" i="8" s="1"/>
  <c r="M113" i="2"/>
  <c r="E114" i="8"/>
  <c r="P113" i="8"/>
  <c r="R113" i="8" s="1"/>
  <c r="E80" i="2"/>
  <c r="L80" i="2" s="1"/>
  <c r="H80" i="11"/>
  <c r="AB80" i="7"/>
  <c r="AJ80" i="7" s="1"/>
  <c r="AW80" i="8"/>
  <c r="B80" i="8"/>
  <c r="D80" i="2" s="1"/>
  <c r="U80" i="2" s="1"/>
  <c r="DD114" i="8" l="1"/>
  <c r="G114" i="1" s="1"/>
  <c r="N114" i="8" s="1"/>
  <c r="CG114" i="8"/>
  <c r="P114" i="8" s="1"/>
  <c r="R114" i="8" s="1"/>
  <c r="M114" i="2"/>
  <c r="E115" i="8"/>
  <c r="W79" i="2"/>
  <c r="M115" i="2" l="1"/>
  <c r="E116" i="8"/>
  <c r="DD115" i="8"/>
  <c r="G115" i="1" s="1"/>
  <c r="N115" i="8" s="1"/>
  <c r="CG115" i="8"/>
  <c r="P115" i="8" s="1"/>
  <c r="R115" i="8" s="1"/>
  <c r="C80" i="2"/>
  <c r="DD116" i="8" l="1"/>
  <c r="G116" i="1" s="1"/>
  <c r="N116" i="8" s="1"/>
  <c r="M116" i="2"/>
  <c r="CG116" i="8"/>
  <c r="P116" i="8" s="1"/>
  <c r="R116" i="8" s="1"/>
  <c r="E117" i="8"/>
  <c r="S80" i="8"/>
  <c r="I80" i="2"/>
  <c r="AA80" i="1" s="1"/>
  <c r="S80" i="1" s="1"/>
  <c r="H81" i="1" s="1"/>
  <c r="F80" i="2"/>
  <c r="F80" i="1"/>
  <c r="H80" i="2"/>
  <c r="DD117" i="8" l="1"/>
  <c r="G117" i="1" s="1"/>
  <c r="N117" i="8" s="1"/>
  <c r="M117" i="2"/>
  <c r="E118" i="8"/>
  <c r="CG117" i="8"/>
  <c r="P117" i="8" s="1"/>
  <c r="R117" i="8" s="1"/>
  <c r="AQ81" i="8"/>
  <c r="AC81" i="7"/>
  <c r="V81" i="10"/>
  <c r="AK81" i="5"/>
  <c r="BI81" i="1"/>
  <c r="C81" i="11"/>
  <c r="AP80" i="1"/>
  <c r="T80" i="1" s="1"/>
  <c r="I81" i="1" s="1"/>
  <c r="AO81" i="1" s="1"/>
  <c r="J80" i="11"/>
  <c r="G80" i="2"/>
  <c r="Z80" i="2" s="1"/>
  <c r="AA81" i="8" s="1"/>
  <c r="I80" i="11"/>
  <c r="O80" i="7"/>
  <c r="V80" i="8"/>
  <c r="T80" i="8"/>
  <c r="W80" i="8" s="1"/>
  <c r="CG118" i="8" l="1"/>
  <c r="P118" i="8" s="1"/>
  <c r="R118" i="8" s="1"/>
  <c r="DD118" i="8"/>
  <c r="G118" i="1" s="1"/>
  <c r="N118" i="8" s="1"/>
  <c r="M118" i="2"/>
  <c r="E119" i="8"/>
  <c r="C80" i="8"/>
  <c r="P80" i="7"/>
  <c r="F80" i="9"/>
  <c r="BJ81" i="1"/>
  <c r="DD119" i="8" l="1"/>
  <c r="G119" i="1" s="1"/>
  <c r="N119" i="8" s="1"/>
  <c r="M119" i="2"/>
  <c r="CG119" i="8"/>
  <c r="P119" i="8" s="1"/>
  <c r="R119" i="8" s="1"/>
  <c r="E120" i="8"/>
  <c r="Y80" i="2"/>
  <c r="X80" i="2" s="1"/>
  <c r="DD120" i="8" l="1"/>
  <c r="G120" i="1" s="1"/>
  <c r="N120" i="8" s="1"/>
  <c r="E121" i="8"/>
  <c r="M120" i="2"/>
  <c r="CG120" i="8"/>
  <c r="P120" i="8" s="1"/>
  <c r="R120" i="8" s="1"/>
  <c r="E81" i="2"/>
  <c r="L81" i="2" s="1"/>
  <c r="H81" i="11"/>
  <c r="AW81" i="8"/>
  <c r="AB81" i="7"/>
  <c r="AJ81" i="7" s="1"/>
  <c r="B81" i="8"/>
  <c r="D81" i="2" s="1"/>
  <c r="U81" i="2" s="1"/>
  <c r="DD121" i="8" l="1"/>
  <c r="G121" i="1" s="1"/>
  <c r="N121" i="8" s="1"/>
  <c r="M121" i="2"/>
  <c r="CG121" i="8"/>
  <c r="P121" i="8" s="1"/>
  <c r="R121" i="8" s="1"/>
  <c r="E122" i="8"/>
  <c r="W80" i="2"/>
  <c r="CG122" i="8" l="1"/>
  <c r="P122" i="8" s="1"/>
  <c r="R122" i="8" s="1"/>
  <c r="DD122" i="8"/>
  <c r="G122" i="1" s="1"/>
  <c r="N122" i="8" s="1"/>
  <c r="M122" i="2"/>
  <c r="E123" i="8"/>
  <c r="C81" i="2"/>
  <c r="DD123" i="8" l="1"/>
  <c r="G123" i="1" s="1"/>
  <c r="N123" i="8" s="1"/>
  <c r="M123" i="2"/>
  <c r="E124" i="8"/>
  <c r="CG123" i="8"/>
  <c r="P123" i="8" s="1"/>
  <c r="R123" i="8" s="1"/>
  <c r="I81" i="2"/>
  <c r="AA81" i="1" s="1"/>
  <c r="S81" i="1" s="1"/>
  <c r="H82" i="1" s="1"/>
  <c r="S81" i="8"/>
  <c r="H81" i="2"/>
  <c r="F81" i="1"/>
  <c r="F81" i="2"/>
  <c r="M124" i="2" l="1"/>
  <c r="E125" i="8"/>
  <c r="DD124" i="8"/>
  <c r="G124" i="1" s="1"/>
  <c r="N124" i="8" s="1"/>
  <c r="CG124" i="8"/>
  <c r="P124" i="8" s="1"/>
  <c r="R124" i="8" s="1"/>
  <c r="J81" i="11"/>
  <c r="AP81" i="1"/>
  <c r="T81" i="1" s="1"/>
  <c r="I82" i="1" s="1"/>
  <c r="AO82" i="1" s="1"/>
  <c r="G81" i="2"/>
  <c r="Z81" i="2" s="1"/>
  <c r="AA82" i="8" s="1"/>
  <c r="V81" i="8"/>
  <c r="T81" i="8"/>
  <c r="W81" i="8" s="1"/>
  <c r="V82" i="10"/>
  <c r="AQ82" i="8"/>
  <c r="AC82" i="7"/>
  <c r="AK82" i="5"/>
  <c r="C82" i="11"/>
  <c r="BI82" i="1"/>
  <c r="O81" i="7"/>
  <c r="I81" i="11"/>
  <c r="DD125" i="8" l="1"/>
  <c r="G125" i="1" s="1"/>
  <c r="N125" i="8" s="1"/>
  <c r="CG125" i="8"/>
  <c r="P125" i="8" s="1"/>
  <c r="R125" i="8" s="1"/>
  <c r="M125" i="2"/>
  <c r="E126" i="8"/>
  <c r="C81" i="8"/>
  <c r="BJ82" i="1"/>
  <c r="F81" i="9"/>
  <c r="P81" i="7"/>
  <c r="CG126" i="8" l="1"/>
  <c r="P126" i="8" s="1"/>
  <c r="R126" i="8" s="1"/>
  <c r="DD126" i="8"/>
  <c r="G126" i="1" s="1"/>
  <c r="N126" i="8" s="1"/>
  <c r="M126" i="2"/>
  <c r="E127" i="8"/>
  <c r="Y81" i="2"/>
  <c r="X81" i="2" s="1"/>
  <c r="DD127" i="8" l="1"/>
  <c r="G127" i="1" s="1"/>
  <c r="N127" i="8" s="1"/>
  <c r="CG127" i="8"/>
  <c r="P127" i="8" s="1"/>
  <c r="R127" i="8" s="1"/>
  <c r="E128" i="8"/>
  <c r="M127" i="2"/>
  <c r="AW82" i="8"/>
  <c r="H82" i="11"/>
  <c r="E82" i="2"/>
  <c r="L82" i="2" s="1"/>
  <c r="AB82" i="7"/>
  <c r="AJ82" i="7" s="1"/>
  <c r="B82" i="8"/>
  <c r="D82" i="2" s="1"/>
  <c r="U82" i="2" s="1"/>
  <c r="DD128" i="8" l="1"/>
  <c r="G128" i="1" s="1"/>
  <c r="N128" i="8" s="1"/>
  <c r="M128" i="2"/>
  <c r="CG128" i="8"/>
  <c r="P128" i="8" s="1"/>
  <c r="R128" i="8" s="1"/>
  <c r="E129" i="8"/>
  <c r="W81" i="2"/>
  <c r="CG129" i="8" l="1"/>
  <c r="P129" i="8" s="1"/>
  <c r="R129" i="8" s="1"/>
  <c r="DD129" i="8"/>
  <c r="G129" i="1" s="1"/>
  <c r="N129" i="8" s="1"/>
  <c r="M129" i="2"/>
  <c r="E130" i="8"/>
  <c r="C82" i="2"/>
  <c r="DD130" i="8" l="1"/>
  <c r="G130" i="1" s="1"/>
  <c r="N130" i="8" s="1"/>
  <c r="CG130" i="8"/>
  <c r="P130" i="8" s="1"/>
  <c r="R130" i="8" s="1"/>
  <c r="M130" i="2"/>
  <c r="E131" i="8"/>
  <c r="S82" i="8"/>
  <c r="I82" i="2"/>
  <c r="AA82" i="1" s="1"/>
  <c r="S82" i="1" s="1"/>
  <c r="H83" i="1" s="1"/>
  <c r="F82" i="2"/>
  <c r="H82" i="2"/>
  <c r="F82" i="1"/>
  <c r="DD131" i="8" l="1"/>
  <c r="G131" i="1" s="1"/>
  <c r="N131" i="8" s="1"/>
  <c r="CG131" i="8"/>
  <c r="P131" i="8" s="1"/>
  <c r="R131" i="8" s="1"/>
  <c r="M131" i="2"/>
  <c r="E132" i="8"/>
  <c r="AQ83" i="8"/>
  <c r="AK83" i="5"/>
  <c r="AC83" i="7"/>
  <c r="V83" i="10"/>
  <c r="BI83" i="1"/>
  <c r="C83" i="11"/>
  <c r="J82" i="11"/>
  <c r="AP82" i="1"/>
  <c r="T82" i="1" s="1"/>
  <c r="I83" i="1" s="1"/>
  <c r="AO83" i="1" s="1"/>
  <c r="G82" i="2"/>
  <c r="Z82" i="2" s="1"/>
  <c r="AA83" i="8" s="1"/>
  <c r="O82" i="7"/>
  <c r="I82" i="11"/>
  <c r="V82" i="8"/>
  <c r="T82" i="8"/>
  <c r="W82" i="8" s="1"/>
  <c r="DD132" i="8" l="1"/>
  <c r="G132" i="1" s="1"/>
  <c r="N132" i="8" s="1"/>
  <c r="M132" i="2"/>
  <c r="CG132" i="8"/>
  <c r="P132" i="8" s="1"/>
  <c r="R132" i="8" s="1"/>
  <c r="E133" i="8"/>
  <c r="C82" i="8"/>
  <c r="BJ83" i="1"/>
  <c r="P82" i="7"/>
  <c r="F82" i="9"/>
  <c r="M133" i="2" l="1"/>
  <c r="CG133" i="8"/>
  <c r="DD133" i="8"/>
  <c r="G133" i="1" s="1"/>
  <c r="N133" i="8" s="1"/>
  <c r="P133" i="8"/>
  <c r="R133" i="8" s="1"/>
  <c r="E134" i="8"/>
  <c r="Y82" i="2"/>
  <c r="X82" i="2" s="1"/>
  <c r="DD134" i="8" l="1"/>
  <c r="G134" i="1" s="1"/>
  <c r="N134" i="8" s="1"/>
  <c r="CG134" i="8"/>
  <c r="P134" i="8" s="1"/>
  <c r="R134" i="8" s="1"/>
  <c r="M134" i="2"/>
  <c r="E135" i="8"/>
  <c r="AB83" i="7"/>
  <c r="AJ83" i="7" s="1"/>
  <c r="E83" i="2"/>
  <c r="L83" i="2" s="1"/>
  <c r="AW83" i="8"/>
  <c r="H83" i="11"/>
  <c r="B83" i="8"/>
  <c r="D83" i="2" s="1"/>
  <c r="U83" i="2" s="1"/>
  <c r="DD135" i="8" l="1"/>
  <c r="G135" i="1" s="1"/>
  <c r="N135" i="8" s="1"/>
  <c r="CG135" i="8"/>
  <c r="P135" i="8" s="1"/>
  <c r="R135" i="8" s="1"/>
  <c r="M135" i="2"/>
  <c r="E136" i="8"/>
  <c r="W82" i="2"/>
  <c r="DD136" i="8" l="1"/>
  <c r="G136" i="1" s="1"/>
  <c r="N136" i="8" s="1"/>
  <c r="AF139" i="8"/>
  <c r="CG136" i="8"/>
  <c r="P136" i="8" s="1"/>
  <c r="R136" i="8" s="1"/>
  <c r="M136" i="2"/>
  <c r="C83" i="2"/>
  <c r="S83" i="8" l="1"/>
  <c r="I83" i="2"/>
  <c r="F83" i="2"/>
  <c r="H83" i="2"/>
  <c r="F83" i="1"/>
  <c r="AP83" i="1" l="1"/>
  <c r="T83" i="1" s="1"/>
  <c r="I84" i="1" s="1"/>
  <c r="AO84" i="1" s="1"/>
  <c r="J83" i="11"/>
  <c r="G83" i="2"/>
  <c r="Z83" i="2" s="1"/>
  <c r="AA84" i="8" s="1"/>
  <c r="T83" i="8"/>
  <c r="W83" i="8" s="1"/>
  <c r="V83" i="8"/>
  <c r="I83" i="11"/>
  <c r="O83" i="7"/>
  <c r="AA83" i="1"/>
  <c r="S83" i="1" s="1"/>
  <c r="H84" i="1" s="1"/>
  <c r="C84" i="11" l="1"/>
  <c r="AK84" i="5"/>
  <c r="BI84" i="1"/>
  <c r="AC84" i="7"/>
  <c r="AQ84" i="8"/>
  <c r="V84" i="10"/>
  <c r="C83" i="8"/>
  <c r="P83" i="7"/>
  <c r="F83" i="9"/>
  <c r="BJ84" i="1"/>
  <c r="Y83" i="2" l="1"/>
  <c r="X83" i="2" s="1"/>
  <c r="E84" i="2" l="1"/>
  <c r="L84" i="2" s="1"/>
  <c r="H84" i="11"/>
  <c r="AW84" i="8"/>
  <c r="AB84" i="7"/>
  <c r="AJ84" i="7" s="1"/>
  <c r="B84" i="8"/>
  <c r="D84" i="2" s="1"/>
  <c r="U84" i="2" s="1"/>
  <c r="W83" i="2" l="1"/>
  <c r="C84" i="2" l="1"/>
  <c r="F84" i="1" l="1"/>
  <c r="F84" i="2"/>
  <c r="S84" i="8"/>
  <c r="H84" i="2"/>
  <c r="I84" i="2"/>
  <c r="O84" i="7" l="1"/>
  <c r="I84" i="11"/>
  <c r="AA84" i="1"/>
  <c r="S84" i="1" s="1"/>
  <c r="H85" i="1" s="1"/>
  <c r="V84" i="8"/>
  <c r="T84" i="8"/>
  <c r="W84" i="8" s="1"/>
  <c r="AP84" i="1"/>
  <c r="T84" i="1" s="1"/>
  <c r="I85" i="1" s="1"/>
  <c r="AO85" i="1" s="1"/>
  <c r="J84" i="11"/>
  <c r="G84" i="2"/>
  <c r="Z84" i="2" s="1"/>
  <c r="AA85" i="8" s="1"/>
  <c r="C84" i="8" l="1"/>
  <c r="P84" i="7"/>
  <c r="F84" i="9"/>
  <c r="BJ85" i="1"/>
  <c r="AC85" i="7"/>
  <c r="C85" i="11"/>
  <c r="BI85" i="1"/>
  <c r="V85" i="10"/>
  <c r="AQ85" i="8"/>
  <c r="AK85" i="5"/>
  <c r="Y84" i="2" l="1"/>
  <c r="X84" i="2" s="1"/>
  <c r="H85" i="11" l="1"/>
  <c r="AB85" i="7"/>
  <c r="AJ85" i="7" s="1"/>
  <c r="E85" i="2"/>
  <c r="L85" i="2" s="1"/>
  <c r="AW85" i="8"/>
  <c r="B85" i="8"/>
  <c r="D85" i="2" s="1"/>
  <c r="U85" i="2" s="1"/>
  <c r="W84" i="2" l="1"/>
  <c r="C85" i="2" l="1"/>
  <c r="S85" i="8" l="1"/>
  <c r="H85" i="2"/>
  <c r="F85" i="1"/>
  <c r="I85" i="2"/>
  <c r="F85" i="2"/>
  <c r="J85" i="11" l="1"/>
  <c r="AP85" i="1"/>
  <c r="T85" i="1" s="1"/>
  <c r="I86" i="1" s="1"/>
  <c r="AO86" i="1" s="1"/>
  <c r="G85" i="2"/>
  <c r="Z85" i="2" s="1"/>
  <c r="AA86" i="8" s="1"/>
  <c r="O85" i="7"/>
  <c r="I85" i="11"/>
  <c r="AA85" i="1"/>
  <c r="S85" i="1" s="1"/>
  <c r="H86" i="1" s="1"/>
  <c r="T85" i="8"/>
  <c r="W85" i="8" s="1"/>
  <c r="V85" i="8"/>
  <c r="BJ86" i="1" l="1"/>
  <c r="AQ86" i="8"/>
  <c r="AC86" i="7"/>
  <c r="C86" i="11"/>
  <c r="BI86" i="1"/>
  <c r="AK86" i="5"/>
  <c r="V86" i="10"/>
  <c r="C85" i="8"/>
  <c r="P85" i="7"/>
  <c r="F85" i="9"/>
  <c r="Y85" i="2" l="1"/>
  <c r="X85" i="2" s="1"/>
  <c r="AB86" i="7" l="1"/>
  <c r="AJ86" i="7" s="1"/>
  <c r="H86" i="11"/>
  <c r="E86" i="2"/>
  <c r="L86" i="2" s="1"/>
  <c r="AW86" i="8"/>
  <c r="B86" i="8"/>
  <c r="D86" i="2" s="1"/>
  <c r="U86" i="2" s="1"/>
  <c r="W85" i="2" l="1"/>
  <c r="C86" i="2" l="1"/>
  <c r="I86" i="2" l="1"/>
  <c r="AA86" i="1" s="1"/>
  <c r="S86" i="1" s="1"/>
  <c r="H87" i="1" s="1"/>
  <c r="S86" i="8"/>
  <c r="H86" i="2"/>
  <c r="F86" i="1"/>
  <c r="F86" i="2"/>
  <c r="AP86" i="1" l="1"/>
  <c r="T86" i="1" s="1"/>
  <c r="I87" i="1" s="1"/>
  <c r="AO87" i="1" s="1"/>
  <c r="J86" i="11"/>
  <c r="G86" i="2"/>
  <c r="Z86" i="2" s="1"/>
  <c r="AA87" i="8" s="1"/>
  <c r="AC87" i="7"/>
  <c r="AQ87" i="8"/>
  <c r="V87" i="10"/>
  <c r="AK87" i="5"/>
  <c r="BI87" i="1"/>
  <c r="C87" i="11"/>
  <c r="V86" i="8"/>
  <c r="T86" i="8"/>
  <c r="W86" i="8" s="1"/>
  <c r="O86" i="7"/>
  <c r="I86" i="11"/>
  <c r="C86" i="8" l="1"/>
  <c r="F86" i="9"/>
  <c r="P86" i="7"/>
  <c r="BJ87" i="1"/>
  <c r="Y86" i="2" l="1"/>
  <c r="X86" i="2" s="1"/>
  <c r="AW87" i="8" l="1"/>
  <c r="H87" i="11"/>
  <c r="AB87" i="7"/>
  <c r="AJ87" i="7" s="1"/>
  <c r="E87" i="2"/>
  <c r="L87" i="2" s="1"/>
  <c r="B87" i="8"/>
  <c r="D87" i="2" s="1"/>
  <c r="U87" i="2" s="1"/>
  <c r="W86" i="2" l="1"/>
  <c r="C87" i="2" l="1"/>
  <c r="F87" i="2" l="1"/>
  <c r="S87" i="8"/>
  <c r="I87" i="2"/>
  <c r="F87" i="1"/>
  <c r="H87" i="2"/>
  <c r="T87" i="8" l="1"/>
  <c r="W87" i="8" s="1"/>
  <c r="V87" i="8"/>
  <c r="AP87" i="1"/>
  <c r="T87" i="1" s="1"/>
  <c r="I88" i="1" s="1"/>
  <c r="AO88" i="1" s="1"/>
  <c r="J87" i="11"/>
  <c r="G87" i="2"/>
  <c r="Z87" i="2" s="1"/>
  <c r="AA88" i="8" s="1"/>
  <c r="I87" i="11"/>
  <c r="O87" i="7"/>
  <c r="AA87" i="1"/>
  <c r="S87" i="1" s="1"/>
  <c r="H88" i="1" s="1"/>
  <c r="BJ88" i="1" l="1"/>
  <c r="BI88" i="1"/>
  <c r="AC88" i="7"/>
  <c r="AQ88" i="8"/>
  <c r="V88" i="10"/>
  <c r="AK88" i="5"/>
  <c r="C88" i="11"/>
  <c r="C87" i="8"/>
  <c r="F87" i="9"/>
  <c r="P87" i="7"/>
  <c r="Y87" i="2" l="1"/>
  <c r="X87" i="2" s="1"/>
  <c r="E88" i="2" l="1"/>
  <c r="L88" i="2" s="1"/>
  <c r="AB88" i="7"/>
  <c r="AJ88" i="7" s="1"/>
  <c r="AW88" i="8"/>
  <c r="H88" i="11"/>
  <c r="B88" i="8"/>
  <c r="D88" i="2" s="1"/>
  <c r="U88" i="2" s="1"/>
  <c r="W87" i="2" l="1"/>
  <c r="C88" i="2" l="1"/>
  <c r="F88" i="1" l="1"/>
  <c r="F88" i="2"/>
  <c r="H88" i="2"/>
  <c r="I88" i="2"/>
  <c r="S88" i="8"/>
  <c r="V88" i="8" l="1"/>
  <c r="T88" i="8"/>
  <c r="W88" i="8" s="1"/>
  <c r="I88" i="11"/>
  <c r="O88" i="7"/>
  <c r="J88" i="11"/>
  <c r="AP88" i="1"/>
  <c r="T88" i="1" s="1"/>
  <c r="I89" i="1" s="1"/>
  <c r="AO89" i="1" s="1"/>
  <c r="G88" i="2"/>
  <c r="Z88" i="2" s="1"/>
  <c r="AA89" i="8" s="1"/>
  <c r="AA88" i="1"/>
  <c r="S88" i="1" s="1"/>
  <c r="H89" i="1" s="1"/>
  <c r="BJ89" i="1" l="1"/>
  <c r="BI89" i="1"/>
  <c r="V89" i="10"/>
  <c r="C89" i="11"/>
  <c r="AC89" i="7"/>
  <c r="AK89" i="5"/>
  <c r="AQ89" i="8"/>
  <c r="C88" i="8"/>
  <c r="P88" i="7"/>
  <c r="F88" i="9"/>
  <c r="Y88" i="2" l="1"/>
  <c r="X88" i="2" s="1"/>
  <c r="AW89" i="8" l="1"/>
  <c r="E89" i="2"/>
  <c r="L89" i="2" s="1"/>
  <c r="H89" i="11"/>
  <c r="AB89" i="7"/>
  <c r="AJ89" i="7" s="1"/>
  <c r="B89" i="8"/>
  <c r="D89" i="2" s="1"/>
  <c r="U89" i="2" s="1"/>
  <c r="W88" i="2" l="1"/>
  <c r="C89" i="2" l="1"/>
  <c r="S89" i="8" l="1"/>
  <c r="I89" i="2"/>
  <c r="AA89" i="1" s="1"/>
  <c r="S89" i="1" s="1"/>
  <c r="H90" i="1" s="1"/>
  <c r="F89" i="2"/>
  <c r="H89" i="2"/>
  <c r="F89" i="1"/>
  <c r="J89" i="11" l="1"/>
  <c r="AP89" i="1"/>
  <c r="T89" i="1" s="1"/>
  <c r="I90" i="1" s="1"/>
  <c r="AO90" i="1" s="1"/>
  <c r="G89" i="2"/>
  <c r="Z89" i="2" s="1"/>
  <c r="AA90" i="8" s="1"/>
  <c r="V90" i="10"/>
  <c r="C90" i="11"/>
  <c r="AK90" i="5"/>
  <c r="AC90" i="7"/>
  <c r="BI90" i="1"/>
  <c r="AQ90" i="8"/>
  <c r="I89" i="11"/>
  <c r="O89" i="7"/>
  <c r="T89" i="8"/>
  <c r="W89" i="8" s="1"/>
  <c r="V89" i="8"/>
  <c r="BJ90" i="1" l="1"/>
  <c r="C89" i="8"/>
  <c r="P89" i="7"/>
  <c r="F89" i="9"/>
  <c r="Y89" i="2" l="1"/>
  <c r="X89" i="2" s="1"/>
  <c r="E90" i="2" l="1"/>
  <c r="L90" i="2" s="1"/>
  <c r="AB90" i="7"/>
  <c r="AJ90" i="7" s="1"/>
  <c r="H90" i="11"/>
  <c r="AW90" i="8"/>
  <c r="B90" i="8"/>
  <c r="D90" i="2" s="1"/>
  <c r="U90" i="2" s="1"/>
  <c r="W89" i="2" l="1"/>
  <c r="C90" i="2" l="1"/>
  <c r="F90" i="2" l="1"/>
  <c r="I90" i="2"/>
  <c r="AA90" i="1" s="1"/>
  <c r="S90" i="1" s="1"/>
  <c r="H91" i="1" s="1"/>
  <c r="F90" i="1"/>
  <c r="S90" i="8"/>
  <c r="H90" i="2"/>
  <c r="AC91" i="7" l="1"/>
  <c r="AQ91" i="8"/>
  <c r="BI91" i="1"/>
  <c r="C91" i="11"/>
  <c r="V91" i="10"/>
  <c r="AK91" i="5"/>
  <c r="V90" i="8"/>
  <c r="T90" i="8"/>
  <c r="W90" i="8" s="1"/>
  <c r="O90" i="7"/>
  <c r="I90" i="11"/>
  <c r="J90" i="11"/>
  <c r="AP90" i="1"/>
  <c r="T90" i="1" s="1"/>
  <c r="I91" i="1" s="1"/>
  <c r="AO91" i="1" s="1"/>
  <c r="G90" i="2"/>
  <c r="Z90" i="2" s="1"/>
  <c r="AA91" i="8" s="1"/>
  <c r="BJ91" i="1" l="1"/>
  <c r="C90" i="8"/>
  <c r="F90" i="9"/>
  <c r="P90" i="7"/>
  <c r="Y90" i="2" l="1"/>
  <c r="X90" i="2" s="1"/>
  <c r="H91" i="11" l="1"/>
  <c r="AW91" i="8"/>
  <c r="AB91" i="7"/>
  <c r="AJ91" i="7" s="1"/>
  <c r="E91" i="2"/>
  <c r="L91" i="2" s="1"/>
  <c r="B91" i="8"/>
  <c r="D91" i="2" s="1"/>
  <c r="U91" i="2" s="1"/>
  <c r="W90" i="2" l="1"/>
  <c r="C91" i="2" l="1"/>
  <c r="H91" i="2" l="1"/>
  <c r="S91" i="8"/>
  <c r="F91" i="2"/>
  <c r="I91" i="2"/>
  <c r="F91" i="1"/>
  <c r="I91" i="11" l="1"/>
  <c r="O91" i="7"/>
  <c r="AA91" i="1"/>
  <c r="S91" i="1" s="1"/>
  <c r="H92" i="1" s="1"/>
  <c r="T91" i="8"/>
  <c r="W91" i="8" s="1"/>
  <c r="V91" i="8"/>
  <c r="AP91" i="1"/>
  <c r="T91" i="1" s="1"/>
  <c r="I92" i="1" s="1"/>
  <c r="AO92" i="1" s="1"/>
  <c r="J91" i="11"/>
  <c r="G91" i="2"/>
  <c r="Z91" i="2" s="1"/>
  <c r="AA92" i="8" s="1"/>
  <c r="C91" i="8" l="1"/>
  <c r="F91" i="9"/>
  <c r="P91" i="7"/>
  <c r="BJ92" i="1"/>
  <c r="C92" i="11"/>
  <c r="AQ92" i="8"/>
  <c r="AC92" i="7"/>
  <c r="V92" i="10"/>
  <c r="AK92" i="5"/>
  <c r="BI92" i="1"/>
  <c r="Y91" i="2" l="1"/>
  <c r="X91" i="2" s="1"/>
  <c r="E92" i="2" l="1"/>
  <c r="L92" i="2" s="1"/>
  <c r="AB92" i="7"/>
  <c r="AJ92" i="7" s="1"/>
  <c r="AW92" i="8"/>
  <c r="H92" i="11"/>
  <c r="B92" i="8"/>
  <c r="D92" i="2" s="1"/>
  <c r="U92" i="2" s="1"/>
  <c r="W91" i="2" l="1"/>
  <c r="C92" i="2" l="1"/>
  <c r="I92" i="2" l="1"/>
  <c r="F92" i="1"/>
  <c r="H92" i="2"/>
  <c r="S92" i="8"/>
  <c r="F92" i="2"/>
  <c r="T92" i="8" l="1"/>
  <c r="W92" i="8" s="1"/>
  <c r="V92" i="8"/>
  <c r="O92" i="7"/>
  <c r="I92" i="11"/>
  <c r="AP92" i="1"/>
  <c r="T92" i="1" s="1"/>
  <c r="I93" i="1" s="1"/>
  <c r="AO93" i="1" s="1"/>
  <c r="J92" i="11"/>
  <c r="G92" i="2"/>
  <c r="Z92" i="2" s="1"/>
  <c r="AA93" i="8" s="1"/>
  <c r="AA92" i="1"/>
  <c r="S92" i="1" s="1"/>
  <c r="H93" i="1" s="1"/>
  <c r="C93" i="11" l="1"/>
  <c r="AK93" i="5"/>
  <c r="AC93" i="7"/>
  <c r="AQ93" i="8"/>
  <c r="V93" i="10"/>
  <c r="BI93" i="1"/>
  <c r="C92" i="8"/>
  <c r="P92" i="7"/>
  <c r="F92" i="9"/>
  <c r="BJ93" i="1"/>
  <c r="Y92" i="2" l="1"/>
  <c r="X92" i="2" s="1"/>
  <c r="H93" i="11" l="1"/>
  <c r="AB93" i="7"/>
  <c r="AJ93" i="7" s="1"/>
  <c r="AW93" i="8"/>
  <c r="E93" i="2"/>
  <c r="L93" i="2" s="1"/>
  <c r="B93" i="8"/>
  <c r="D93" i="2" s="1"/>
  <c r="U93" i="2" s="1"/>
  <c r="W92" i="2" l="1"/>
  <c r="C93" i="2" l="1"/>
  <c r="F93" i="1" l="1"/>
  <c r="H93" i="2"/>
  <c r="F93" i="2"/>
  <c r="I93" i="2"/>
  <c r="S93" i="8"/>
  <c r="I93" i="11" l="1"/>
  <c r="O93" i="7"/>
  <c r="T93" i="8"/>
  <c r="W93" i="8" s="1"/>
  <c r="V93" i="8"/>
  <c r="J93" i="11"/>
  <c r="AP93" i="1"/>
  <c r="T93" i="1" s="1"/>
  <c r="I94" i="1" s="1"/>
  <c r="AO94" i="1" s="1"/>
  <c r="G93" i="2"/>
  <c r="Z93" i="2" s="1"/>
  <c r="AA94" i="8" s="1"/>
  <c r="AA93" i="1"/>
  <c r="S93" i="1" s="1"/>
  <c r="H94" i="1" s="1"/>
  <c r="P93" i="7" l="1"/>
  <c r="F93" i="9"/>
  <c r="AC94" i="7"/>
  <c r="AK94" i="5"/>
  <c r="C94" i="11"/>
  <c r="AQ94" i="8"/>
  <c r="V94" i="10"/>
  <c r="BI94" i="1"/>
  <c r="C93" i="8"/>
  <c r="BJ94" i="1"/>
  <c r="Y93" i="2" l="1"/>
  <c r="X93" i="2" s="1"/>
  <c r="E94" i="2" l="1"/>
  <c r="L94" i="2" s="1"/>
  <c r="H94" i="11"/>
  <c r="AW94" i="8"/>
  <c r="AB94" i="7"/>
  <c r="AJ94" i="7" s="1"/>
  <c r="B94" i="8"/>
  <c r="D94" i="2" s="1"/>
  <c r="U94" i="2" s="1"/>
  <c r="W93" i="2" l="1"/>
  <c r="C94" i="2" l="1"/>
  <c r="F94" i="2" l="1"/>
  <c r="I94" i="2"/>
  <c r="AA94" i="1" s="1"/>
  <c r="S94" i="1" s="1"/>
  <c r="H95" i="1" s="1"/>
  <c r="F94" i="1"/>
  <c r="H94" i="2"/>
  <c r="S94" i="8"/>
  <c r="BI95" i="1" l="1"/>
  <c r="V95" i="10"/>
  <c r="C95" i="11"/>
  <c r="AC95" i="7"/>
  <c r="AK95" i="5"/>
  <c r="AQ95" i="8"/>
  <c r="T94" i="8"/>
  <c r="W94" i="8" s="1"/>
  <c r="V94" i="8"/>
  <c r="I94" i="11"/>
  <c r="O94" i="7"/>
  <c r="AP94" i="1"/>
  <c r="T94" i="1" s="1"/>
  <c r="I95" i="1" s="1"/>
  <c r="AO95" i="1" s="1"/>
  <c r="J94" i="11"/>
  <c r="G94" i="2"/>
  <c r="Z94" i="2" s="1"/>
  <c r="AA95" i="8" s="1"/>
  <c r="BJ95" i="1" l="1"/>
  <c r="F94" i="9"/>
  <c r="P94" i="7"/>
  <c r="C94" i="8"/>
  <c r="Y94" i="2" l="1"/>
  <c r="X94" i="2" s="1"/>
  <c r="E95" i="2" l="1"/>
  <c r="L95" i="2" s="1"/>
  <c r="AW95" i="8"/>
  <c r="H95" i="11"/>
  <c r="AB95" i="7"/>
  <c r="AJ95" i="7" s="1"/>
  <c r="B95" i="8"/>
  <c r="D95" i="2" s="1"/>
  <c r="U95" i="2" s="1"/>
  <c r="W94" i="2" l="1"/>
  <c r="C95" i="2" l="1"/>
  <c r="S95" i="8" l="1"/>
  <c r="I95" i="2"/>
  <c r="F95" i="2"/>
  <c r="H95" i="2"/>
  <c r="F95" i="1"/>
  <c r="AP95" i="1" l="1"/>
  <c r="T95" i="1" s="1"/>
  <c r="I96" i="1" s="1"/>
  <c r="AO96" i="1" s="1"/>
  <c r="J95" i="11"/>
  <c r="G95" i="2"/>
  <c r="Z95" i="2" s="1"/>
  <c r="AA96" i="8" s="1"/>
  <c r="I95" i="11"/>
  <c r="O95" i="7"/>
  <c r="AA95" i="1"/>
  <c r="S95" i="1" s="1"/>
  <c r="H96" i="1" s="1"/>
  <c r="T95" i="8"/>
  <c r="W95" i="8" s="1"/>
  <c r="V95" i="8"/>
  <c r="AC96" i="7" l="1"/>
  <c r="AK96" i="5"/>
  <c r="AQ96" i="8"/>
  <c r="BI96" i="1"/>
  <c r="C96" i="11"/>
  <c r="V96" i="10"/>
  <c r="C95" i="8"/>
  <c r="F95" i="9"/>
  <c r="P95" i="7"/>
  <c r="BJ96" i="1"/>
  <c r="Y95" i="2" l="1"/>
  <c r="X95" i="2" s="1"/>
  <c r="AW96" i="8" l="1"/>
  <c r="AB96" i="7"/>
  <c r="AJ96" i="7" s="1"/>
  <c r="H96" i="11"/>
  <c r="E96" i="2"/>
  <c r="L96" i="2" s="1"/>
  <c r="B96" i="8"/>
  <c r="D96" i="2" s="1"/>
  <c r="U96" i="2" s="1"/>
  <c r="W95" i="2" l="1"/>
  <c r="C96" i="2" l="1"/>
  <c r="I96" i="2" l="1"/>
  <c r="AA96" i="1" s="1"/>
  <c r="S96" i="1" s="1"/>
  <c r="H97" i="1" s="1"/>
  <c r="F96" i="1"/>
  <c r="H96" i="2"/>
  <c r="S96" i="8"/>
  <c r="F96" i="2"/>
  <c r="J96" i="11" l="1"/>
  <c r="AP96" i="1"/>
  <c r="T96" i="1" s="1"/>
  <c r="I97" i="1" s="1"/>
  <c r="AO97" i="1" s="1"/>
  <c r="G96" i="2"/>
  <c r="Z96" i="2" s="1"/>
  <c r="AA97" i="8" s="1"/>
  <c r="AC97" i="7"/>
  <c r="V97" i="10"/>
  <c r="BI97" i="1"/>
  <c r="AK97" i="5"/>
  <c r="AQ97" i="8"/>
  <c r="C97" i="11"/>
  <c r="T96" i="8"/>
  <c r="W96" i="8" s="1"/>
  <c r="V96" i="8"/>
  <c r="I96" i="11"/>
  <c r="O96" i="7"/>
  <c r="BJ97" i="1" l="1"/>
  <c r="C96" i="8"/>
  <c r="P96" i="7"/>
  <c r="F96" i="9"/>
  <c r="Y96" i="2" l="1"/>
  <c r="X96" i="2" s="1"/>
  <c r="H97" i="11" l="1"/>
  <c r="E97" i="2"/>
  <c r="L97" i="2" s="1"/>
  <c r="AW97" i="8"/>
  <c r="AB97" i="7"/>
  <c r="AJ97" i="7" s="1"/>
  <c r="B97" i="8"/>
  <c r="D97" i="2" s="1"/>
  <c r="U97" i="2" s="1"/>
  <c r="W96" i="2" l="1"/>
  <c r="C97" i="2" l="1"/>
  <c r="I97" i="2" l="1"/>
  <c r="AA97" i="1" s="1"/>
  <c r="S97" i="1" s="1"/>
  <c r="H98" i="1" s="1"/>
  <c r="H97" i="2"/>
  <c r="S97" i="8"/>
  <c r="F97" i="1"/>
  <c r="F97" i="2"/>
  <c r="AP97" i="1" l="1"/>
  <c r="T97" i="1" s="1"/>
  <c r="I98" i="1" s="1"/>
  <c r="AO98" i="1" s="1"/>
  <c r="J97" i="11"/>
  <c r="G97" i="2"/>
  <c r="Z97" i="2" s="1"/>
  <c r="AA98" i="8" s="1"/>
  <c r="AC98" i="7"/>
  <c r="AK98" i="5"/>
  <c r="V98" i="10"/>
  <c r="AQ98" i="8"/>
  <c r="C98" i="11"/>
  <c r="BI98" i="1"/>
  <c r="T97" i="8"/>
  <c r="W97" i="8" s="1"/>
  <c r="V97" i="8"/>
  <c r="O97" i="7"/>
  <c r="I97" i="11"/>
  <c r="C97" i="8" l="1"/>
  <c r="F97" i="9"/>
  <c r="P97" i="7"/>
  <c r="BJ98" i="1"/>
  <c r="Y97" i="2" l="1"/>
  <c r="X97" i="2" s="1"/>
  <c r="E98" i="2" l="1"/>
  <c r="L98" i="2" s="1"/>
  <c r="H98" i="11"/>
  <c r="AW98" i="8"/>
  <c r="AB98" i="7"/>
  <c r="AJ98" i="7" s="1"/>
  <c r="B98" i="8"/>
  <c r="D98" i="2" s="1"/>
  <c r="U98" i="2" s="1"/>
  <c r="W97" i="2" l="1"/>
  <c r="C98" i="2" l="1"/>
  <c r="F98" i="2" l="1"/>
  <c r="I98" i="2"/>
  <c r="AA98" i="1" s="1"/>
  <c r="S98" i="1" s="1"/>
  <c r="H99" i="1" s="1"/>
  <c r="F98" i="1"/>
  <c r="H98" i="2"/>
  <c r="S98" i="8"/>
  <c r="V98" i="8" l="1"/>
  <c r="T98" i="8"/>
  <c r="W98" i="8" s="1"/>
  <c r="AC99" i="7"/>
  <c r="BI99" i="1"/>
  <c r="C99" i="11"/>
  <c r="AQ99" i="8"/>
  <c r="AK99" i="5"/>
  <c r="V99" i="10"/>
  <c r="I98" i="11"/>
  <c r="O98" i="7"/>
  <c r="AP98" i="1"/>
  <c r="T98" i="1" s="1"/>
  <c r="I99" i="1" s="1"/>
  <c r="AO99" i="1" s="1"/>
  <c r="J98" i="11"/>
  <c r="G98" i="2"/>
  <c r="Z98" i="2" s="1"/>
  <c r="AA99" i="8" s="1"/>
  <c r="BJ99" i="1" l="1"/>
  <c r="F98" i="9"/>
  <c r="P98" i="7"/>
  <c r="C98" i="8"/>
  <c r="Y98" i="2" l="1"/>
  <c r="X98" i="2" s="1"/>
  <c r="E99" i="2" l="1"/>
  <c r="L99" i="2" s="1"/>
  <c r="AB99" i="7"/>
  <c r="AJ99" i="7" s="1"/>
  <c r="H99" i="11"/>
  <c r="AW99" i="8"/>
  <c r="B99" i="8"/>
  <c r="D99" i="2" s="1"/>
  <c r="U99" i="2" s="1"/>
  <c r="W98" i="2" l="1"/>
  <c r="C99" i="2" l="1"/>
  <c r="I99" i="2" l="1"/>
  <c r="AA99" i="1" s="1"/>
  <c r="S99" i="1" s="1"/>
  <c r="H100" i="1" s="1"/>
  <c r="F99" i="2"/>
  <c r="F99" i="1"/>
  <c r="H99" i="2"/>
  <c r="S99" i="8"/>
  <c r="AC100" i="7" l="1"/>
  <c r="AK100" i="5"/>
  <c r="C100" i="11"/>
  <c r="V100" i="10"/>
  <c r="AQ100" i="8"/>
  <c r="BI100" i="1"/>
  <c r="T99" i="8"/>
  <c r="W99" i="8" s="1"/>
  <c r="V99" i="8"/>
  <c r="AP99" i="1"/>
  <c r="T99" i="1" s="1"/>
  <c r="I100" i="1" s="1"/>
  <c r="AO100" i="1" s="1"/>
  <c r="J99" i="11"/>
  <c r="G99" i="2"/>
  <c r="Z99" i="2" s="1"/>
  <c r="AA100" i="8" s="1"/>
  <c r="O99" i="7"/>
  <c r="I99" i="11"/>
  <c r="C99" i="8" l="1"/>
  <c r="BJ100" i="1"/>
  <c r="F99" i="9"/>
  <c r="P99" i="7"/>
  <c r="Y99" i="2" l="1"/>
  <c r="X99" i="2" s="1"/>
  <c r="E100" i="2" l="1"/>
  <c r="L100" i="2" s="1"/>
  <c r="H100" i="11"/>
  <c r="AB100" i="7"/>
  <c r="AJ100" i="7" s="1"/>
  <c r="AW100" i="8"/>
  <c r="B100" i="8"/>
  <c r="D100" i="2" s="1"/>
  <c r="U100" i="2" s="1"/>
  <c r="W99" i="2" l="1"/>
  <c r="C100" i="2" l="1"/>
  <c r="F100" i="2" l="1"/>
  <c r="S100" i="8"/>
  <c r="I100" i="2"/>
  <c r="AA100" i="1" s="1"/>
  <c r="S100" i="1" s="1"/>
  <c r="H101" i="1" s="1"/>
  <c r="F100" i="1"/>
  <c r="H100" i="2"/>
  <c r="AC101" i="7" l="1"/>
  <c r="BI101" i="1"/>
  <c r="AQ101" i="8"/>
  <c r="C101" i="11"/>
  <c r="V101" i="10"/>
  <c r="AK101" i="5"/>
  <c r="T100" i="8"/>
  <c r="W100" i="8" s="1"/>
  <c r="V100" i="8"/>
  <c r="J100" i="11"/>
  <c r="AP100" i="1"/>
  <c r="T100" i="1" s="1"/>
  <c r="I101" i="1" s="1"/>
  <c r="AO101" i="1" s="1"/>
  <c r="G100" i="2"/>
  <c r="Z100" i="2" s="1"/>
  <c r="AA101" i="8" s="1"/>
  <c r="O100" i="7"/>
  <c r="I100" i="11"/>
  <c r="BJ101" i="1" l="1"/>
  <c r="P100" i="7"/>
  <c r="F100" i="9"/>
  <c r="C100" i="8"/>
  <c r="Y100" i="2" l="1"/>
  <c r="X100" i="2" s="1"/>
  <c r="AW101" i="8" l="1"/>
  <c r="H101" i="11"/>
  <c r="AB101" i="7"/>
  <c r="AJ101" i="7" s="1"/>
  <c r="E101" i="2"/>
  <c r="L101" i="2" s="1"/>
  <c r="B101" i="8"/>
  <c r="D101" i="2" s="1"/>
  <c r="U101" i="2" s="1"/>
  <c r="W100" i="2" l="1"/>
  <c r="C101" i="2" l="1"/>
  <c r="F101" i="1" l="1"/>
  <c r="S101" i="8"/>
  <c r="I101" i="2"/>
  <c r="AA101" i="1" s="1"/>
  <c r="S101" i="1" s="1"/>
  <c r="H102" i="1" s="1"/>
  <c r="F101" i="2"/>
  <c r="H101" i="2"/>
  <c r="AC102" i="7" l="1"/>
  <c r="AQ102" i="8"/>
  <c r="V102" i="10"/>
  <c r="AK102" i="5"/>
  <c r="BI102" i="1"/>
  <c r="C102" i="11"/>
  <c r="T101" i="8"/>
  <c r="W101" i="8" s="1"/>
  <c r="V101" i="8"/>
  <c r="AP101" i="1"/>
  <c r="T101" i="1" s="1"/>
  <c r="I102" i="1" s="1"/>
  <c r="AO102" i="1" s="1"/>
  <c r="J101" i="11"/>
  <c r="G101" i="2"/>
  <c r="Z101" i="2" s="1"/>
  <c r="AA102" i="8" s="1"/>
  <c r="O101" i="7"/>
  <c r="I101" i="11"/>
  <c r="P101" i="7" l="1"/>
  <c r="F101" i="9"/>
  <c r="C101" i="8"/>
  <c r="BJ102" i="1"/>
  <c r="Y101" i="2" l="1"/>
  <c r="X101" i="2" s="1"/>
  <c r="AW102" i="8" l="1"/>
  <c r="AB102" i="7"/>
  <c r="AJ102" i="7" s="1"/>
  <c r="H102" i="11"/>
  <c r="E102" i="2"/>
  <c r="L102" i="2" s="1"/>
  <c r="B102" i="8"/>
  <c r="D102" i="2" s="1"/>
  <c r="U102" i="2" s="1"/>
  <c r="W101" i="2" l="1"/>
  <c r="C102" i="2" l="1"/>
  <c r="I102" i="2" l="1"/>
  <c r="AA102" i="1" s="1"/>
  <c r="S102" i="1" s="1"/>
  <c r="H103" i="1" s="1"/>
  <c r="S102" i="8"/>
  <c r="F102" i="2"/>
  <c r="H102" i="2"/>
  <c r="F102" i="1"/>
  <c r="V102" i="8" l="1"/>
  <c r="T102" i="8"/>
  <c r="W102" i="8" s="1"/>
  <c r="AC103" i="7"/>
  <c r="AK103" i="5"/>
  <c r="C103" i="11"/>
  <c r="AQ103" i="8"/>
  <c r="BI103" i="1"/>
  <c r="V103" i="10"/>
  <c r="J102" i="11"/>
  <c r="AP102" i="1"/>
  <c r="T102" i="1" s="1"/>
  <c r="I103" i="1" s="1"/>
  <c r="AO103" i="1" s="1"/>
  <c r="G102" i="2"/>
  <c r="Z102" i="2" s="1"/>
  <c r="AA103" i="8" s="1"/>
  <c r="O102" i="7"/>
  <c r="I102" i="11"/>
  <c r="C102" i="8" l="1"/>
  <c r="P102" i="7"/>
  <c r="F102" i="9"/>
  <c r="BJ103" i="1"/>
  <c r="Y102" i="2" l="1"/>
  <c r="X102" i="2" s="1"/>
  <c r="E103" i="2" l="1"/>
  <c r="L103" i="2" s="1"/>
  <c r="AW103" i="8"/>
  <c r="AB103" i="7"/>
  <c r="AJ103" i="7" s="1"/>
  <c r="H103" i="11"/>
  <c r="B103" i="8"/>
  <c r="D103" i="2" s="1"/>
  <c r="U103" i="2" s="1"/>
  <c r="W102" i="2" l="1"/>
  <c r="C103" i="2" l="1"/>
  <c r="S103" i="8" l="1"/>
  <c r="F103" i="1"/>
  <c r="H103" i="2"/>
  <c r="F103" i="2"/>
  <c r="I103" i="2"/>
  <c r="O103" i="7" l="1"/>
  <c r="I103" i="11"/>
  <c r="V103" i="8"/>
  <c r="T103" i="8"/>
  <c r="W103" i="8" s="1"/>
  <c r="AP103" i="1"/>
  <c r="T103" i="1" s="1"/>
  <c r="I104" i="1" s="1"/>
  <c r="AO104" i="1" s="1"/>
  <c r="J103" i="11"/>
  <c r="G103" i="2"/>
  <c r="Z103" i="2" s="1"/>
  <c r="AA104" i="8" s="1"/>
  <c r="AA103" i="1"/>
  <c r="S103" i="1" s="1"/>
  <c r="H104" i="1" s="1"/>
  <c r="C104" i="11" l="1"/>
  <c r="AC104" i="7"/>
  <c r="BI104" i="1"/>
  <c r="AK104" i="5"/>
  <c r="V104" i="10"/>
  <c r="AQ104" i="8"/>
  <c r="C103" i="8"/>
  <c r="P103" i="7"/>
  <c r="F103" i="9"/>
  <c r="BJ104" i="1"/>
  <c r="Y103" i="2" l="1"/>
  <c r="X103" i="2" s="1"/>
  <c r="E104" i="2" l="1"/>
  <c r="L104" i="2" s="1"/>
  <c r="AW104" i="8"/>
  <c r="H104" i="11"/>
  <c r="AB104" i="7"/>
  <c r="AJ104" i="7" s="1"/>
  <c r="B104" i="8"/>
  <c r="D104" i="2" s="1"/>
  <c r="U104" i="2" s="1"/>
  <c r="W103" i="2" l="1"/>
  <c r="C104" i="2" l="1"/>
  <c r="S104" i="8" l="1"/>
  <c r="F104" i="2"/>
  <c r="H104" i="2"/>
  <c r="F104" i="1"/>
  <c r="I104" i="2"/>
  <c r="I104" i="11" l="1"/>
  <c r="O104" i="7"/>
  <c r="J104" i="11"/>
  <c r="AP104" i="1"/>
  <c r="T104" i="1" s="1"/>
  <c r="I105" i="1" s="1"/>
  <c r="AO105" i="1" s="1"/>
  <c r="G104" i="2"/>
  <c r="Z104" i="2" s="1"/>
  <c r="AA105" i="8" s="1"/>
  <c r="AA104" i="1"/>
  <c r="S104" i="1" s="1"/>
  <c r="H105" i="1" s="1"/>
  <c r="V104" i="8"/>
  <c r="T104" i="8"/>
  <c r="W104" i="8" s="1"/>
  <c r="V105" i="10" l="1"/>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l="1"/>
  <c r="H105" i="2"/>
  <c r="F105" i="2"/>
  <c r="I105" i="2"/>
  <c r="AA105" i="1" s="1"/>
  <c r="S105" i="1" s="1"/>
  <c r="H106" i="1" s="1"/>
  <c r="F105" i="1"/>
  <c r="AK106" i="5" l="1"/>
  <c r="AC106" i="7"/>
  <c r="C106" i="11"/>
  <c r="V106" i="10"/>
  <c r="BI106" i="1"/>
  <c r="AQ106" i="8"/>
  <c r="O105" i="7"/>
  <c r="I105" i="11"/>
  <c r="AP105" i="1"/>
  <c r="T105" i="1" s="1"/>
  <c r="I106" i="1" s="1"/>
  <c r="AO106" i="1" s="1"/>
  <c r="J105" i="11"/>
  <c r="G105" i="2"/>
  <c r="Z105" i="2" s="1"/>
  <c r="AA106" i="8" s="1"/>
  <c r="T105" i="8"/>
  <c r="W105" i="8" s="1"/>
  <c r="V105" i="8"/>
  <c r="C105" i="8" l="1"/>
  <c r="BJ106" i="1"/>
  <c r="F105" i="9"/>
  <c r="P105" i="7"/>
  <c r="Y105" i="2" l="1"/>
  <c r="X105" i="2" s="1"/>
  <c r="E106" i="2" l="1"/>
  <c r="L106" i="2" s="1"/>
  <c r="H106" i="11"/>
  <c r="AW106" i="8"/>
  <c r="AB106" i="7"/>
  <c r="AJ106" i="7" s="1"/>
  <c r="B106" i="8"/>
  <c r="D106" i="2" s="1"/>
  <c r="U106" i="2" s="1"/>
  <c r="W105" i="2" l="1"/>
  <c r="C106" i="2" l="1"/>
  <c r="S106" i="8" l="1"/>
  <c r="I106" i="2"/>
  <c r="AA106" i="1" s="1"/>
  <c r="S106" i="1" s="1"/>
  <c r="H107" i="1" s="1"/>
  <c r="F106" i="1"/>
  <c r="H106" i="2"/>
  <c r="F106" i="2"/>
  <c r="AP106" i="1" l="1"/>
  <c r="T106" i="1" s="1"/>
  <c r="I107" i="1" s="1"/>
  <c r="AO107" i="1" s="1"/>
  <c r="J106" i="11"/>
  <c r="G106" i="2"/>
  <c r="Z106" i="2" s="1"/>
  <c r="AA107" i="8" s="1"/>
  <c r="AC107" i="7"/>
  <c r="AK107" i="5"/>
  <c r="AQ107" i="8"/>
  <c r="BI107" i="1"/>
  <c r="C107" i="11"/>
  <c r="V107" i="10"/>
  <c r="O106" i="7"/>
  <c r="I106" i="11"/>
  <c r="T106" i="8"/>
  <c r="W106" i="8" s="1"/>
  <c r="V106" i="8"/>
  <c r="C106" i="8" l="1"/>
  <c r="F106" i="9"/>
  <c r="P106" i="7"/>
  <c r="BJ107" i="1"/>
  <c r="Y106" i="2" l="1"/>
  <c r="X106" i="2" s="1"/>
  <c r="E107" i="2" l="1"/>
  <c r="L107" i="2" s="1"/>
  <c r="AB107" i="7"/>
  <c r="AJ107" i="7" s="1"/>
  <c r="AW107" i="8"/>
  <c r="H107" i="11"/>
  <c r="B107" i="8"/>
  <c r="D107" i="2" s="1"/>
  <c r="U107" i="2" s="1"/>
  <c r="W106" i="2" l="1"/>
  <c r="C107" i="2" l="1"/>
  <c r="S107" i="8" l="1"/>
  <c r="I107" i="2"/>
  <c r="F107" i="2"/>
  <c r="F107" i="1"/>
  <c r="H107" i="2"/>
  <c r="AP107" i="1" l="1"/>
  <c r="T107" i="1" s="1"/>
  <c r="I108" i="1" s="1"/>
  <c r="AO108" i="1" s="1"/>
  <c r="J107" i="11"/>
  <c r="G107" i="2"/>
  <c r="Z107" i="2" s="1"/>
  <c r="AA108" i="8" s="1"/>
  <c r="O107" i="7"/>
  <c r="I107" i="11"/>
  <c r="V107" i="8"/>
  <c r="T107" i="8"/>
  <c r="W107" i="8" s="1"/>
  <c r="AA107" i="1"/>
  <c r="S107" i="1" s="1"/>
  <c r="H108" i="1" s="1"/>
  <c r="AC108" i="7" l="1"/>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F108" i="2" l="1"/>
  <c r="S108" i="8"/>
  <c r="F108" i="1"/>
  <c r="H108" i="2"/>
  <c r="I108" i="2"/>
  <c r="AA108" i="1" s="1"/>
  <c r="S108" i="1" s="1"/>
  <c r="H109" i="1" s="1"/>
  <c r="BI109" i="1" l="1"/>
  <c r="C109" i="11"/>
  <c r="V109" i="10"/>
  <c r="AC109" i="7"/>
  <c r="AQ109" i="8"/>
  <c r="AK109" i="5"/>
  <c r="AP108" i="1"/>
  <c r="T108" i="1" s="1"/>
  <c r="I109" i="1" s="1"/>
  <c r="AO109" i="1" s="1"/>
  <c r="J108" i="11"/>
  <c r="G108" i="2"/>
  <c r="Z108" i="2" s="1"/>
  <c r="AA109" i="8" s="1"/>
  <c r="I108" i="11"/>
  <c r="O108" i="7"/>
  <c r="T108" i="8"/>
  <c r="W108" i="8" s="1"/>
  <c r="V108" i="8"/>
  <c r="C108" i="8" l="1"/>
  <c r="BJ109" i="1"/>
  <c r="P108" i="7"/>
  <c r="F108" i="9"/>
  <c r="Y108" i="2" l="1"/>
  <c r="X108" i="2" s="1"/>
  <c r="E109" i="2" l="1"/>
  <c r="L109" i="2" s="1"/>
  <c r="AW109" i="8"/>
  <c r="H109" i="11"/>
  <c r="AB109" i="7"/>
  <c r="AJ109" i="7" s="1"/>
  <c r="B109" i="8"/>
  <c r="D109" i="2" s="1"/>
  <c r="U109" i="2" s="1"/>
  <c r="W108" i="2" l="1"/>
  <c r="C109" i="2" l="1"/>
  <c r="F109" i="2" l="1"/>
  <c r="S109" i="8"/>
  <c r="I109" i="2"/>
  <c r="H109" i="2"/>
  <c r="F109" i="1"/>
  <c r="V109" i="8" l="1"/>
  <c r="T109" i="8"/>
  <c r="W109" i="8" s="1"/>
  <c r="J109" i="11"/>
  <c r="AP109" i="1"/>
  <c r="T109" i="1" s="1"/>
  <c r="I110" i="1" s="1"/>
  <c r="AO110" i="1" s="1"/>
  <c r="G109" i="2"/>
  <c r="Z109" i="2" s="1"/>
  <c r="AA110" i="8" s="1"/>
  <c r="I109" i="11"/>
  <c r="O109" i="7"/>
  <c r="AA109" i="1"/>
  <c r="S109" i="1" s="1"/>
  <c r="H110" i="1" s="1"/>
  <c r="C109" i="8" l="1"/>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I110" i="2" l="1"/>
  <c r="AA110" i="1" s="1"/>
  <c r="S110" i="1" s="1"/>
  <c r="H111" i="1" s="1"/>
  <c r="S110" i="8"/>
  <c r="F110" i="2"/>
  <c r="H110" i="2"/>
  <c r="F110" i="1"/>
  <c r="J110" i="11" l="1"/>
  <c r="AP110" i="1"/>
  <c r="T110" i="1" s="1"/>
  <c r="I111" i="1" s="1"/>
  <c r="AO111" i="1" s="1"/>
  <c r="G110" i="2"/>
  <c r="Z110" i="2" s="1"/>
  <c r="AA111" i="8" s="1"/>
  <c r="BI111" i="1"/>
  <c r="AK111" i="5"/>
  <c r="AQ111" i="8"/>
  <c r="V111" i="10"/>
  <c r="AC111" i="7"/>
  <c r="C111" i="11"/>
  <c r="I110" i="11"/>
  <c r="O110" i="7"/>
  <c r="V110" i="8"/>
  <c r="T110" i="8"/>
  <c r="W110" i="8" s="1"/>
  <c r="BJ111" i="1" l="1"/>
  <c r="C110" i="8"/>
  <c r="P110" i="7"/>
  <c r="F110" i="9"/>
  <c r="Y110" i="2" l="1"/>
  <c r="X110" i="2" s="1"/>
  <c r="AB111" i="7" l="1"/>
  <c r="AJ111" i="7" s="1"/>
  <c r="AW111" i="8"/>
  <c r="E111" i="2"/>
  <c r="L111" i="2" s="1"/>
  <c r="H111" i="11"/>
  <c r="B111" i="8"/>
  <c r="D111" i="2" s="1"/>
  <c r="U111" i="2" s="1"/>
  <c r="W110" i="2" l="1"/>
  <c r="C111" i="2" l="1"/>
  <c r="H111" i="2" l="1"/>
  <c r="F111" i="1"/>
  <c r="I111" i="2"/>
  <c r="F111" i="2"/>
  <c r="S111" i="8"/>
  <c r="J111" i="11" l="1"/>
  <c r="AP111" i="1"/>
  <c r="T111" i="1" s="1"/>
  <c r="I112" i="1" s="1"/>
  <c r="AO112" i="1" s="1"/>
  <c r="G111" i="2"/>
  <c r="Z111" i="2" s="1"/>
  <c r="AA112" i="8" s="1"/>
  <c r="I111" i="11"/>
  <c r="O111" i="7"/>
  <c r="T111" i="8"/>
  <c r="W111" i="8" s="1"/>
  <c r="V111" i="8"/>
  <c r="AA111" i="1"/>
  <c r="S111" i="1" s="1"/>
  <c r="H112" i="1" s="1"/>
  <c r="BJ112" i="1" l="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l="1"/>
  <c r="F112" i="2"/>
  <c r="I112" i="2"/>
  <c r="H112" i="2"/>
  <c r="F112" i="1"/>
  <c r="J112" i="11" l="1"/>
  <c r="AP112" i="1"/>
  <c r="T112" i="1" s="1"/>
  <c r="I113" i="1" s="1"/>
  <c r="AO113" i="1" s="1"/>
  <c r="G112" i="2"/>
  <c r="Z112" i="2" s="1"/>
  <c r="AA113" i="8" s="1"/>
  <c r="V112" i="8"/>
  <c r="T112" i="8"/>
  <c r="W112" i="8" s="1"/>
  <c r="O112" i="7"/>
  <c r="I112" i="11"/>
  <c r="AA112" i="1"/>
  <c r="S112" i="1" s="1"/>
  <c r="H113" i="1" s="1"/>
  <c r="BJ113" i="1" l="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l="1"/>
  <c r="F113" i="2"/>
  <c r="F113" i="1"/>
  <c r="H113" i="2"/>
  <c r="I113" i="2"/>
  <c r="O113" i="7" l="1"/>
  <c r="I113" i="11"/>
  <c r="J113" i="11"/>
  <c r="AP113" i="1"/>
  <c r="T113" i="1" s="1"/>
  <c r="I114" i="1" s="1"/>
  <c r="AO114" i="1" s="1"/>
  <c r="G113" i="2"/>
  <c r="Z113" i="2" s="1"/>
  <c r="AA114" i="8" s="1"/>
  <c r="AA113" i="1"/>
  <c r="S113" i="1" s="1"/>
  <c r="H114" i="1" s="1"/>
  <c r="T113" i="8"/>
  <c r="W113" i="8" s="1"/>
  <c r="V113" i="8"/>
  <c r="AC114" i="7" l="1"/>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H114" i="2" l="1"/>
  <c r="S114" i="8"/>
  <c r="F114" i="1"/>
  <c r="F114" i="2"/>
  <c r="I114" i="2"/>
  <c r="AA114" i="1" s="1"/>
  <c r="S114" i="1" s="1"/>
  <c r="H115" i="1" s="1"/>
  <c r="AK115" i="5" l="1"/>
  <c r="AQ115" i="8"/>
  <c r="BI115" i="1"/>
  <c r="C115" i="11"/>
  <c r="AC115" i="7"/>
  <c r="V115" i="10"/>
  <c r="O114" i="7"/>
  <c r="I114" i="11"/>
  <c r="J114" i="11"/>
  <c r="AP114" i="1"/>
  <c r="T114" i="1" s="1"/>
  <c r="I115" i="1" s="1"/>
  <c r="AO115" i="1" s="1"/>
  <c r="G114" i="2"/>
  <c r="Z114" i="2" s="1"/>
  <c r="AA115" i="8" s="1"/>
  <c r="V114" i="8"/>
  <c r="T114" i="8"/>
  <c r="W114" i="8" s="1"/>
  <c r="BJ115" i="1" l="1"/>
  <c r="C114" i="8"/>
  <c r="P114" i="7"/>
  <c r="F114" i="9"/>
  <c r="Y114" i="2" l="1"/>
  <c r="X114" i="2" s="1"/>
  <c r="AB115" i="7" l="1"/>
  <c r="AJ115" i="7" s="1"/>
  <c r="H115" i="11"/>
  <c r="AW115" i="8"/>
  <c r="E115" i="2"/>
  <c r="L115" i="2" s="1"/>
  <c r="B115" i="8"/>
  <c r="D115" i="2" s="1"/>
  <c r="U115" i="2" s="1"/>
  <c r="W114" i="2" l="1"/>
  <c r="C115" i="2" l="1"/>
  <c r="I115" i="2" l="1"/>
  <c r="AA115" i="1" s="1"/>
  <c r="S115" i="1" s="1"/>
  <c r="H116" i="1" s="1"/>
  <c r="H115" i="2"/>
  <c r="F115" i="1"/>
  <c r="F115" i="2"/>
  <c r="S115" i="8"/>
  <c r="J115" i="11" l="1"/>
  <c r="AP115" i="1"/>
  <c r="T115" i="1" s="1"/>
  <c r="I116" i="1" s="1"/>
  <c r="AO116" i="1" s="1"/>
  <c r="G115" i="2"/>
  <c r="Z115" i="2" s="1"/>
  <c r="AA116" i="8" s="1"/>
  <c r="T115" i="8"/>
  <c r="W115" i="8" s="1"/>
  <c r="V115" i="8"/>
  <c r="AC116" i="7"/>
  <c r="AQ116" i="8"/>
  <c r="V116" i="10"/>
  <c r="BI116" i="1"/>
  <c r="AK116" i="5"/>
  <c r="C116" i="11"/>
  <c r="O115" i="7"/>
  <c r="I115" i="11"/>
  <c r="C115" i="8" l="1"/>
  <c r="BJ116" i="1"/>
  <c r="F115" i="9"/>
  <c r="P115" i="7"/>
  <c r="Y115" i="2" l="1"/>
  <c r="X115" i="2" s="1"/>
  <c r="H116" i="11" l="1"/>
  <c r="AB116" i="7"/>
  <c r="AJ116" i="7" s="1"/>
  <c r="AW116" i="8"/>
  <c r="E116" i="2"/>
  <c r="L116" i="2" s="1"/>
  <c r="B116" i="8"/>
  <c r="D116" i="2" s="1"/>
  <c r="U116" i="2" s="1"/>
  <c r="W115" i="2" l="1"/>
  <c r="C116" i="2" l="1"/>
  <c r="S116" i="8" l="1"/>
  <c r="F116" i="1"/>
  <c r="H116" i="2"/>
  <c r="I116" i="2"/>
  <c r="F116" i="2"/>
  <c r="J116" i="11" l="1"/>
  <c r="AP116" i="1"/>
  <c r="T116" i="1" s="1"/>
  <c r="I117" i="1" s="1"/>
  <c r="AO117" i="1" s="1"/>
  <c r="G116" i="2"/>
  <c r="Z116" i="2" s="1"/>
  <c r="AA117" i="8" s="1"/>
  <c r="I116" i="11"/>
  <c r="O116" i="7"/>
  <c r="V116" i="8"/>
  <c r="T116" i="8"/>
  <c r="W116" i="8" s="1"/>
  <c r="AA116" i="1"/>
  <c r="S116" i="1" s="1"/>
  <c r="H117" i="1" s="1"/>
  <c r="AC117" i="7" l="1"/>
  <c r="AQ117" i="8"/>
  <c r="AK117" i="5"/>
  <c r="BI117" i="1"/>
  <c r="C117" i="11"/>
  <c r="V117" i="10"/>
  <c r="C116" i="8"/>
  <c r="BJ117" i="1"/>
  <c r="F116" i="9"/>
  <c r="P116" i="7"/>
  <c r="Y116" i="2" l="1"/>
  <c r="X116" i="2" s="1"/>
  <c r="E117" i="2" l="1"/>
  <c r="L117" i="2" s="1"/>
  <c r="AB117" i="7"/>
  <c r="AJ117" i="7" s="1"/>
  <c r="H117" i="11"/>
  <c r="AW117" i="8"/>
  <c r="B117" i="8"/>
  <c r="D117" i="2" s="1"/>
  <c r="U117" i="2" s="1"/>
  <c r="W116" i="2" l="1"/>
  <c r="C117" i="2" l="1"/>
  <c r="I117" i="2" l="1"/>
  <c r="AA117" i="1" s="1"/>
  <c r="S117" i="1" s="1"/>
  <c r="H118" i="1" s="1"/>
  <c r="F117" i="2"/>
  <c r="F117" i="1"/>
  <c r="H117" i="2"/>
  <c r="S117" i="8"/>
  <c r="V118" i="10" l="1"/>
  <c r="AC118" i="7"/>
  <c r="C118" i="11"/>
  <c r="AK118" i="5"/>
  <c r="BI118" i="1"/>
  <c r="AQ118" i="8"/>
  <c r="V117" i="8"/>
  <c r="T117" i="8"/>
  <c r="W117" i="8" s="1"/>
  <c r="J117" i="11"/>
  <c r="AP117" i="1"/>
  <c r="T117" i="1" s="1"/>
  <c r="I118" i="1" s="1"/>
  <c r="AO118" i="1" s="1"/>
  <c r="G117" i="2"/>
  <c r="Z117" i="2" s="1"/>
  <c r="AA118" i="8" s="1"/>
  <c r="I117" i="11"/>
  <c r="O117" i="7"/>
  <c r="P117" i="7" l="1"/>
  <c r="F117" i="9"/>
  <c r="BJ118" i="1"/>
  <c r="C117" i="8"/>
  <c r="Y117" i="2" l="1"/>
  <c r="X117" i="2" s="1"/>
  <c r="E118" i="2" l="1"/>
  <c r="L118" i="2" s="1"/>
  <c r="AB118" i="7"/>
  <c r="AJ118" i="7" s="1"/>
  <c r="H118" i="11"/>
  <c r="AW118" i="8"/>
  <c r="B118" i="8"/>
  <c r="D118" i="2" s="1"/>
  <c r="U118" i="2" s="1"/>
  <c r="W117" i="2" l="1"/>
  <c r="C118" i="2" l="1"/>
  <c r="I118" i="2" l="1"/>
  <c r="AA118" i="1" s="1"/>
  <c r="S118" i="1" s="1"/>
  <c r="H119" i="1" s="1"/>
  <c r="S118" i="8"/>
  <c r="F118" i="2"/>
  <c r="F118" i="1"/>
  <c r="H118" i="2"/>
  <c r="AP118" i="1" l="1"/>
  <c r="T118" i="1" s="1"/>
  <c r="I119" i="1" s="1"/>
  <c r="AO119" i="1" s="1"/>
  <c r="J118" i="11"/>
  <c r="G118" i="2"/>
  <c r="Z118" i="2" s="1"/>
  <c r="AA119" i="8" s="1"/>
  <c r="C119" i="11"/>
  <c r="BI119" i="1"/>
  <c r="AC119" i="7"/>
  <c r="V119" i="10"/>
  <c r="AQ119" i="8"/>
  <c r="AK119" i="5"/>
  <c r="V118" i="8"/>
  <c r="T118" i="8"/>
  <c r="W118" i="8" s="1"/>
  <c r="O118" i="7"/>
  <c r="I118" i="11"/>
  <c r="C118" i="8" l="1"/>
  <c r="P118" i="7"/>
  <c r="F118" i="9"/>
  <c r="BJ119" i="1"/>
  <c r="Y118" i="2" l="1"/>
  <c r="X118" i="2" s="1"/>
  <c r="E119" i="2" l="1"/>
  <c r="L119" i="2" s="1"/>
  <c r="H119" i="11"/>
  <c r="AB119" i="7"/>
  <c r="AJ119" i="7" s="1"/>
  <c r="AW119" i="8"/>
  <c r="B119" i="8"/>
  <c r="D119" i="2" s="1"/>
  <c r="U119" i="2" s="1"/>
  <c r="W118" i="2" l="1"/>
  <c r="C119" i="2" l="1"/>
  <c r="I119" i="2" l="1"/>
  <c r="AA119" i="1" s="1"/>
  <c r="S119" i="1" s="1"/>
  <c r="H120" i="1" s="1"/>
  <c r="S119" i="8"/>
  <c r="F119" i="2"/>
  <c r="H119" i="2"/>
  <c r="F119" i="1"/>
  <c r="J119" i="11" l="1"/>
  <c r="AP119" i="1"/>
  <c r="T119" i="1" s="1"/>
  <c r="I120" i="1" s="1"/>
  <c r="AO120" i="1" s="1"/>
  <c r="G119" i="2"/>
  <c r="Z119" i="2" s="1"/>
  <c r="AA120" i="8" s="1"/>
  <c r="T119" i="8"/>
  <c r="W119" i="8" s="1"/>
  <c r="V119" i="8"/>
  <c r="AC120" i="7"/>
  <c r="BI120" i="1"/>
  <c r="V120" i="10"/>
  <c r="AQ120" i="8"/>
  <c r="C120" i="11"/>
  <c r="AK120" i="5"/>
  <c r="O119" i="7"/>
  <c r="I119" i="11"/>
  <c r="BJ120" i="1" l="1"/>
  <c r="C119" i="8"/>
  <c r="F119" i="9"/>
  <c r="P119" i="7"/>
  <c r="Y119" i="2" l="1"/>
  <c r="X119" i="2" s="1"/>
  <c r="E120" i="2" l="1"/>
  <c r="L120" i="2" s="1"/>
  <c r="AW120" i="8"/>
  <c r="AB120" i="7"/>
  <c r="AJ120" i="7" s="1"/>
  <c r="H120" i="11"/>
  <c r="B120" i="8"/>
  <c r="D120" i="2" s="1"/>
  <c r="U120" i="2" s="1"/>
  <c r="W119" i="2" l="1"/>
  <c r="C120" i="2" l="1"/>
  <c r="I120" i="2" l="1"/>
  <c r="F120" i="2"/>
  <c r="S120" i="8"/>
  <c r="F120" i="1"/>
  <c r="H120" i="2"/>
  <c r="V120" i="8" l="1"/>
  <c r="T120" i="8"/>
  <c r="W120" i="8" s="1"/>
  <c r="O120" i="7"/>
  <c r="I120" i="11"/>
  <c r="AP120" i="1"/>
  <c r="T120" i="1" s="1"/>
  <c r="I121" i="1" s="1"/>
  <c r="AO121" i="1" s="1"/>
  <c r="J120" i="11"/>
  <c r="G120" i="2"/>
  <c r="Z120" i="2" s="1"/>
  <c r="AA121" i="8" s="1"/>
  <c r="AA120" i="1"/>
  <c r="S120" i="1" s="1"/>
  <c r="H121" i="1" s="1"/>
  <c r="AC121" i="7" l="1"/>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I121" i="2" l="1"/>
  <c r="F121" i="2"/>
  <c r="S121" i="8"/>
  <c r="H121" i="2"/>
  <c r="F121" i="1"/>
  <c r="V121" i="8" l="1"/>
  <c r="T121" i="8"/>
  <c r="W121" i="8" s="1"/>
  <c r="AP121" i="1"/>
  <c r="T121" i="1" s="1"/>
  <c r="I122" i="1" s="1"/>
  <c r="AO122" i="1" s="1"/>
  <c r="J121" i="11"/>
  <c r="G121" i="2"/>
  <c r="Z121" i="2" s="1"/>
  <c r="AA122" i="8" s="1"/>
  <c r="O121" i="7"/>
  <c r="I121" i="11"/>
  <c r="AA121" i="1"/>
  <c r="S121" i="1" s="1"/>
  <c r="H122" i="1" s="1"/>
  <c r="AC122" i="7" l="1"/>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l="1"/>
  <c r="I122" i="2"/>
  <c r="F122" i="1"/>
  <c r="H122" i="2"/>
  <c r="F122" i="2"/>
  <c r="AP122" i="1" l="1"/>
  <c r="T122" i="1" s="1"/>
  <c r="I123" i="1" s="1"/>
  <c r="AO123" i="1" s="1"/>
  <c r="J122" i="11"/>
  <c r="G122" i="2"/>
  <c r="Z122" i="2" s="1"/>
  <c r="AA123" i="8" s="1"/>
  <c r="V122" i="8"/>
  <c r="T122" i="8"/>
  <c r="W122" i="8" s="1"/>
  <c r="O122" i="7"/>
  <c r="I122" i="11"/>
  <c r="AA122" i="1"/>
  <c r="S122" i="1" s="1"/>
  <c r="H123" i="1" s="1"/>
  <c r="C122" i="8" l="1"/>
  <c r="AC123" i="7"/>
  <c r="AK123" i="5"/>
  <c r="C123" i="11"/>
  <c r="BI123" i="1"/>
  <c r="V123" i="10"/>
  <c r="AQ123" i="8"/>
  <c r="P122" i="7"/>
  <c r="F122" i="9"/>
  <c r="BJ123" i="1"/>
  <c r="Y122" i="2" l="1"/>
  <c r="X122" i="2" s="1"/>
  <c r="E123" i="2" l="1"/>
  <c r="L123" i="2" s="1"/>
  <c r="AW123" i="8"/>
  <c r="AB123" i="7"/>
  <c r="AJ123" i="7" s="1"/>
  <c r="H123" i="11"/>
  <c r="B123" i="8"/>
  <c r="D123" i="2" s="1"/>
  <c r="U123" i="2" s="1"/>
  <c r="W122" i="2" l="1"/>
  <c r="C123" i="2" l="1"/>
  <c r="F123" i="2" l="1"/>
  <c r="S123" i="8"/>
  <c r="I123" i="2"/>
  <c r="F123" i="1"/>
  <c r="H123" i="2"/>
  <c r="O123" i="7" l="1"/>
  <c r="I123" i="11"/>
  <c r="AA123" i="1"/>
  <c r="S123" i="1" s="1"/>
  <c r="H124" i="1" s="1"/>
  <c r="J123" i="11"/>
  <c r="AP123" i="1"/>
  <c r="T123" i="1" s="1"/>
  <c r="I124" i="1" s="1"/>
  <c r="AO124" i="1" s="1"/>
  <c r="G123" i="2"/>
  <c r="Z123" i="2" s="1"/>
  <c r="AA124" i="8" s="1"/>
  <c r="V123" i="8"/>
  <c r="T123" i="8"/>
  <c r="W123" i="8" s="1"/>
  <c r="BJ124" i="1" l="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l="1"/>
  <c r="F124" i="2"/>
  <c r="F124" i="1"/>
  <c r="H124" i="2"/>
  <c r="I124" i="2"/>
  <c r="I124" i="11" l="1"/>
  <c r="O124" i="7"/>
  <c r="AA124" i="1"/>
  <c r="S124" i="1" s="1"/>
  <c r="H125" i="1" s="1"/>
  <c r="J124" i="11"/>
  <c r="AP124" i="1"/>
  <c r="T124" i="1" s="1"/>
  <c r="I125" i="1" s="1"/>
  <c r="AO125" i="1" s="1"/>
  <c r="G124" i="2"/>
  <c r="Z124" i="2" s="1"/>
  <c r="AA125" i="8" s="1"/>
  <c r="T124" i="8"/>
  <c r="W124" i="8" s="1"/>
  <c r="V124" i="8"/>
  <c r="C124" i="8" l="1"/>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H125" i="2" l="1"/>
  <c r="F125" i="1"/>
  <c r="I125" i="2"/>
  <c r="F125" i="2"/>
  <c r="S125" i="8"/>
  <c r="J125" i="11" l="1"/>
  <c r="AP125" i="1"/>
  <c r="T125" i="1" s="1"/>
  <c r="I126" i="1" s="1"/>
  <c r="AO126" i="1" s="1"/>
  <c r="G125" i="2"/>
  <c r="Z125" i="2" s="1"/>
  <c r="AA126" i="8" s="1"/>
  <c r="O125" i="7"/>
  <c r="I125" i="11"/>
  <c r="V125" i="8"/>
  <c r="T125" i="8"/>
  <c r="W125" i="8" s="1"/>
  <c r="AA125" i="1"/>
  <c r="S125" i="1" s="1"/>
  <c r="H126" i="1" s="1"/>
  <c r="AC126" i="7" l="1"/>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F126" i="2" l="1"/>
  <c r="S126" i="8"/>
  <c r="F126" i="1"/>
  <c r="H126" i="2"/>
  <c r="I126" i="2"/>
  <c r="V126" i="8" l="1"/>
  <c r="T126" i="8"/>
  <c r="W126" i="8" s="1"/>
  <c r="AP126" i="1"/>
  <c r="T126" i="1" s="1"/>
  <c r="I127" i="1" s="1"/>
  <c r="AO127" i="1" s="1"/>
  <c r="J126" i="11"/>
  <c r="G126" i="2"/>
  <c r="Z126" i="2" s="1"/>
  <c r="AA127" i="8" s="1"/>
  <c r="O126" i="7"/>
  <c r="I126" i="11"/>
  <c r="AA126" i="1"/>
  <c r="S126" i="1" s="1"/>
  <c r="H127" i="1" s="1"/>
  <c r="F126" i="9" l="1"/>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I127" i="2" l="1"/>
  <c r="AA127" i="1" s="1"/>
  <c r="S127" i="1" s="1"/>
  <c r="H128" i="1" s="1"/>
  <c r="F127" i="2"/>
  <c r="S127" i="8"/>
  <c r="F127" i="1"/>
  <c r="H127" i="2"/>
  <c r="T127" i="8" l="1"/>
  <c r="W127" i="8" s="1"/>
  <c r="V127" i="8"/>
  <c r="J127" i="11"/>
  <c r="AP127" i="1"/>
  <c r="T127" i="1" s="1"/>
  <c r="I128" i="1" s="1"/>
  <c r="AO128" i="1" s="1"/>
  <c r="G127" i="2"/>
  <c r="Z127" i="2" s="1"/>
  <c r="AA128" i="8" s="1"/>
  <c r="AK128" i="5"/>
  <c r="BI128" i="1"/>
  <c r="AC128" i="7"/>
  <c r="C128" i="11"/>
  <c r="V128" i="10"/>
  <c r="AQ128" i="8"/>
  <c r="O127" i="7"/>
  <c r="I127" i="11"/>
  <c r="C127" i="8" l="1"/>
  <c r="BJ128" i="1"/>
  <c r="F127" i="9"/>
  <c r="P127" i="7"/>
  <c r="Y127" i="2" l="1"/>
  <c r="X127" i="2" s="1"/>
  <c r="AB128" i="7" l="1"/>
  <c r="AJ128" i="7" s="1"/>
  <c r="AW128" i="8"/>
  <c r="H128" i="11"/>
  <c r="E128" i="2"/>
  <c r="L128" i="2" s="1"/>
  <c r="B128" i="8"/>
  <c r="D128" i="2" s="1"/>
  <c r="U128" i="2" s="1"/>
  <c r="W127" i="2" l="1"/>
  <c r="C128" i="2" l="1"/>
  <c r="F128" i="2" l="1"/>
  <c r="I128" i="2"/>
  <c r="AA128" i="1" s="1"/>
  <c r="S128" i="1" s="1"/>
  <c r="H129" i="1" s="1"/>
  <c r="S128" i="8"/>
  <c r="F128" i="1"/>
  <c r="H128" i="2"/>
  <c r="AC129" i="7" l="1"/>
  <c r="V129" i="10"/>
  <c r="C129" i="11"/>
  <c r="AQ129" i="8"/>
  <c r="AK129" i="5"/>
  <c r="BI129" i="1"/>
  <c r="V128" i="8"/>
  <c r="T128" i="8"/>
  <c r="W128" i="8" s="1"/>
  <c r="J128" i="11"/>
  <c r="AP128" i="1"/>
  <c r="T128" i="1" s="1"/>
  <c r="I129" i="1" s="1"/>
  <c r="AO129" i="1" s="1"/>
  <c r="G128" i="2"/>
  <c r="Z128" i="2" s="1"/>
  <c r="AA129" i="8" s="1"/>
  <c r="I128" i="11"/>
  <c r="O128" i="7"/>
  <c r="BJ129" i="1" l="1"/>
  <c r="C128" i="8"/>
  <c r="P128" i="7"/>
  <c r="F128" i="9"/>
  <c r="Y128" i="2" l="1"/>
  <c r="X128" i="2" s="1"/>
  <c r="H129" i="11" l="1"/>
  <c r="AB129" i="7"/>
  <c r="AJ129" i="7" s="1"/>
  <c r="AW129" i="8"/>
  <c r="E129" i="2"/>
  <c r="L129" i="2" s="1"/>
  <c r="B129" i="8"/>
  <c r="D129" i="2" s="1"/>
  <c r="U129" i="2" s="1"/>
  <c r="W128" i="2" l="1"/>
  <c r="C129" i="2" l="1"/>
  <c r="S129" i="8" l="1"/>
  <c r="I129" i="2"/>
  <c r="AA129" i="1" s="1"/>
  <c r="S129" i="1" s="1"/>
  <c r="H130" i="1" s="1"/>
  <c r="F129" i="1"/>
  <c r="H129" i="2"/>
  <c r="F129" i="2"/>
  <c r="J129" i="11" l="1"/>
  <c r="AP129" i="1"/>
  <c r="T129" i="1" s="1"/>
  <c r="I130" i="1" s="1"/>
  <c r="AO130" i="1" s="1"/>
  <c r="G129" i="2"/>
  <c r="Z129" i="2" s="1"/>
  <c r="AA130" i="8" s="1"/>
  <c r="V129" i="8"/>
  <c r="T129" i="8"/>
  <c r="W129" i="8" s="1"/>
  <c r="AC130" i="7"/>
  <c r="V130" i="10"/>
  <c r="BI130" i="1"/>
  <c r="AK130" i="5"/>
  <c r="AQ130" i="8"/>
  <c r="C130" i="11"/>
  <c r="O129" i="7"/>
  <c r="I129" i="11"/>
  <c r="BJ130" i="1" l="1"/>
  <c r="C129" i="8"/>
  <c r="F129" i="9"/>
  <c r="P129" i="7"/>
  <c r="Y129" i="2" l="1"/>
  <c r="X129" i="2" s="1"/>
  <c r="E130" i="2" l="1"/>
  <c r="L130" i="2" s="1"/>
  <c r="H130" i="11"/>
  <c r="AW130" i="8"/>
  <c r="AB130" i="7"/>
  <c r="AJ130" i="7" s="1"/>
  <c r="B130" i="8"/>
  <c r="D130" i="2" s="1"/>
  <c r="U130" i="2" s="1"/>
  <c r="W129" i="2" l="1"/>
  <c r="C130" i="2" l="1"/>
  <c r="I130" i="2" l="1"/>
  <c r="AA130" i="1" s="1"/>
  <c r="S130" i="1" s="1"/>
  <c r="H131" i="1" s="1"/>
  <c r="F130" i="2"/>
  <c r="H130" i="2"/>
  <c r="F130" i="1"/>
  <c r="S130" i="8"/>
  <c r="V130" i="8" l="1"/>
  <c r="T130" i="8"/>
  <c r="W130" i="8" s="1"/>
  <c r="AC131" i="7"/>
  <c r="C131" i="11"/>
  <c r="BI131" i="1"/>
  <c r="AQ131" i="8"/>
  <c r="AK131" i="5"/>
  <c r="V131" i="10"/>
  <c r="AP130" i="1"/>
  <c r="T130" i="1" s="1"/>
  <c r="I131" i="1" s="1"/>
  <c r="AO131" i="1" s="1"/>
  <c r="J130" i="11"/>
  <c r="G130" i="2"/>
  <c r="Z130" i="2" s="1"/>
  <c r="AA131" i="8" s="1"/>
  <c r="O130" i="7"/>
  <c r="I130" i="11"/>
  <c r="F130" i="9" l="1"/>
  <c r="P130" i="7"/>
  <c r="C130" i="8"/>
  <c r="BJ131" i="1"/>
  <c r="Y130" i="2" l="1"/>
  <c r="X130" i="2" s="1"/>
  <c r="E131" i="2" l="1"/>
  <c r="L131" i="2" s="1"/>
  <c r="AW131" i="8"/>
  <c r="H131" i="11"/>
  <c r="AB131" i="7"/>
  <c r="AJ131" i="7" s="1"/>
  <c r="B131" i="8"/>
  <c r="D131" i="2" s="1"/>
  <c r="U131" i="2" s="1"/>
  <c r="W130" i="2" l="1"/>
  <c r="C131" i="2" l="1"/>
  <c r="I131" i="2" l="1"/>
  <c r="AA131" i="1" s="1"/>
  <c r="S131" i="1" s="1"/>
  <c r="H132" i="1" s="1"/>
  <c r="F131" i="1"/>
  <c r="S131" i="8"/>
  <c r="H131" i="2"/>
  <c r="F131" i="2"/>
  <c r="J131" i="11" l="1"/>
  <c r="AP131" i="1"/>
  <c r="T131" i="1" s="1"/>
  <c r="I132" i="1" s="1"/>
  <c r="AO132" i="1" s="1"/>
  <c r="G131" i="2"/>
  <c r="Z131" i="2" s="1"/>
  <c r="AA132" i="8" s="1"/>
  <c r="V131" i="8"/>
  <c r="T131" i="8"/>
  <c r="W131" i="8" s="1"/>
  <c r="BI132" i="1"/>
  <c r="AC132" i="7"/>
  <c r="V132" i="10"/>
  <c r="C132" i="11"/>
  <c r="AK132" i="5"/>
  <c r="AQ132" i="8"/>
  <c r="I131" i="11"/>
  <c r="O131" i="7"/>
  <c r="BJ132" i="1" l="1"/>
  <c r="C131" i="8"/>
  <c r="F131" i="9"/>
  <c r="P131" i="7"/>
  <c r="Y131" i="2" l="1"/>
  <c r="X131" i="2" s="1"/>
  <c r="AW132" i="8" l="1"/>
  <c r="AB132" i="7"/>
  <c r="AJ132" i="7" s="1"/>
  <c r="E132" i="2"/>
  <c r="L132" i="2" s="1"/>
  <c r="H132" i="11"/>
  <c r="B132" i="8"/>
  <c r="D132" i="2" s="1"/>
  <c r="U132" i="2" s="1"/>
  <c r="W131" i="2" l="1"/>
  <c r="C132" i="2" l="1"/>
  <c r="S132" i="8" l="1"/>
  <c r="I132" i="2"/>
  <c r="F132" i="2"/>
  <c r="F132" i="1"/>
  <c r="H132" i="2"/>
  <c r="V132" i="8" l="1"/>
  <c r="T132" i="8"/>
  <c r="W132" i="8" s="1"/>
  <c r="AP132" i="1"/>
  <c r="T132" i="1" s="1"/>
  <c r="I133" i="1" s="1"/>
  <c r="AO133" i="1" s="1"/>
  <c r="J132" i="11"/>
  <c r="G132" i="2"/>
  <c r="Z132" i="2" s="1"/>
  <c r="AA133" i="8" s="1"/>
  <c r="O132" i="7"/>
  <c r="I132" i="11"/>
  <c r="AA132" i="1"/>
  <c r="S132" i="1" s="1"/>
  <c r="H133" i="1" s="1"/>
  <c r="AC133" i="7" l="1"/>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I133" i="2" l="1"/>
  <c r="AA133" i="1" s="1"/>
  <c r="S133" i="1" s="1"/>
  <c r="H134" i="1" s="1"/>
  <c r="S133" i="8"/>
  <c r="F133" i="2"/>
  <c r="F133" i="1"/>
  <c r="H133" i="2"/>
  <c r="BI134" i="1" l="1"/>
  <c r="AQ134" i="8"/>
  <c r="V134" i="10"/>
  <c r="C134" i="11"/>
  <c r="AK134" i="5"/>
  <c r="AC134" i="7"/>
  <c r="J133" i="11"/>
  <c r="AP133" i="1"/>
  <c r="T133" i="1" s="1"/>
  <c r="I134" i="1" s="1"/>
  <c r="AO134" i="1" s="1"/>
  <c r="G133" i="2"/>
  <c r="Z133" i="2" s="1"/>
  <c r="AA134" i="8" s="1"/>
  <c r="V133" i="8"/>
  <c r="T133" i="8"/>
  <c r="W133" i="8" s="1"/>
  <c r="O133" i="7"/>
  <c r="I133" i="11"/>
  <c r="F133" i="9" l="1"/>
  <c r="P133" i="7"/>
  <c r="BJ134" i="1"/>
  <c r="C133" i="8"/>
  <c r="Y133" i="2" l="1"/>
  <c r="X133" i="2" s="1"/>
  <c r="E134" i="2" l="1"/>
  <c r="L134" i="2" s="1"/>
  <c r="AW134" i="8"/>
  <c r="H134" i="11"/>
  <c r="AB134" i="7"/>
  <c r="AJ134" i="7" s="1"/>
  <c r="B134" i="8"/>
  <c r="D134" i="2" s="1"/>
  <c r="U134" i="2" s="1"/>
  <c r="W133" i="2" l="1"/>
  <c r="C134" i="2" l="1"/>
  <c r="H134" i="2" l="1"/>
  <c r="S134" i="8"/>
  <c r="I134" i="2"/>
  <c r="F134" i="1"/>
  <c r="F134" i="2"/>
  <c r="T134" i="8" l="1"/>
  <c r="W134" i="8" s="1"/>
  <c r="V134" i="8"/>
  <c r="J134" i="11"/>
  <c r="AP134" i="1"/>
  <c r="T134" i="1" s="1"/>
  <c r="I135" i="1" s="1"/>
  <c r="AO135" i="1" s="1"/>
  <c r="G134" i="2"/>
  <c r="Z134" i="2" s="1"/>
  <c r="AA135" i="8" s="1"/>
  <c r="O134" i="7"/>
  <c r="I134" i="11"/>
  <c r="AA134" i="1"/>
  <c r="S134" i="1" s="1"/>
  <c r="H135" i="1" s="1"/>
  <c r="BJ135" i="1" l="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l="1"/>
  <c r="F135" i="2"/>
  <c r="I135" i="2"/>
  <c r="F135" i="1"/>
  <c r="H135" i="2"/>
  <c r="T135" i="8" l="1"/>
  <c r="W135" i="8" s="1"/>
  <c r="V135" i="8"/>
  <c r="O135" i="7"/>
  <c r="I135" i="11"/>
  <c r="AA135" i="1"/>
  <c r="S135" i="1" s="1"/>
  <c r="H136" i="1" s="1"/>
  <c r="AP135" i="1"/>
  <c r="T135" i="1" s="1"/>
  <c r="I136" i="1" s="1"/>
  <c r="AO136" i="1" s="1"/>
  <c r="J135" i="11"/>
  <c r="G135" i="2"/>
  <c r="Z135" i="2" s="1"/>
  <c r="AA136" i="8" s="1"/>
  <c r="C135" i="8" l="1"/>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l="1"/>
  <c r="F136" i="1"/>
  <c r="H136" i="2"/>
  <c r="I136" i="2"/>
  <c r="F136" i="2"/>
  <c r="O136" i="7" l="1"/>
  <c r="I136" i="11"/>
  <c r="AA136" i="1"/>
  <c r="S136" i="1" s="1"/>
  <c r="J136" i="11"/>
  <c r="AP136" i="1"/>
  <c r="T136" i="1" s="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<sst xmlns="http://schemas.openxmlformats.org/spreadsheetml/2006/main" count="3027" uniqueCount="1133">
  <si>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</si>
  <si>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</si>
  <si>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</si>
  <si>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</si>
  <si>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</si>
  <si>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</si>
  <si>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</si>
  <si>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</si>
  <si>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</si>
  <si>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</si>
  <si>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</si>
  <si>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</si>
  <si>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</si>
  <si>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</si>
  <si>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</si>
  <si>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</si>
  <si>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</si>
  <si>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</si>
  <si>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</si>
  <si>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</si>
  <si>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</si>
  <si>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</si>
  <si>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</si>
  <si>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</si>
  <si>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</si>
  <si>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</si>
  <si>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</si>
  <si>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</si>
  <si>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</si>
  <si>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</si>
  <si>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</si>
  <si>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</si>
  <si>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</si>
  <si>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</si>
  <si>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</si>
  <si>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</si>
  <si>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</si>
  <si>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</si>
  <si>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</si>
  <si>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</si>
  <si>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</si>
  <si>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</si>
  <si>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</si>
  <si>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</si>
  <si>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</si>
  <si>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</si>
  <si>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</si>
  <si>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</si>
  <si>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</si>
  <si>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</si>
  <si>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</si>
  <si>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</si>
  <si>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</si>
  <si>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</si>
  <si>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</si>
  <si>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</si>
  <si>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</si>
  <si>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</si>
  <si>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</si>
  <si>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</si>
  <si>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</si>
  <si>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</si>
  <si>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</si>
  <si>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</si>
  <si>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</si>
  <si>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</si>
  <si>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</si>
  <si>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</si>
  <si>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</si>
  <si>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</si>
  <si>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</si>
  <si>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</si>
  <si>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</si>
  <si>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</si>
  <si>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</si>
  <si>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</si>
  <si>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</si>
  <si>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</si>
  <si>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</si>
  <si>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</si>
  <si>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</si>
  <si>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</si>
  <si>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</si>
  <si>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</si>
  <si>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</si>
  <si>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</si>
  <si>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</si>
  <si>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</si>
  <si>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</si>
  <si>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</si>
  <si>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</si>
  <si>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</si>
  <si>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</si>
  <si>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</si>
  <si>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</si>
  <si>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</si>
  <si>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</si>
  <si>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</si>
  <si>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</si>
  <si>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</si>
  <si>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</si>
  <si>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</si>
  <si>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</si>
  <si>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</si>
  <si>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</si>
  <si>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</si>
  <si>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</si>
  <si>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</si>
  <si>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</si>
  <si>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</si>
  <si>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</si>
  <si>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</si>
  <si>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</si>
  <si>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</si>
  <si>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</si>
  <si>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</si>
  <si>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</si>
  <si>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</si>
  <si>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</si>
  <si>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</si>
  <si>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</si>
  <si>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</si>
  <si>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</si>
  <si>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</si>
  <si>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</si>
  <si>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</si>
  <si>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</si>
  <si>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</si>
  <si>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</si>
  <si>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</si>
  <si>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</si>
  <si>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</si>
  <si>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</si>
  <si>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</si>
  <si>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</si>
  <si>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</si>
  <si>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</si>
  <si>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</si>
  <si>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</si>
  <si>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</si>
  <si>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</si>
  <si>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</si>
  <si>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</si>
  <si>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</si>
  <si>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</si>
  <si>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</si>
  <si>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</si>
  <si>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</si>
  <si>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</si>
  <si>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</si>
  <si>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</si>
  <si>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</si>
  <si>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</si>
  <si>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</si>
  <si>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</si>
  <si>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</si>
  <si>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</si>
  <si>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</si>
  <si>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</si>
  <si>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</si>
  <si>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</si>
  <si>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</si>
  <si>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</si>
  <si>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</si>
  <si>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</si>
  <si>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</si>
  <si>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</si>
  <si>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</si>
  <si>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</si>
  <si>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</si>
  <si>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</si>
  <si>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</si>
  <si>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</si>
  <si>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</si>
  <si>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</si>
  <si>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</si>
  <si>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</si>
  <si>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</si>
  <si>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</si>
  <si>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</si>
  <si>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</si>
  <si>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</si>
  <si>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</si>
  <si>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</si>
  <si>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</si>
  <si>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</si>
  <si>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</si>
  <si>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</si>
  <si>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</si>
  <si>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</si>
  <si>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</si>
  <si>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</si>
  <si>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</si>
  <si>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</si>
  <si>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</si>
  <si>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</si>
  <si>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</si>
  <si>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</si>
  <si>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</si>
  <si>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</si>
  <si>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</si>
  <si>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</si>
  <si>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</si>
  <si>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</si>
  <si>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</si>
  <si>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</si>
  <si>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</si>
  <si>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</si>
  <si>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</si>
  <si>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</si>
  <si>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</si>
  <si>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</si>
  <si>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</si>
  <si>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</si>
  <si>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</si>
  <si>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</si>
  <si>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</si>
  <si>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</si>
  <si>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</si>
  <si>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</si>
  <si>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</si>
  <si>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</si>
  <si>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</si>
  <si>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</si>
  <si>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</si>
  <si>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</si>
  <si>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</si>
  <si>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</si>
  <si>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</si>
  <si>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</si>
  <si>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</si>
  <si>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</si>
  <si>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</si>
  <si>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</si>
  <si>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</si>
  <si>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</si>
  <si>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</si>
  <si>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</si>
  <si>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</si>
  <si>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</si>
  <si>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</si>
  <si>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</si>
  <si>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</si>
  <si>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</si>
  <si>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</si>
  <si>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</si>
  <si>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</si>
  <si>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</si>
  <si>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</si>
  <si>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</si>
  <si>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</si>
  <si>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</si>
  <si>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</si>
  <si>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</si>
  <si>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</si>
  <si>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</si>
  <si>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</si>
  <si>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</si>
  <si>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</si>
  <si>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</si>
  <si>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</si>
  <si>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</si>
  <si>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</si>
  <si>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</si>
  <si>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</si>
  <si>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</si>
  <si>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</si>
  <si>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</si>
  <si>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</si>
  <si>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</si>
  <si>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</si>
  <si>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</si>
  <si>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</si>
  <si>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</si>
  <si>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</si>
  <si>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</si>
  <si>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</si>
  <si>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</si>
  <si>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</si>
  <si>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</si>
  <si>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</si>
  <si>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</si>
  <si>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</si>
  <si>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</si>
  <si>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</si>
  <si>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</si>
  <si>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</si>
  <si>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</si>
  <si>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</si>
  <si>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</si>
  <si>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</si>
  <si>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</si>
  <si>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</si>
  <si>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</si>
  <si>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</si>
  <si>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</si>
  <si>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</si>
  <si>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</si>
  <si>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</si>
  <si>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</si>
  <si>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</si>
  <si>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</si>
  <si>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</si>
  <si>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</si>
  <si>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</si>
  <si>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</si>
  <si>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</si>
  <si>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</si>
  <si>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</si>
  <si>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</si>
  <si>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</si>
  <si>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</si>
  <si>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</si>
  <si>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</si>
  <si>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</si>
  <si>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</si>
  <si>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</si>
  <si>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</si>
  <si>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</si>
  <si>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</si>
  <si>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</si>
  <si>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</si>
  <si>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</si>
  <si>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</si>
  <si>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</si>
  <si>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</si>
  <si>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</si>
  <si>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</si>
  <si>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</si>
  <si>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</si>
  <si>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</si>
  <si>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</si>
  <si>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</si>
  <si>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</si>
  <si>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</si>
  <si>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</si>
  <si>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</si>
  <si>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</si>
  <si>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</si>
  <si>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</si>
  <si>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</si>
  <si>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</si>
  <si>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</si>
  <si>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</si>
  <si>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</si>
  <si>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</si>
  <si>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</si>
  <si>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</si>
  <si>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</si>
  <si>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</si>
  <si>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</si>
  <si>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</si>
  <si>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</si>
  <si>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</si>
  <si>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</si>
  <si>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</si>
  <si>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</si>
  <si>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</si>
  <si>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</si>
  <si>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</si>
  <si>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</si>
  <si>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</si>
  <si>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</si>
  <si>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</si>
  <si>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</si>
  <si>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</si>
  <si>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</si>
  <si>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</si>
  <si>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</si>
  <si>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</si>
  <si>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</si>
  <si>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</si>
  <si>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</si>
  <si>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</si>
  <si>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</si>
  <si>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</si>
  <si>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</si>
  <si>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</si>
  <si>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</si>
  <si>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</si>
  <si>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</si>
  <si>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</si>
  <si>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</si>
  <si>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</si>
  <si>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</si>
  <si>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</si>
  <si>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</si>
  <si>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</si>
  <si>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</si>
  <si>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</si>
  <si>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</si>
  <si>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</si>
  <si>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</si>
  <si>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</si>
  <si>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</si>
  <si>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</si>
  <si>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</si>
  <si>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</si>
  <si>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</si>
  <si>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</si>
  <si>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</si>
  <si>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</si>
  <si>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</si>
  <si>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</si>
  <si>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</si>
  <si>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</si>
  <si>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</si>
  <si>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</si>
  <si>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</si>
  <si>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</si>
  <si>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</si>
  <si>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</si>
  <si>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</si>
  <si>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</si>
  <si>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</si>
  <si>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</si>
  <si>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</si>
  <si>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</si>
  <si>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</si>
  <si>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</si>
  <si>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</si>
  <si>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</si>
  <si>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</si>
  <si>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</si>
  <si>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</si>
  <si>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</si>
  <si>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</si>
  <si>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</si>
  <si>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</si>
  <si>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</si>
  <si>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</si>
  <si>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</si>
  <si>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</si>
  <si>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</si>
  <si>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</si>
  <si>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</si>
  <si>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</si>
  <si>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</si>
  <si>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</si>
  <si>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</si>
  <si>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</si>
  <si>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</si>
  <si>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</si>
  <si>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</si>
  <si>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</si>
  <si>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</si>
  <si>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</si>
  <si>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</si>
  <si>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</si>
  <si>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</si>
  <si>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</si>
  <si>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</si>
  <si>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</si>
  <si>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</si>
  <si>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</si>
  <si>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</si>
  <si>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</si>
  <si>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</si>
  <si>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</si>
  <si>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</si>
  <si>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</si>
  <si>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</si>
  <si>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</si>
  <si>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</si>
  <si>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</si>
  <si>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</si>
  <si>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</si>
  <si>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</si>
  <si>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</si>
  <si>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</si>
  <si>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</si>
  <si>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</si>
  <si>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</si>
  <si>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</si>
  <si>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</si>
  <si>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</si>
  <si>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</si>
  <si>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</si>
  <si>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</si>
  <si>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</si>
  <si>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</si>
  <si>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</si>
  <si>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</si>
  <si>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</si>
  <si>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</si>
  <si>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</si>
  <si>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</si>
  <si>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</si>
  <si>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</si>
  <si>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</si>
  <si>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</si>
  <si>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</si>
  <si>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</si>
  <si>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</si>
  <si>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</si>
  <si>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</si>
  <si>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</si>
  <si>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</si>
  <si>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</si>
  <si>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</si>
  <si>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</si>
  <si>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</si>
  <si>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</si>
  <si>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</si>
  <si>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</si>
  <si>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</si>
  <si>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</si>
  <si>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</si>
  <si>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</si>
  <si>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</si>
  <si>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</si>
  <si>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</si>
  <si>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</si>
  <si>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</si>
  <si>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</si>
  <si>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</si>
  <si>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</si>
  <si>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</si>
  <si>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</si>
  <si>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</si>
  <si>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</si>
  <si>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</si>
  <si>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</si>
  <si>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</si>
  <si>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</si>
  <si>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</si>
  <si>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</si>
  <si>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</si>
  <si>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</si>
  <si>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</si>
  <si>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</si>
  <si>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</si>
  <si>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</si>
  <si>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</si>
  <si>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</si>
  <si>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</si>
  <si>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</si>
  <si>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</si>
  <si>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</si>
  <si>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</si>
  <si>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</si>
  <si>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</si>
  <si>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</si>
  <si>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</si>
  <si>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</si>
  <si>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</si>
  <si>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</si>
  <si>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</si>
  <si>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</si>
  <si>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</si>
  <si>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</si>
  <si>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</si>
  <si>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</si>
  <si>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</si>
  <si>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</si>
  <si>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</si>
  <si>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</si>
  <si>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</si>
  <si>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</si>
  <si>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</si>
  <si>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</si>
  <si>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</si>
  <si>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</si>
  <si>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</si>
  <si>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</si>
  <si>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</si>
  <si>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</si>
  <si>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</si>
  <si>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</si>
  <si>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</si>
  <si>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</si>
  <si>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</si>
  <si>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</si>
  <si>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</si>
  <si>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</si>
  <si>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</si>
  <si>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</si>
  <si>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</si>
  <si>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</si>
  <si>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</si>
  <si>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</si>
  <si>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</si>
  <si>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</si>
  <si>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</si>
  <si>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</si>
  <si>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</si>
  <si>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</si>
  <si>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</si>
  <si>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</si>
  <si>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</si>
  <si>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</si>
  <si>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</si>
  <si>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</si>
  <si>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</si>
  <si>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</si>
  <si>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</si>
  <si>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</si>
  <si>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</si>
  <si>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</si>
  <si>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</si>
  <si>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</si>
  <si>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</si>
  <si>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</si>
  <si>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</si>
  <si>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</si>
  <si>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</si>
  <si>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</si>
  <si>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</si>
  <si>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</si>
  <si>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</si>
  <si>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</si>
  <si>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</si>
  <si>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</si>
  <si>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</si>
  <si>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</si>
  <si>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</si>
  <si>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</si>
  <si>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</si>
  <si>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</si>
  <si>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</si>
  <si>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</si>
  <si>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</si>
  <si>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</si>
  <si>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</si>
  <si>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</si>
  <si>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</si>
  <si>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</si>
  <si>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</si>
  <si>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</si>
  <si>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</si>
  <si>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</si>
  <si>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</si>
  <si>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</si>
  <si>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</si>
  <si>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</si>
  <si>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</si>
  <si>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</si>
  <si>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</si>
  <si>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</si>
  <si>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</si>
  <si>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</si>
  <si>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</si>
  <si>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</si>
  <si>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</si>
  <si>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</si>
  <si>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</si>
  <si>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</si>
  <si>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</si>
  <si>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</si>
  <si>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</si>
  <si>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</si>
  <si>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</si>
  <si>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</si>
  <si>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</si>
  <si>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</si>
  <si>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</si>
  <si>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</si>
  <si>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</si>
  <si>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</si>
  <si>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</si>
  <si>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</si>
  <si>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</si>
  <si>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</si>
  <si>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</si>
  <si>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</si>
  <si>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</si>
  <si>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</si>
  <si>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</si>
  <si>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</si>
  <si>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</si>
  <si>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</si>
  <si>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</si>
  <si>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</si>
  <si>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</si>
  <si>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</si>
  <si>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</si>
  <si>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</si>
  <si>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</si>
  <si>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</si>
  <si>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</si>
  <si>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</si>
  <si>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</si>
  <si>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</si>
  <si>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</si>
  <si>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</si>
  <si>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</si>
  <si>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</si>
  <si>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</si>
  <si>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</si>
  <si>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</si>
  <si>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</si>
  <si>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</si>
  <si>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</si>
  <si>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</si>
  <si>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</si>
  <si>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</si>
  <si>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</si>
  <si>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</si>
  <si>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</si>
  <si>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</si>
  <si>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</si>
  <si>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</si>
  <si>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</si>
  <si>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</si>
  <si>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</si>
  <si>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</si>
  <si>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</si>
  <si>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</si>
  <si>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</si>
  <si>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</si>
  <si>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</si>
  <si>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</si>
  <si>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</si>
  <si>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</si>
  <si>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</si>
  <si>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</si>
  <si>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</si>
  <si>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</si>
  <si>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</si>
  <si>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</si>
  <si>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</si>
  <si>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</si>
  <si>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</si>
  <si>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</si>
  <si>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</si>
  <si>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</si>
  <si>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</si>
  <si>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</si>
  <si>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</si>
  <si>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</si>
  <si>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</si>
  <si>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</si>
  <si>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</si>
  <si>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</si>
  <si>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</si>
  <si>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</si>
  <si>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</si>
  <si>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</si>
  <si>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</si>
  <si>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</si>
  <si>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</si>
  <si>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</si>
  <si>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</si>
  <si>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</si>
  <si>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</si>
  <si>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</si>
  <si>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</si>
  <si>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</si>
  <si>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</si>
  <si>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</si>
  <si>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</si>
  <si>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</si>
  <si>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</si>
  <si>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</si>
  <si>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</si>
  <si>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</si>
  <si>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</si>
  <si>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</si>
  <si>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</si>
  <si>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</si>
  <si>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</si>
  <si>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</si>
  <si>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</si>
  <si>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</si>
  <si>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</si>
  <si>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</si>
  <si>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</si>
  <si>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</si>
  <si>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</si>
  <si>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</si>
  <si>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</si>
  <si>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</si>
  <si>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</si>
  <si>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</si>
  <si>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</si>
  <si>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</si>
  <si>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</si>
  <si>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</si>
  <si>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</si>
  <si>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</si>
  <si>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</si>
  <si>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</si>
  <si>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</si>
  <si>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</si>
  <si>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</si>
  <si>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</si>
  <si>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</si>
  <si>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</si>
  <si>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</si>
  <si>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</si>
  <si>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</si>
  <si>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</si>
  <si>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</si>
  <si>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</si>
  <si>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</si>
  <si>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</si>
  <si>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</si>
  <si>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</si>
  <si>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</si>
  <si>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</si>
  <si>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</si>
  <si>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</si>
  <si>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</si>
  <si>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</si>
  <si>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</si>
  <si>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</si>
  <si>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</si>
  <si>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</si>
  <si>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</si>
  <si>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</si>
  <si>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</si>
  <si>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</si>
  <si>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</si>
  <si>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</si>
  <si>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</si>
  <si>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</si>
  <si>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</si>
  <si>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</si>
  <si>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</si>
  <si>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</si>
  <si>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</si>
  <si>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</si>
  <si>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</si>
  <si>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</si>
  <si>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</si>
  <si>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</si>
  <si>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</si>
  <si>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</si>
  <si>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</si>
  <si>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</si>
  <si>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</si>
  <si>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</si>
  <si>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</si>
  <si>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</si>
  <si>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</si>
  <si>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</si>
  <si>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</si>
  <si>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</si>
  <si>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</si>
  <si>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</si>
  <si>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</si>
  <si>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</si>
  <si>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</si>
  <si>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</si>
  <si>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</si>
  <si>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</si>
  <si>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</si>
  <si>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</si>
  <si>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</si>
  <si>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</si>
  <si>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</si>
  <si>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</si>
  <si>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</si>
  <si>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</si>
  <si>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</si>
  <si>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</si>
  <si>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</si>
  <si>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</si>
  <si>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</si>
  <si>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</si>
  <si>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</si>
  <si>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</si>
  <si>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</si>
  <si>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</si>
  <si>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</si>
  <si>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</si>
  <si>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</si>
  <si>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</si>
  <si>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</si>
  <si>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</si>
  <si>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</si>
  <si>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</si>
  <si>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</si>
  <si>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</si>
  <si>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</si>
  <si>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</si>
  <si>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</si>
  <si>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</si>
  <si>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</si>
  <si>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</si>
  <si>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</si>
  <si>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</si>
  <si>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</si>
  <si>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</si>
  <si>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</si>
  <si>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</si>
  <si>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</si>
  <si>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</si>
  <si>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</si>
  <si>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</si>
  <si>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</si>
  <si>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</si>
  <si>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</si>
  <si>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</si>
  <si>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</si>
  <si>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</si>
  <si>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</si>
  <si>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</si>
  <si>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</si>
  <si>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</si>
  <si>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</si>
  <si>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</si>
  <si>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</si>
  <si>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</si>
  <si>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</si>
  <si>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</si>
  <si>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</si>
  <si>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</si>
  <si>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</si>
  <si>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</si>
  <si>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</si>
  <si>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</si>
  <si>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</si>
  <si>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</si>
  <si>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</si>
  <si>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</si>
  <si>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</si>
  <si>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</si>
  <si>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</si>
  <si>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</si>
  <si>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</si>
  <si>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</si>
  <si>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</si>
  <si>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</si>
  <si>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</si>
  <si>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</si>
  <si>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</si>
  <si>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</si>
  <si>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</si>
  <si>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</si>
  <si>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</si>
  <si>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</si>
  <si>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</si>
  <si>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</si>
  <si>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</si>
  <si>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</si>
  <si>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</si>
  <si>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</si>
  <si>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</si>
  <si>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</si>
  <si>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</si>
  <si>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</si>
  <si>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</si>
  <si>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</si>
  <si>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</si>
  <si>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</si>
  <si>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</si>
  <si>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</si>
  <si>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</si>
  <si>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</si>
  <si>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</si>
  <si>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</si>
  <si>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</si>
  <si>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</si>
  <si>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</si>
  <si>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</si>
  <si>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</si>
  <si>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</si>
  <si>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</si>
  <si>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</si>
  <si>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</si>
  <si>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</si>
  <si>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</si>
  <si>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</si>
  <si>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</si>
  <si>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</si>
  <si>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</si>
  <si>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</si>
  <si>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</si>
  <si>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</si>
  <si>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</si>
  <si>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</si>
  <si>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</si>
  <si>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</si>
  <si>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</si>
  <si>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</si>
  <si>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</si>
  <si>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</si>
  <si>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</si>
  <si>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</si>
  <si>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</si>
  <si>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</si>
  <si>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</si>
  <si>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</si>
  <si>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</si>
  <si>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</si>
  <si>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</si>
  <si>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</si>
  <si>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</si>
  <si>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</si>
  <si>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</si>
  <si>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</si>
  <si>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</si>
  <si>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</si>
  <si>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</si>
  <si>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</si>
  <si>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</si>
  <si>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</si>
  <si>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</si>
  <si>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</si>
  <si>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</si>
  <si>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</si>
  <si>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</si>
  <si>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</si>
  <si>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</si>
  <si>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</si>
  <si>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</si>
  <si>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</si>
  <si>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</si>
  <si>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</si>
  <si>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</si>
  <si>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</si>
  <si>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</si>
  <si>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</si>
  <si>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</si>
  <si>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</si>
  <si>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</si>
  <si>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</si>
  <si>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</si>
  <si>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</si>
  <si>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</si>
  <si>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</si>
  <si>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</si>
  <si>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</si>
  <si>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</si>
  <si>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</si>
  <si>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</si>
  <si>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</si>
  <si>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</si>
  <si>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</si>
  <si>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</si>
  <si>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</si>
  <si>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</si>
  <si>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</si>
  <si>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</si>
  <si>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</si>
  <si>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</si>
  <si>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</si>
  <si>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</si>
  <si>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</si>
  <si>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</si>
  <si>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</si>
  <si>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</si>
  <si>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</si>
  <si>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</si>
  <si>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</si>
  <si>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</si>
  <si>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</si>
  <si>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</si>
  <si>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</si>
  <si>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</si>
  <si>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</si>
  <si>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</si>
  <si>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</si>
  <si>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</si>
  <si>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</si>
  <si>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</si>
  <si>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</si>
  <si>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</si>
  <si>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</si>
  <si>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</si>
  <si>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</si>
  <si>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</si>
  <si>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</si>
  <si>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</si>
  <si>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</si>
  <si>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</si>
  <si>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</si>
  <si>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</si>
  <si>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</si>
  <si>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</si>
  <si>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</si>
  <si>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</si>
  <si>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</si>
  <si>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</si>
  <si>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</si>
  <si>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</si>
  <si>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</si>
  <si>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</si>
  <si>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</si>
  <si>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</si>
  <si>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</si>
  <si>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</si>
  <si>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</si>
  <si>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</si>
  <si>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</si>
  <si>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</si>
  <si>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</si>
  <si>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</si>
  <si>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</si>
  <si>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</si>
  <si>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</si>
  <si>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</si>
  <si>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</si>
  <si>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</si>
  <si>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</si>
  <si>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</si>
  <si>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</si>
  <si>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</si>
  <si>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</si>
  <si>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</si>
  <si>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</si>
  <si>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</si>
  <si>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</si>
  <si>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</si>
  <si>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</si>
  <si>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</si>
  <si>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</si>
  <si>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</si>
  <si>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</si>
  <si>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</si>
  <si>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</si>
  <si>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</si>
  <si>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</si>
  <si>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</si>
  <si>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</si>
  <si>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</si>
  <si>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</si>
  <si>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</si>
  <si>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</si>
  <si>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</si>
  <si>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OD Round 40</t>
  </si>
  <si>
    <t>Zombie</t>
  </si>
  <si>
    <t>Crypt Lord</t>
  </si>
  <si>
    <t>Abomination</t>
  </si>
  <si>
    <t>Death and Decay</t>
  </si>
  <si>
    <t>Active DnD</t>
  </si>
  <si>
    <t>DnD_Zombies</t>
  </si>
  <si>
    <t>Vampire</t>
  </si>
  <si>
    <t>Dire Bat</t>
  </si>
  <si>
    <t>Ghoul</t>
  </si>
  <si>
    <t>Kindred</t>
  </si>
  <si>
    <t>Bloodreaver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</si>
</sst>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9">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none">
          <fgColor indexed="64"/>
          <bgColor auto="1"/>
        </patternFill>
      </fill>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calculatedColumnFormula>OFFSET(TblPop[[#This Row],[Peasants]],-1,0)+OFFSET(TblPop[[#This Row],[Net Peasant]],-1,0)+TblMili[[#This Row],[Release Draft]]</calculatedColumnFormula>
    </tableColumn>
    <tableColumn id="4" xr3:uid="{F5DC2705-5767-4AD0-A2E0-E36086D164C0}" name="Military" dataDxfId="862" totalsRowDxfId="861">
      <calculatedColumnFormula>TblMili[[#This Row],[Military]]</calculatedColumnFormula>
    </tableColumn>
    <tableColumn id="5" xr3:uid="{57E397CE-6C2C-48AE-9B2E-52E14099EAFC}" name="Draftees" dataDxfId="860" totalsRowDxfId="859">
      <calculatedColumnFormula>TblMili[[#This Row],[Draftees]]</calculatedColumnFormula>
    </tableColumn>
    <tableColumn id="6" xr3:uid="{7339086D-8AEE-45A5-B78D-EA6FDBA34E10}" name="Total" dataDxfId="858" totalsRowDxfId="857">
      <calculatedColumnFormula>TblPop[[#This Row],[Peasants]]+TblPop[[#This Row],[Military]]</calculatedColumnFormula>
    </tableColumn>
    <tableColumn id="7" xr3:uid="{75D92B6D-F4CA-42F7-80B3-4BF8A336E69C}" name="Military%" dataDxfId="856" totalsRowDxfId="855" dataCellStyle="Percent">
      <calculatedColumnFormula>TblPop[[#This Row],[Military]]/TblPop[[#This Row],[Total]]</calculatedColumnFormula>
    </tableColumn>
    <tableColumn id="8" xr3:uid="{257C6438-3205-4A45-9F91-ACD066CD59E8}" name="Employed" dataDxfId="854" totalsRowDxfId="853" dataCellStyle="Percent">
      <calculatedColumnFormula>MIN(TblPop[[#This Row],[Peasants]],TblPop[[#This Row],[Jobs]])</calculatedColumnFormula>
    </tableColumn>
    <tableColumn id="9" xr3:uid="{B05B6937-2C12-476B-B555-2A8ED6FF34EF}" name="Employment" dataDxfId="852" totalsRowDxfId="851" dataCellStyle="Percent">
      <calculatedColumnFormula>MIN(OFFSET(TblPop[[#This Row],[Jobs]],1,0)/TblPop[[#This Row],[Peasants]],1)</calculatedColumnFormula>
    </tableColumn>
    <tableColumn id="10" xr3:uid="{AD7F9BB7-A630-4BBB-AFEA-37B907196778}" name="Jobs" dataDxfId="850" totalsRowDxfId="84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8" totalsRowDxfId="847" dataCellStyle="Percent"/>
    <tableColumn id="12" xr3:uid="{2EEFBFF9-40A4-412F-8FEC-C2F4799A06E6}" name=" Draftees" dataDxfId="846" totalsRowDxfId="845">
      <calculatedColumnFormula>TblPop[[#This Row],[Draftees]]</calculatedColumnFormula>
    </tableColumn>
    <tableColumn id="13" xr3:uid="{43729A62-E847-4DBB-BC42-62B1FB3DA7A5}" name="Unit 1" dataDxfId="844" totalsRowDxfId="843">
      <calculatedColumnFormula>TblMili[[#This Row],[Unit 1]]</calculatedColumnFormula>
    </tableColumn>
    <tableColumn id="14" xr3:uid="{C7A024F4-2376-4871-897D-90BEBEBC78B7}" name="Unit 2" dataDxfId="842" totalsRowDxfId="841">
      <calculatedColumnFormula>TblMili[[#This Row],[Unit 2]]</calculatedColumnFormula>
    </tableColumn>
    <tableColumn id="15" xr3:uid="{93EC8730-4D26-4E19-ADAA-3ED5C943F257}" name="Unit 3" dataDxfId="840" totalsRowDxfId="839">
      <calculatedColumnFormula>TblMili[[#This Row],[Unit 3]]</calculatedColumnFormula>
    </tableColumn>
    <tableColumn id="16" xr3:uid="{1A382ACC-9ED2-4A5E-BEE3-781B1DBCF186}" name="Unit 4" dataDxfId="838" totalsRowDxfId="837">
      <calculatedColumnFormula>TblMili[[#This Row],[Unit 4]]</calculatedColumnFormula>
    </tableColumn>
    <tableColumn id="17" xr3:uid="{491D1C19-D1B1-48C7-8FC6-BE77B7CD2635}" name="Spies" dataDxfId="836" totalsRowDxfId="835">
      <calculatedColumnFormula>TblMili[[#This Row],[Spies]]</calculatedColumnFormula>
    </tableColumn>
    <tableColumn id="18" xr3:uid="{1AF95FC5-21CD-41AC-A69F-CF5E9AF4AB85}" name="Wizards" dataDxfId="834" totalsRowDxfId="833">
      <calculatedColumnFormula>TblMili[[#This Row],[Wizards]]</calculatedColumnFormula>
    </tableColumn>
    <tableColumn id="19" xr3:uid="{C157D21E-FD58-4F24-A070-1819A7E2DA97}" name="Archmage" dataDxfId="832" totalsRowDxfId="831">
      <calculatedColumnFormula>TblMili[[#This Row],[Archmages]]</calculatedColumnFormula>
    </tableColumn>
    <tableColumn id="20" xr3:uid="{6BBFB632-E92F-4F29-AE3D-534C8288C615}" name=".." dataDxfId="830" totalsRowDxfId="829"/>
    <tableColumn id="21" xr3:uid="{59CAD00B-A8EE-455B-A015-E17ADF56A7B2}" name="Net max" dataDxfId="2" totalsRowDxfId="828">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7" totalsRowDxfId="826">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5" totalsRowDxfId="824">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3" totalsRowDxfId="822">
      <calculatedColumnFormula>ROUND(TblPop[[#This Row],[Raw Birth]]*(1+TblPop[[#This Row],[Growth]]),0)</calculatedColumnFormula>
    </tableColumn>
    <tableColumn id="25" xr3:uid="{26E60E7F-6DA3-49EF-99E8-26A0DAD2D630}" name="Raw Birth" dataDxfId="821" totalsRowDxfId="820">
      <calculatedColumnFormula>(TblPop[[#This Row],[Peasants]]-TblPop[[#This Row],[Draft Growth]])*raw_pop_growth</calculatedColumnFormula>
    </tableColumn>
    <tableColumn id="26" xr3:uid="{6E1274BE-772F-4747-A295-D51601B4FE11}" name="Draft Growth" dataDxfId="819" totalsRowDxfId="818">
      <calculatedColumnFormula>IF(TblPop[[#This Row],[Military%]]&lt;TblMili[[#This Row],[Draftrate]],ROUND(TblPop[[#This Row],[Peasants]]*Constants!$B$55,0), 0) * IF(AND(TblMagic[[#This Row],[Active DnD]]&lt;=12,TblMagic[[#This Row],[Active DnD]]&gt;6),2,1)</calculatedColumnFormula>
    </tableColumn>
    <tableColumn id="27" xr3:uid="{858CE2A0-AC9E-46FE-9A70-AED1578889CB}" name="...." dataDxfId="817" totalsRowDxfId="816"/>
    <tableColumn id="28" xr3:uid="{B271B9C7-94D1-498F-9FBB-69DF5F1BCE3F}" name="Growth" dataDxfId="815" totalsRowDxfId="814"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3" totalsRowDxfId="812"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3" dataDxfId="801" headerRowBorderDxfId="802" tableBorderDxfId="80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9"/>
    <tableColumn id="2" xr3:uid="{A509F8BB-FCD1-4951-8F3F-2AE2B32FB91D}" name="Time" dataDxfId="798">
      <calculatedColumnFormula>TblImps[[#This Row],[Time]]</calculatedColumnFormula>
    </tableColumn>
    <tableColumn id="3" xr3:uid="{BD173BCD-6C73-484D-BDFC-2CBFE8B32234}" name="Plat Bonus" dataDxfId="797"/>
    <tableColumn id="4" xr3:uid="{9A9B3DEC-EBEC-4801-BF4F-F90BBBCDF331}" name="." dataDxfId="796"/>
    <tableColumn id="5" xr3:uid="{6F9B5905-FA1D-4099-B9CC-6BE237355D58}" name="Land" dataDxfId="795">
      <calculatedColumnFormula>TblConstr[[#This Row],[Land]]</calculatedColumnFormula>
    </tableColumn>
    <tableColumn id="6" xr3:uid="{5ADA8DA4-36DC-4D4F-AE4E-76BDD26AF270}" name="Peasants" dataDxfId="794">
      <calculatedColumnFormula>TblPop[[#This Row],[Peasants]]</calculatedColumnFormula>
    </tableColumn>
    <tableColumn id="7" xr3:uid="{EE7F0FC7-4D30-4144-88EE-9A05AD7BF609}" name="Networth" dataDxfId="793">
      <calculatedColumnFormula>TblMili[[#This Row],[Networth (2)]]</calculatedColumnFormula>
    </tableColumn>
    <tableColumn id="8" xr3:uid="{F7B8E7A7-7AD4-4D83-8297-946670C39E55}" name="Platinum" dataDxfId="79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9">
      <calculatedColumnFormula>OFFSET(TblProd[[#This Row],[Mana]],-1,0)+OFFSET(TblProd[[#This Row],[Mana/hr]],-1,0)- TblProd[[#This Row],[Expenses Mana]]</calculatedColumnFormula>
    </tableColumn>
    <tableColumn id="12" xr3:uid="{C80C4246-7273-429F-BE79-86B1B4181061}" name="Ore" dataDxfId="788">
      <calculatedColumnFormula>OFFSET(TblProd[[#This Row],[Ore]],-1,0)+OFFSET(TblProd[[#This Row],[Ore/hr]],-1,0) -TblProd[[#This Row],[Expenses Ore]]</calculatedColumnFormula>
    </tableColumn>
    <tableColumn id="13" xr3:uid="{4174B9D9-5881-42F2-A514-2A7372C2B486}" name="Gems" dataDxfId="787">
      <calculatedColumnFormula>OFFSET(TblProd[[#This Row],[Gems]],-1,0)+OFFSET(TblProd[[#This Row],[Gems/hr]],-1,0) - TblProd[[#This Row],[Expenses Gems]]</calculatedColumnFormula>
    </tableColumn>
    <tableColumn id="14" xr3:uid="{C9DF5508-173B-4E9B-BD32-3313FC0AECA9}" name="Boats" dataDxfId="786">
      <calculatedColumnFormula>OFFSET(TblProd[[#This Row],[Boats]],-1,0)+OFFSET(TblProd[[#This Row],[Boats/hr]],-1,0)</calculatedColumnFormula>
    </tableColumn>
    <tableColumn id="15" xr3:uid="{C2EE37F5-4C79-4BD9-BE97-5B3BBB490CD3}" name="Prestige" dataDxfId="785">
      <calculatedColumnFormula>OFFSET(TblProd[[#This Row],[Prestige]],-1,0)</calculatedColumnFormula>
    </tableColumn>
    <tableColumn id="16" xr3:uid="{5EEA2772-71AB-4FF8-BF5F-D1D5B4044943}" name="Techpoints" dataDxfId="78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3">
      <calculatedColumnFormula>MAX(3900,_xlfn.CEILING.MATH(3600+TblProd[[#This Row],[Land]]*0.65+OFFSET(TblTech[[#This Row],[Sum of tech]],-1,0)*150))</calculatedColumnFormula>
    </tableColumn>
    <tableColumn id="18" xr3:uid="{BC60D6AE-146D-440E-93B9-050DE2CAED7A}" name=".." dataDxfId="782"/>
    <tableColumn id="19" xr3:uid="{F7A6187F-1DDE-45C0-B221-8BA0937C4E35}" name="Plat/hr" dataDxfId="781">
      <calculatedColumnFormula>ROUNDDOWN(TblProd[[#This Row],[Raw Plat/hr]]*(1+TblProd[[#This Row],[Bonus Plat/hr]]),0)</calculatedColumnFormula>
    </tableColumn>
    <tableColumn id="20" xr3:uid="{EBA5F35A-607A-475E-9357-98AF551D44A6}" name="Food/hr" dataDxfId="780">
      <calculatedColumnFormula>ROUND(TblProd[[#This Row],[Raw Food/hr]]*(1+TblProd[[#This Row],[Bonus Food/hr]])-TblProd[[#This Row],[Food decay]]-TblProd[[#This Row],[Food eaten]],0)</calculatedColumnFormula>
    </tableColumn>
    <tableColumn id="21" xr3:uid="{D75AA2A6-F107-4144-8A7D-4BE575236288}" name="Lumber/hr" dataDxfId="779">
      <calculatedColumnFormula>ROUND(TblProd[[#This Row],[Raw Lumber/hr]]*(1+TblProd[[#This Row],[Bonus Lumber/hr]])-TblProd[[#This Row],[Lumber rot]],0)</calculatedColumnFormula>
    </tableColumn>
    <tableColumn id="22" xr3:uid="{4AA82FE8-7AD6-4F9E-B8A1-627CE2E70CE0}" name="Mana/hr" dataDxfId="778">
      <calculatedColumnFormula>ROUND(TblProd[[#This Row],[Raw Mana/hr]]*(1+TblProd[[#This Row],[Bonus Mana/hr]])-TblProd[[#This Row],[Mana drain]],0)</calculatedColumnFormula>
    </tableColumn>
    <tableColumn id="23" xr3:uid="{86A49F4B-CDA3-4B61-B4D9-8830178E715E}" name="Ore/hr" dataDxfId="777">
      <calculatedColumnFormula>ROUNDDOWN(TblProd[[#This Row],[Raw Ore/hr]]*(1+TblProd[[#This Row],[Bonux Ore/hr]]),0)</calculatedColumnFormula>
    </tableColumn>
    <tableColumn id="24" xr3:uid="{F7C3BCF1-3F12-4405-8E19-ED1B9D20D049}" name="Gems/hr" dataDxfId="776">
      <calculatedColumnFormula>ROUNDDOWN(TblProd[[#This Row],[Raw Gems/hr]]*(1+TblProd[[#This Row],[Bonus Gems/hr]]),0)</calculatedColumnFormula>
    </tableColumn>
    <tableColumn id="25" xr3:uid="{E754A630-9007-4F8A-A8B7-C56609E09275}" name="Boats/hr" dataDxfId="775">
      <calculatedColumnFormula>OFFSET(TblConstr[[#This Row],[Tot Doc]],1,0)*dock_boats_hr * (1 + tech_4_1*TblTech[[#This Row],[4-1]])</calculatedColumnFormula>
    </tableColumn>
    <tableColumn id="26" xr3:uid="{8666710D-F3A4-4016-AA32-8D95B9BFFE3D}" name="…" dataDxfId="774"/>
    <tableColumn id="27" xr3:uid="{BE5DAA3C-8D26-4E0F-87D4-E9FE3E149040}" name="Raw Plat/hr" dataDxfId="773">
      <calculatedColumnFormula>TblPop[[#This Row],[Peasants]]*tax*TblPop[[#This Row],[Employment]] + (Construction!AZ5+Construction!BX5)*(alch_plat+(Magic!AM4&gt;0)*alchemist_flame_bonus)</calculatedColumnFormula>
    </tableColumn>
    <tableColumn id="28" xr3:uid="{72437831-3C94-4E01-9B66-637CE9F1FC37}" name="Raw Food/hr" dataDxfId="772">
      <calculatedColumnFormula>TblConstr[[#This Row],[Tot Farm]]*farm_food + TblConstr[[#This Row],[Tot Doc]]*dock_food</calculatedColumnFormula>
    </tableColumn>
    <tableColumn id="29" xr3:uid="{6327048A-17B4-47F0-A6D6-4DF606F8872E}" name="Raw Lumber/hr" dataDxfId="771">
      <calculatedColumnFormula>TblConstr[[#This Row],[Tot Ly]]*ly_lumber + TblConstr[[#This Row],[Tot Hav]]*fh_lumber</calculatedColumnFormula>
    </tableColumn>
    <tableColumn id="30" xr3:uid="{9564EF02-956D-4988-B195-94F7CC0C966B}" name="Raw Mana/hr" dataDxfId="770">
      <calculatedColumnFormula>OFFSET(TblConstr[[#This Row],[Tot Tow]],1,0)*(tower_mana + tech_4_5*TblTech[[#This Row],[4-5]]) + OFFSET(TblConstr[[#This Row],[Tot WG]],1,0)*wg_mana_prod</calculatedColumnFormula>
    </tableColumn>
    <tableColumn id="31" xr3:uid="{1FCC3E78-11E8-4286-A9C0-F9F5FA32B54A}" name="Raw Ore/hr" dataDxfId="769">
      <calculatedColumnFormula>OFFSET(TblConstr[[#This Row],[Tot OM]],1,0)*om_ore+IF(race="Dwarf",ROUNDDOWN(TblMili[[#This Row],[Unit 2]]*0.4,0),)</calculatedColumnFormula>
    </tableColumn>
    <tableColumn id="32" xr3:uid="{8AFDB340-E76D-4906-8F67-515703AD5439}" name="Raw Gems/hr" dataDxfId="768">
      <calculatedColumnFormula>OFFSET(TblConstr[[#This Row],[Tot DM]],1,0)*dm_gems</calculatedColumnFormula>
    </tableColumn>
    <tableColumn id="33" xr3:uid="{E86B471A-FB4B-478C-B269-80AA28A99240}" name="...." dataDxfId="767"/>
    <tableColumn id="34" xr3:uid="{9F134F8D-9272-4F13-BEA1-036303BDF806}" name="Bonus Plat/hr" dataDxfId="766">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5">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4">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3">
      <calculatedColumnFormula>race_mana_bonus+ 0 + TblImps[[#This Row],[Spires]] + tech_1_2*TblTech[[#This Row],[1-2]] + tech_3_4*TblTech[[#This Row],[3-4]]</calculatedColumnFormula>
    </tableColumn>
    <tableColumn id="38" xr3:uid="{86499F2E-9498-4D5B-8626-C51CB440415E}" name="Bonux Ore/hr" dataDxfId="762">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1">
      <calculatedColumnFormula>race_gem_bonus+ tech_3_2*TblTech[[#This Row],[3-2]] + tech_4_3*TblTech[[#This Row],[4-3]] + tech_6_2*TblTech[[#This Row],[6-2]]</calculatedColumnFormula>
    </tableColumn>
    <tableColumn id="40" xr3:uid="{13CEE817-130E-4D49-8EA9-E724A91FD06F}" name="…." dataDxfId="760"/>
    <tableColumn id="41" xr3:uid="{6AD9C25C-A77A-4288-B914-DEAB151F3EBD}" name="Food decay" dataDxfId="1">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59">
      <calculatedColumnFormula>(1+race_food_consumption)*TblPop[[#This Row],[Total]]*food_per_person*(1+tech_1_10*TblTech[[#This Row],[1-10]]+tech_7_5*TblTech[[#This Row],[7-5]])</calculatedColumnFormula>
    </tableColumn>
    <tableColumn id="43" xr3:uid="{2D142E97-FF43-492A-B271-A145B85E0BF3}" name="Lumber rot" dataDxfId="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8">
      <calculatedColumnFormula>TblProd[[#This Row],[Mana]]*mana_drain * (1 + tech_2_1*TblTech[[#This Row],[2-1]] + tech_2_8*TblTech[[#This Row],[2-8]])</calculatedColumnFormula>
    </tableColumn>
    <tableColumn id="45" xr3:uid="{D3D223E8-8991-4557-84CB-F59345A9686F}" name="….." dataDxfId="757"/>
    <tableColumn id="46" xr3:uid="{0EFE67ED-4C56-4E46-B6BE-B5FAFB53783E}" name="Expenses Platinum" dataDxfId="75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5">
      <calculatedColumnFormula>TblConstr[[#This Row],[Total Lum Cost]]+TblImps[[#This Row],[L1]]-TblProd[[#This Row],[Bank Lumber]] + Military!$CM$25*TblMili[[#This Row],[Sec. rec. Cost]]</calculatedColumnFormula>
    </tableColumn>
    <tableColumn id="48" xr3:uid="{3C88EFC6-8DA5-40ED-A97A-2AAFD0B3B6AD}" name="Expenses Mana" dataDxfId="754">
      <calculatedColumnFormula>TblMagic[[#This Row],[Mana cost]] + Military!$CM$26*TblMili[[#This Row],[Sec. rec. Cost]]</calculatedColumnFormula>
    </tableColumn>
    <tableColumn id="49" xr3:uid="{1E4E3815-206F-4A61-AE33-CA14E995FDCB}" name="Expenses Ore" dataDxfId="753">
      <calculatedColumnFormula>Military!$CM$24*TblMili[[#This Row],[Sec. rec. Cost]]+TblImps[[#This Row],[O1]]-TblProd[[#This Row],[Bank Ore]]</calculatedColumnFormula>
    </tableColumn>
    <tableColumn id="50" xr3:uid="{8DF861B9-6D00-413F-82A6-CB9FB4344D68}" name="Expenses Gems" dataDxfId="752">
      <calculatedColumnFormula>TblImps[[#This Row],[G1]]-TblProd[[#This Row],[Bank Gems]]</calculatedColumnFormula>
    </tableColumn>
    <tableColumn id="51" xr3:uid="{B251D943-2DAF-44E5-BCC8-D6734C7115AC}" name="…..." dataDxfId="751"/>
    <tableColumn id="52" xr3:uid="{4B9E6D84-D900-4020-9F03-31B7E7CFFDDD}" name="Guard" dataDxfId="750">
      <calculatedColumnFormula>IF(TblProd[[#This Row],[Set Guard]]&lt;&gt;"",TblProd[[#This Row],[Set Guard]],OFFSET(TblProd[[#This Row],[Guard]],-1,0))</calculatedColumnFormula>
    </tableColumn>
    <tableColumn id="53" xr3:uid="{1F4E66ED-8544-4DEE-A238-E9BA6D663684}" name="Set Guard" dataDxfId="749"/>
    <tableColumn id="54" xr3:uid="{1D4B089E-CFD3-41C4-BDA0-74070303A629}" name="Hour (2)" dataDxfId="748">
      <calculatedColumnFormula>TblProd[[#This Row],[Hour]]</calculatedColumnFormula>
    </tableColumn>
    <tableColumn id="55" xr3:uid="{13D8CC8A-81E1-41BB-9F87-384EE02343C0}" name="Bank Plat" dataDxfId="747">
      <calculatedColumnFormula>-TblProd[[#This Row],[Bank Lumber]] / 2 + -TblProd[[#This Row],[Bank Gems]] * 2 + -TblProd[[#This Row],[Bank Ore]] / 2</calculatedColumnFormula>
    </tableColumn>
    <tableColumn id="56" xr3:uid="{41D3199A-B537-41B8-A35D-AB3FAE3A7763}" name="Bank Lumber" dataDxfId="746"/>
    <tableColumn id="57" xr3:uid="{F8C6B652-BED5-46E0-B507-4A728112F421}" name="Bank Ore" dataDxfId="745"/>
    <tableColumn id="58" xr3:uid="{0A836235-2002-4186-985F-CF495776E28E}" name="Bank Gems" dataDxfId="744"/>
    <tableColumn id="59" xr3:uid="{56B680F7-B10A-487B-B563-4297DE674256}" name="Time (2)" dataDxfId="743">
      <calculatedColumnFormula>TblProd[[#This Row],[Time]]</calculatedColumnFormula>
    </tableColumn>
    <tableColumn id="60" xr3:uid="{B3E3CCBD-6079-4735-A75E-072E37E0325B}" name="Ok?" dataDxfId="74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1">
      <calculatedColumnFormula>TblProd[[#This Row],[Platinum]]</calculatedColumnFormula>
    </tableColumn>
    <tableColumn id="62" xr3:uid="{BAE994A1-A5C4-42FD-B88E-93A7F2337723}" name="Stats Food" dataDxfId="740">
      <calculatedColumnFormula>TblProd[[#This Row],[Food]]</calculatedColumnFormula>
    </tableColumn>
    <tableColumn id="63" xr3:uid="{8FF996E7-6950-42AE-80FE-25BD3D3ADB81}" name="Stats Lumber" dataDxfId="739">
      <calculatedColumnFormula>TblProd[[#This Row],[Lumber]]</calculatedColumnFormula>
    </tableColumn>
    <tableColumn id="64" xr3:uid="{4E3282B4-65CE-45FC-B881-93C3F98E36E0}" name="Stats Mana" dataDxfId="738">
      <calculatedColumnFormula>TblProd[[#This Row],[Mana]]</calculatedColumnFormula>
    </tableColumn>
    <tableColumn id="65" xr3:uid="{C1490C22-CEF7-430F-B6CC-F7FDA2F90C17}" name="Stats Ore" dataDxfId="73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8" dataDxfId="716" totalsRowDxfId="714" headerRowBorderDxfId="717" tableBorderDxfId="715">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3" totalsRowDxfId="712">
      <calculatedColumnFormula>TblRezone[[#This Row],[Hour]]</calculatedColumnFormula>
    </tableColumn>
    <tableColumn id="1" xr3:uid="{16A4A80A-781E-4E74-BC12-3B194ED2F6BF}" name="Barren" dataDxfId="711" totalsRowDxfId="710">
      <calculatedColumnFormula>SUM(TblConstr[[#This Row],[Plain]:[Water]])</calculatedColumnFormula>
    </tableColumn>
    <tableColumn id="2" xr3:uid="{F83194BF-B786-4A33-B371-25BE7289AC68}" name="Buildings" dataDxfId="709" totalsRowDxfId="708">
      <calculatedColumnFormula>SUM(TblConstr[[#This Row],[Tot Hom]:[Tot Doc]])</calculatedColumnFormula>
    </tableColumn>
    <tableColumn id="3" xr3:uid="{343846C5-19E9-4357-B5DD-B105ACEC8C2C}" name="Incoming" dataDxfId="707" totalsRowDxfId="706"/>
    <tableColumn id="4" xr3:uid="{A20911DB-7155-4794-AD46-07AAD44BDAFE}" name="." dataDxfId="705" totalsRowDxfId="704"/>
    <tableColumn id="5" xr3:uid="{279706A5-BDE6-4F21-9D4E-93DD796722CB}" name="Land" dataDxfId="703" totalsRowDxfId="702">
      <calculatedColumnFormula>TblConstr[[#This Row],[Barren]]+TblConstr[[#This Row],[Buildings]]+TblConstr[[#This Row],[Incoming]]</calculatedColumnFormula>
    </tableColumn>
    <tableColumn id="6" xr3:uid="{8D16C913-6FBB-42B5-890E-7AA3F7D780F3}" name="Plain" dataDxfId="701" totalsRowDxfId="700">
      <calculatedColumnFormula>OFFSET(TblConstr[[#This Row],[Plain]],-1,0)+TblConstr[[#This Row],[Ch_Plain]]</calculatedColumnFormula>
    </tableColumn>
    <tableColumn id="7" xr3:uid="{ECABDC59-2CFA-4924-832F-64BD947684FE}" name="Forest" dataDxfId="699" totalsRowDxfId="698">
      <calculatedColumnFormula>OFFSET(TblConstr[[#This Row],[Forest]],-1,0)+TblConstr[[#This Row],[Ch_Forest]]</calculatedColumnFormula>
    </tableColumn>
    <tableColumn id="8" xr3:uid="{AD888BC9-7B2A-431B-912B-F76B183C4BC2}" name="Mountain" dataDxfId="697" totalsRowDxfId="696">
      <calculatedColumnFormula>OFFSET(TblConstr[[#This Row],[Mountain]],-1,0)+TblConstr[[#This Row],[Ch_Mountain]]</calculatedColumnFormula>
    </tableColumn>
    <tableColumn id="9" xr3:uid="{B9F107CC-9E87-47F0-9669-7B4E32869962}" name="Hill" dataDxfId="695" totalsRowDxfId="694">
      <calculatedColumnFormula>OFFSET(TblConstr[[#This Row],[Hill]],-1,0)+TblConstr[[#This Row],[Ch_Hill]]</calculatedColumnFormula>
    </tableColumn>
    <tableColumn id="10" xr3:uid="{8067675A-D7AC-461C-B5B4-B2FDA278D46E}" name="Swamp" dataDxfId="693" totalsRowDxfId="692">
      <calculatedColumnFormula>OFFSET(TblConstr[[#This Row],[Swamp]],-1,0)+TblConstr[[#This Row],[Ch_Swamp]]</calculatedColumnFormula>
    </tableColumn>
    <tableColumn id="11" xr3:uid="{F6E4B820-D719-41FF-A537-55FE6AFBAF0E}" name="Cavern" dataDxfId="691" totalsRowDxfId="690">
      <calculatedColumnFormula>OFFSET(TblConstr[[#This Row],[Cavern]],-1,0)+TblConstr[[#This Row],[Ch_Cavern]]</calculatedColumnFormula>
    </tableColumn>
    <tableColumn id="12" xr3:uid="{54552E9E-E771-4104-87F6-20952C6A2D90}" name="Water" dataDxfId="689" totalsRowDxfId="688">
      <calculatedColumnFormula>OFFSET(TblConstr[[#This Row],[Water]],-1,0)+TblConstr[[#This Row],[Ch_Water]]</calculatedColumnFormula>
    </tableColumn>
    <tableColumn id="112" xr3:uid="{68F0FBE6-EBED-4B66-81D6-A19DB934C48D}" name="Hour  " dataDxfId="687" totalsRowDxfId="686">
      <calculatedColumnFormula>TblRezone[[#This Row],[Hour]]</calculatedColumnFormula>
    </tableColumn>
    <tableColumn id="14" xr3:uid="{6A739C2B-FED1-46DE-A6EC-2761E132E225}" name="Hom" dataDxfId="685" totalsRowDxfId="684"/>
    <tableColumn id="15" xr3:uid="{E50EB7D2-A060-4B91-920B-B3335EF23400}" name="Alc" dataDxfId="683" totalsRowDxfId="682"/>
    <tableColumn id="16" xr3:uid="{E3F8F390-578A-46F4-8079-68503504AE5A}" name="Far" dataDxfId="681" totalsRowDxfId="680"/>
    <tableColumn id="17" xr3:uid="{CC502929-3E3E-483C-AA45-1E8DC6E6F788}" name="Smi" dataDxfId="679" totalsRowDxfId="678"/>
    <tableColumn id="18" xr3:uid="{2849017C-83D2-48CF-BAFC-E8180F6B87B3}" name="Mas" dataDxfId="677" totalsRowDxfId="676"/>
    <tableColumn id="19" xr3:uid="{902080F0-045E-460C-8A94-D28082F0684A}" name="Ly" dataDxfId="675" totalsRowDxfId="674"/>
    <tableColumn id="20" xr3:uid="{74F11359-7A83-40C9-8D72-4E7342A4C5F6}" name="Hav" dataDxfId="673" totalsRowDxfId="672"/>
    <tableColumn id="21" xr3:uid="{2F4CD982-1BA1-4887-BEEF-D1CEDDFDCD98}" name="OM" dataDxfId="671" totalsRowDxfId="670"/>
    <tableColumn id="22" xr3:uid="{8FB86139-1373-407A-B799-7C5D49EF3A26}" name="GN" dataDxfId="669" totalsRowDxfId="668"/>
    <tableColumn id="23" xr3:uid="{283576BE-DC2F-4C4A-B83A-40303ED03A64}" name="Fac" dataDxfId="667" totalsRowDxfId="666"/>
    <tableColumn id="24" xr3:uid="{5CFB0CBF-3773-41F6-9B86-E1678AA28900}" name="GT" dataDxfId="665" totalsRowDxfId="664"/>
    <tableColumn id="25" xr3:uid="{19E4F682-9015-4478-9312-A3022D1FEEE9}" name="Bar" dataDxfId="663" totalsRowDxfId="662"/>
    <tableColumn id="26" xr3:uid="{013252D4-D385-4331-9170-92B5C8BB4C64}" name="Shr" dataDxfId="661" totalsRowDxfId="660"/>
    <tableColumn id="27" xr3:uid="{D4B27941-E688-419F-8B6F-B73F6CF2AB5B}" name="Tow" dataDxfId="659" totalsRowDxfId="658"/>
    <tableColumn id="28" xr3:uid="{17047BB4-364B-45DB-830B-858C7BD30B39}" name="Tem" dataDxfId="657" totalsRowDxfId="656"/>
    <tableColumn id="29" xr3:uid="{8910E8E2-8D7F-45E2-8559-CB4F40D25EB8}" name="WG" dataDxfId="655" totalsRowDxfId="654"/>
    <tableColumn id="30" xr3:uid="{BDAAD77D-88DB-4E61-9C07-44CAE4913F4B}" name="DM" dataDxfId="653" totalsRowDxfId="652"/>
    <tableColumn id="31" xr3:uid="{BFDB5F50-9A23-4E21-AEF0-8F150174C5D9}" name="Sch" dataDxfId="651" totalsRowDxfId="650"/>
    <tableColumn id="32" xr3:uid="{F4596035-B7F8-4B94-9B36-37B190EBF2F5}" name="Doc" dataDxfId="649" totalsRowDxfId="648"/>
    <tableColumn id="33" xr3:uid="{B506678F-5C96-41A2-B16E-01903002457C}" name="time" dataDxfId="647" totalsRowDxfId="646">
      <calculatedColumnFormula>TblImps[[#This Row],[Time]]</calculatedColumnFormula>
    </tableColumn>
    <tableColumn id="34" xr3:uid="{BBF9E4A7-4AD1-4256-838E-84E222A5E5B5}" name="Facs -DB" dataDxfId="645" totalsRowDxfId="644" dataCellStyle="Percent">
      <calculatedColumnFormula>MIN(25%,(TblConstr[[#This Row],[Tot Fac]]+TblConstr[[#This Row],[Dest Fac]])/(TblConstr[[#This Row],[Land]]-TblExplore[[#This Row],[Land Bonus]]*20))</calculatedColumnFormula>
    </tableColumn>
    <tableColumn id="35" xr3:uid="{CE9651FB-E7AA-4AC3-9369-D03ACA26B669}" name="Facs DB" dataDxfId="643" totalsRowDxfId="642" dataCellStyle="Percent">
      <calculatedColumnFormula>MIN(25%,(TblConstr[[#This Row],[Tot Fac]]+TblConstr[[#This Row],[Dest Fac]])/TblConstr[[#This Row],[Land]])</calculatedColumnFormula>
    </tableColumn>
    <tableColumn id="36" xr3:uid="{09991F89-DEAA-4698-A25A-D13F6565EDD4}" name="Platinum" dataDxfId="641" totalsRowDxfId="640">
      <calculatedColumnFormula>TblProd[[#This Row],[Platinum]]</calculatedColumnFormula>
    </tableColumn>
    <tableColumn id="37" xr3:uid="{98B47891-EB31-4D7F-8AC4-80255A877681}" name="Lumber" dataDxfId="639" totalsRowDxfId="638">
      <calculatedColumnFormula>TblProd[[#This Row],[Lumber]]</calculatedColumnFormula>
    </tableColumn>
    <tableColumn id="38" xr3:uid="{4BCC987F-ABDB-4939-B66E-9E39DDB56076}" name="CPA Platinum -DB" dataDxfId="637" totalsRowDxfId="636">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5" totalsRowDxfId="634">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1" totalsRowDxfId="630">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9" totalsRowDxfId="628">
      <calculatedColumnFormula>TblConstr[[#This Row],[build -db]]*TblConstr[[#This Row],[CPA Platinum -DB]] + TblConstr[[#This Row],[build db]]*TblConstr[[#This Row],[CPA Platinum DB]]</calculatedColumnFormula>
    </tableColumn>
    <tableColumn id="43" xr3:uid="{F2E3CBCF-A243-4043-87E8-17546293A159}" name="Total Lum Cost" dataDxfId="627" totalsRowDxfId="626">
      <calculatedColumnFormula>TblConstr[[#This Row],[build -db]]*TblConstr[[#This Row],[CPA Lumber -DB]]+TblConstr[[#This Row],[build db]]*TblConstr[[#This Row],[CPA Lumber DB]]</calculatedColumnFormula>
    </tableColumn>
    <tableColumn id="44" xr3:uid="{119F0A26-AFE5-4C99-86DF-E2019D697B1F}" name="build -db" dataDxfId="625" totalsRowDxfId="624">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3" totalsRowDxfId="622">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1" totalsRowDxfId="620"/>
    <tableColumn id="47" xr3:uid="{2AB27BA8-C2B6-44FC-89D1-B8C469C03A31}" name="RCPA Platinum " dataDxfId="619" totalsRowDxfId="618">
      <calculatedColumnFormula>ROUND((TblConstr[[#This Row],[Land]]-250 - IF(TblExplore[[#This Row],[Land Bonus]]&lt;&gt;0,20,0))*1.25 + 850 + 0,0)</calculatedColumnFormula>
    </tableColumn>
    <tableColumn id="48" xr3:uid="{745E4D31-3689-4F62-A15B-2D5399E746CA}" name="RCPA Lumber" dataDxfId="617">
      <calculatedColumnFormula>ROUND((TblConstr[[#This Row],[Land]]-250 - IF(TblExplore[[#This Row],[Land Bonus]]&lt;&gt;0,20,0))*0.285 + 87.5 + 0/4.25,0)</calculatedColumnFormula>
    </tableColumn>
    <tableColumn id="49" xr3:uid="{619C112A-EE5A-4710-AF52-5843FF4DB054}" name="…" dataDxfId="616" totalsRowDxfId="615"/>
    <tableColumn id="50" xr3:uid="{F2846ED2-FD2C-4B82-8D89-DEC4D6C89C45}" name="Tot Hom" dataDxfId="614" totalsRowDxfId="613">
      <calculatedColumnFormula array="1">IF(TblConstr[[#This Row],[Hour]:[Hour]]&gt;12,OFFSET(TblConstr[[#This Row],[Hom]],-12,0),0)+OFFSET(TblConstr[[#This Row],[Tot Hom]],-1,0)-TblConstr[[#This Row],[Dest Hom]]</calculatedColumnFormula>
    </tableColumn>
    <tableColumn id="51" xr3:uid="{3A820279-E5AD-460C-8EA2-56927C664532}" name="Tot Alc" dataDxfId="612" totalsRowDxfId="611">
      <calculatedColumnFormula array="1">IF(TblConstr[[#This Row],[Hour]:[Hour]]&gt;12,OFFSET(TblConstr[[#This Row],[Alc]],-12,0),0)+OFFSET(TblConstr[[#This Row],[Tot Alc]],-1,0)-TblConstr[[#This Row],[Dest Alc]]</calculatedColumnFormula>
    </tableColumn>
    <tableColumn id="52" xr3:uid="{2F201F1F-E604-470C-A21C-EF43882A5460}" name="Tot Farm" dataDxfId="610" totalsRowDxfId="609">
      <calculatedColumnFormula array="1">IF(TblConstr[[#This Row],[Hour]:[Hour]]&gt;12,OFFSET(TblConstr[[#This Row],[Far]],-12,0),0)+OFFSET(TblConstr[[#This Row],[Tot Farm]],-1,0)-TblConstr[[#This Row],[Dest Farm]]</calculatedColumnFormula>
    </tableColumn>
    <tableColumn id="53" xr3:uid="{CF25F1ED-4CEE-4702-9FD7-472555CAE1E7}" name="Tot Smi" dataDxfId="608" totalsRowDxfId="607">
      <calculatedColumnFormula array="1">IF(TblConstr[[#This Row],[Hour]:[Hour]]&gt;12,OFFSET(TblConstr[[#This Row],[Smi]],-12,0),0)+OFFSET(TblConstr[[#This Row],[Tot Smi]],-1,0)-TblConstr[[#This Row],[Dest Smi]]</calculatedColumnFormula>
    </tableColumn>
    <tableColumn id="54" xr3:uid="{AA2380E5-3483-49DB-91B7-F7447D6C17A7}" name="Tot Mas" dataDxfId="606" totalsRowDxfId="605">
      <calculatedColumnFormula array="1">IF(TblConstr[[#This Row],[Hour]:[Hour]]&gt;12,OFFSET(TblConstr[[#This Row],[Mas]],-12,0),0)+OFFSET(TblConstr[[#This Row],[Tot Mas]],-1,0)-TblConstr[[#This Row],[Dest Mas]]</calculatedColumnFormula>
    </tableColumn>
    <tableColumn id="55" xr3:uid="{9983477D-EC22-4053-88C9-D53436C89351}" name="Tot Ly" dataDxfId="604" totalsRowDxfId="603">
      <calculatedColumnFormula array="1">IF(TblConstr[[#This Row],[Hour]:[Hour]]&gt;12,OFFSET(TblConstr[[#This Row],[Ly]],-12,0),0)+OFFSET(TblConstr[[#This Row],[Tot Ly]],-1,0)-TblConstr[[#This Row],[Dest Ly]]</calculatedColumnFormula>
    </tableColumn>
    <tableColumn id="56" xr3:uid="{0A8A610F-D674-4772-9EB7-EC610164DF60}" name="Tot Hav" dataDxfId="602" totalsRowDxfId="601">
      <calculatedColumnFormula array="1">IF(TblConstr[[#This Row],[Hour]:[Hour]]&gt;12,OFFSET(TblConstr[[#This Row],[Hav]],-12,0),0)+OFFSET(TblConstr[[#This Row],[Tot Hav]],-1,0)-TblConstr[[#This Row],[Dest Hav]]</calculatedColumnFormula>
    </tableColumn>
    <tableColumn id="57" xr3:uid="{40570349-3AA5-42B4-9820-CC736C2D1B3D}" name="Tot OM" dataDxfId="600" totalsRowDxfId="599">
      <calculatedColumnFormula array="1">IF(TblConstr[[#This Row],[Hour]:[Hour]]&gt;12,OFFSET(TblConstr[[#This Row],[OM]],-12,0),0)+OFFSET(TblConstr[[#This Row],[Tot OM]],-1,0)-TblConstr[[#This Row],[Dest OM]]</calculatedColumnFormula>
    </tableColumn>
    <tableColumn id="58" xr3:uid="{D7C1895E-C93F-4CEE-BB20-88F13C3DA864}" name="Tot GN" dataDxfId="598" totalsRowDxfId="597">
      <calculatedColumnFormula array="1">IF(TblConstr[[#This Row],[Hour]:[Hour]]&gt;12,OFFSET(TblConstr[[#This Row],[GN]],-12,0),0)+OFFSET(TblConstr[[#This Row],[Tot GN]],-1,0)-TblConstr[[#This Row],[Dest GN]]</calculatedColumnFormula>
    </tableColumn>
    <tableColumn id="59" xr3:uid="{6C106580-CB33-4C2F-8B4D-856AC68AA85B}" name="Tot Fac" dataDxfId="596" totalsRowDxfId="595">
      <calculatedColumnFormula array="1">IF(TblConstr[[#This Row],[Hour]:[Hour]]&gt;12,OFFSET(TblConstr[[#This Row],[Fac]],-12,0),0)+OFFSET(TblConstr[[#This Row],[Tot Fac]],-1,0)-TblConstr[[#This Row],[Dest Fac]]</calculatedColumnFormula>
    </tableColumn>
    <tableColumn id="60" xr3:uid="{D3A39C76-EE6D-4C40-B64E-12EE496ACF75}" name="Tot GT" dataDxfId="594" totalsRowDxfId="593">
      <calculatedColumnFormula array="1">IF(TblConstr[[#This Row],[Hour]:[Hour]]&gt;12,OFFSET(TblConstr[[#This Row],[GT]],-12,0),0)+OFFSET(TblConstr[[#This Row],[Tot GT]],-1,0)-TblConstr[[#This Row],[Dest GT]]</calculatedColumnFormula>
    </tableColumn>
    <tableColumn id="61" xr3:uid="{3C88629E-DBB8-4626-8826-42DE21B8CCF3}" name="Tot Bar" dataDxfId="592" totalsRowDxfId="591">
      <calculatedColumnFormula array="1">IF(TblConstr[[#This Row],[Hour]:[Hour]]&gt;12,OFFSET(TblConstr[[#This Row],[Bar]],-12,0),0)+OFFSET(TblConstr[[#This Row],[Tot Bar]],-1,0)-TblConstr[[#This Row],[Dest Bar]]</calculatedColumnFormula>
    </tableColumn>
    <tableColumn id="62" xr3:uid="{9B339DEA-0599-4758-9D02-2BCE3EA7ACC3}" name="Tot Shr" dataDxfId="590" totalsRowDxfId="589">
      <calculatedColumnFormula array="1">IF(TblConstr[[#This Row],[Hour]:[Hour]]&gt;12,OFFSET(TblConstr[[#This Row],[Shr]],-12,0),0)+OFFSET(TblConstr[[#This Row],[Tot Shr]],-1,0)-TblConstr[[#This Row],[Dest Shr]]</calculatedColumnFormula>
    </tableColumn>
    <tableColumn id="63" xr3:uid="{BC8AAD30-881D-4FF0-9567-7FF1D9791913}" name="Tot Tow" dataDxfId="588" totalsRowDxfId="587">
      <calculatedColumnFormula array="1">IF(TblConstr[[#This Row],[Hour]:[Hour]]&gt;12,OFFSET(TblConstr[[#This Row],[Tow]],-12,0),0)+OFFSET(TblConstr[[#This Row],[Tot Tow]],-1,0)-TblConstr[[#This Row],[Dest Tow]]</calculatedColumnFormula>
    </tableColumn>
    <tableColumn id="64" xr3:uid="{59A3F80D-5052-4FDF-AF65-62DB182FD6A6}" name="Tot Tem" dataDxfId="586" totalsRowDxfId="585">
      <calculatedColumnFormula array="1">IF(TblConstr[[#This Row],[Hour]:[Hour]]&gt;12,OFFSET(TblConstr[[#This Row],[Tem]],-12,0),0)+OFFSET(TblConstr[[#This Row],[Tot Tem]],-1,0)-TblConstr[[#This Row],[Dest Tem]]</calculatedColumnFormula>
    </tableColumn>
    <tableColumn id="65" xr3:uid="{00A352BB-E75B-4E3F-AC3D-1D0DC0813148}" name="Tot WG" dataDxfId="584" totalsRowDxfId="583">
      <calculatedColumnFormula array="1">IF(TblConstr[[#This Row],[Hour]:[Hour]]&gt;12,OFFSET(TblConstr[[#This Row],[WG]],-12,0),0)+OFFSET(TblConstr[[#This Row],[Tot WG]],-1,0)-TblConstr[[#This Row],[Dest WG]]</calculatedColumnFormula>
    </tableColumn>
    <tableColumn id="66" xr3:uid="{AC79E3B7-8BF6-4AEF-AACC-9BCCADEEE9EC}" name="Tot DM" dataDxfId="582" totalsRowDxfId="581">
      <calculatedColumnFormula array="1">IF(TblConstr[[#This Row],[Hour]:[Hour]]&gt;12,OFFSET(TblConstr[[#This Row],[DM]],-12,0),0)+OFFSET(TblConstr[[#This Row],[Tot DM]],-1,0)-TblConstr[[#This Row],[Dest DM]]</calculatedColumnFormula>
    </tableColumn>
    <tableColumn id="67" xr3:uid="{0CFFF054-0F8D-4B14-9366-77ABD3382DE4}" name="Tot Sch" dataDxfId="580" totalsRowDxfId="579">
      <calculatedColumnFormula array="1">IF(TblConstr[[#This Row],[Hour]:[Hour]]&gt;12,OFFSET(TblConstr[[#This Row],[Sch]],-12,0),0)+OFFSET(TblConstr[[#This Row],[Tot Sch]],-1,0)-TblConstr[[#This Row],[Dest Sch]]</calculatedColumnFormula>
    </tableColumn>
    <tableColumn id="68" xr3:uid="{EEBD7864-CCF1-4E52-A4D7-93474D156483}" name="Tot Doc" dataDxfId="578" totalsRowDxfId="577">
      <calculatedColumnFormula array="1">IF(TblConstr[[#This Row],[Hour]:[Hour]]&gt;12,OFFSET(TblConstr[[#This Row],[Doc]],-12,0),0)+OFFSET(TblConstr[[#This Row],[Tot Doc]],-1,0)-TblConstr[[#This Row],[Dest Doc]]</calculatedColumnFormula>
    </tableColumn>
    <tableColumn id="69" xr3:uid="{9CB7D1EC-8231-4E29-AF89-78480EAACCBE}" name="…." dataDxfId="576" totalsRowDxfId="575"/>
    <tableColumn id="70" xr3:uid="{8AB60EC6-2503-4C64-93B5-EF0A15817646}" name="….." dataDxfId="574" totalsRowDxfId="573"/>
    <tableColumn id="71" xr3:uid="{E322C618-2AF7-4E39-8C00-05DB78D1E3E1}" name="Land (2)" dataDxfId="572" totalsRowDxfId="571">
      <calculatedColumnFormula>TblConstr[[#This Row],[Land]]</calculatedColumnFormula>
    </tableColumn>
    <tableColumn id="72" xr3:uid="{03634B5C-154E-4AC8-80E1-BA13BC9D96CD}" name="Time (2)" dataDxfId="570" totalsRowDxfId="569">
      <calculatedColumnFormula>TblImps[[#This Row],[Time]]</calculatedColumnFormula>
    </tableColumn>
    <tableColumn id="73" xr3:uid="{B2BF9056-6EBE-4C01-A8BD-B72B49E563E4}" name="…..." dataDxfId="568" totalsRowDxfId="567"/>
    <tableColumn id="74" xr3:uid="{E1DF0DF3-108E-4B1D-AD0D-B0438E0119B4}" name="Dest Hom" dataDxfId="566" totalsRowDxfId="565"/>
    <tableColumn id="75" xr3:uid="{E9A56C16-CD83-4CF4-801D-3F07F7F4410E}" name="Dest Alc" dataDxfId="564" totalsRowDxfId="563"/>
    <tableColumn id="76" xr3:uid="{83CFBDA2-FADE-4B08-B33E-9C2E9F9BF768}" name="Dest Farm" dataDxfId="562" totalsRowDxfId="561"/>
    <tableColumn id="77" xr3:uid="{19187257-0444-44F4-9D3D-6D0323F40019}" name="Dest Smi" dataDxfId="560" totalsRowDxfId="559"/>
    <tableColumn id="78" xr3:uid="{868AFE18-6FA1-48AB-ABF5-2F2AEFE5F988}" name="Dest Mas" dataDxfId="558" totalsRowDxfId="557"/>
    <tableColumn id="79" xr3:uid="{177B6B53-2F11-4209-8387-13A45749227F}" name="Dest Ly" dataDxfId="556" totalsRowDxfId="555"/>
    <tableColumn id="80" xr3:uid="{7546C506-76A9-4C40-A0E7-9A9D9E5AABE5}" name="Dest Hav" dataDxfId="554" totalsRowDxfId="553"/>
    <tableColumn id="81" xr3:uid="{ADDB86A6-E781-4DBE-8117-6F690916DDFA}" name="Dest OM" dataDxfId="552" totalsRowDxfId="551"/>
    <tableColumn id="82" xr3:uid="{B9BF98EC-18BF-465D-9531-8B38D89E91A0}" name="Dest GN" dataDxfId="550" totalsRowDxfId="549"/>
    <tableColumn id="83" xr3:uid="{E7A6D253-F3B2-42C8-99DD-B144C58FC0C5}" name="Dest Fac" dataDxfId="548" totalsRowDxfId="547"/>
    <tableColumn id="84" xr3:uid="{17104BBD-FC27-4D10-B29C-0273D3241FF4}" name="Dest GT" dataDxfId="546" totalsRowDxfId="545"/>
    <tableColumn id="85" xr3:uid="{99559D62-4D78-440A-98FE-DEBB129B435F}" name="Dest Bar" dataDxfId="544" totalsRowDxfId="543"/>
    <tableColumn id="86" xr3:uid="{9B2EEB8C-2FE8-47EE-A3E2-DC10DB45C7AB}" name="Dest Shr" dataDxfId="542" totalsRowDxfId="541"/>
    <tableColumn id="87" xr3:uid="{514D2AAA-E6E3-475E-9F65-8C732A78896D}" name="Dest Tow" dataDxfId="540" totalsRowDxfId="539"/>
    <tableColumn id="88" xr3:uid="{FAB7F148-62FD-4A01-9E52-E72AB5D98A80}" name="Dest Tem" dataDxfId="538" totalsRowDxfId="537"/>
    <tableColumn id="89" xr3:uid="{51F0AAF8-EA25-41BB-8274-29128D8E9309}" name="Dest WG" dataDxfId="536" totalsRowDxfId="535"/>
    <tableColumn id="90" xr3:uid="{B5DD0E4A-F9DA-46DF-AC1D-4C082F96D4FD}" name="Dest DM" dataDxfId="534" totalsRowDxfId="533"/>
    <tableColumn id="91" xr3:uid="{8374E536-FAFB-4695-B2E9-40E6A61A9D8E}" name="Dest Sch" dataDxfId="532" totalsRowDxfId="531"/>
    <tableColumn id="92" xr3:uid="{AB6E075B-E076-40E6-B2ED-7DBD5C2545B9}" name="Dest Doc" dataDxfId="530" totalsRowDxfId="529"/>
    <tableColumn id="93" xr3:uid="{A4B6EEF5-D4D4-4B9E-B020-F892CB1DC5F1}" name="…...." dataDxfId="528" totalsRowDxfId="527"/>
    <tableColumn id="94" xr3:uid="{A8785F66-A063-4182-BB5F-F2E489C44B8C}" name="Ch_Plain" dataDxfId="526" totalsRowDxfId="525">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4" totalsRowDxfId="523">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2" totalsRowDxfId="521">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0" totalsRowDxfId="519">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8" totalsRowDxfId="517">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6" totalsRowDxfId="515">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4" totalsRowDxfId="513">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2" totalsRowDxfId="511">
      <calculatedColumnFormula>IF(Explore!S4=1,20) - TblConstr[[#This Row],[Hom]] + TblConstr[[#This Row],[Dest Hom]]</calculatedColumnFormula>
    </tableColumn>
    <tableColumn id="102" xr3:uid="{A18B5339-7B5E-4FF1-B44C-54D91E2619B1}" name="…....." dataDxfId="510" totalsRowDxfId="509"/>
    <tableColumn id="103" xr3:uid="{4E3EEDB6-D8CB-4DA1-AC9F-29019C9A6FFC}" name="Total Plain" dataDxfId="508" totalsRowDxfId="507"/>
    <tableColumn id="104" xr3:uid="{669C7BA0-B3F2-47DA-B10D-81C2466FF6F3}" name="Total Forest" dataDxfId="506" totalsRowDxfId="505"/>
    <tableColumn id="105" xr3:uid="{B6EE778A-6E52-44FF-8691-B86F1650C2C2}" name="Total Mountain" dataDxfId="504" totalsRowDxfId="503"/>
    <tableColumn id="106" xr3:uid="{5FF89BD6-7921-4110-AD96-EA8B54555F1C}" name="Total Hill" dataDxfId="502" totalsRowDxfId="501"/>
    <tableColumn id="107" xr3:uid="{F920559E-5C73-4899-BC53-A9BA9E7DFC0C}" name="Total Swamp" dataDxfId="500" totalsRowDxfId="499"/>
    <tableColumn id="108" xr3:uid="{6462BCCF-F375-4DEC-B000-637E1187AA5E}" name="Total Cavern" dataDxfId="498" totalsRowDxfId="497"/>
    <tableColumn id="109" xr3:uid="{D966B8E0-E2CD-4374-AF05-B86C330B3BD4}" name="Total Water" dataDxfId="496" totalsRowDxfId="495"/>
    <tableColumn id="110" xr3:uid="{170A4E12-F563-448F-8964-EB5CA71BA3AF}" name="Homeland" dataDxfId="494" totalsRowDxfId="493">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2" totalsRowDxfId="491"/>
    <tableColumn id="114" xr3:uid="{EDC1B5E1-1E93-4946-BEC7-453EF5B18C9F}" name="Farms" dataDxfId="490" totalsRowDxfId="489">
      <calculatedColumnFormula>MAX(BA4-BA3,0)</calculatedColumnFormula>
    </tableColumn>
    <tableColumn id="115" xr3:uid="{1D02A65C-E8F6-4B66-A5EB-3699A9BE61C5}" name="Docks" totalsRowFunction="sum" dataDxfId="488" totalsRowDxfId="487">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2" dataDxfId="471" tableBorderDxfId="470">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9">
      <calculatedColumnFormula>TblRezone[[#This Row],[Hour]]</calculatedColumnFormula>
    </tableColumn>
    <tableColumn id="2" xr3:uid="{DFB120B6-BC70-4091-A005-99D4961CB538}" name="Land" dataDxfId="468">
      <calculatedColumnFormula>TblConstr[[#This Row],[Land]]</calculatedColumnFormula>
    </tableColumn>
    <tableColumn id="3" xr3:uid="{05C32193-1764-4A8E-B877-789E51BD1927}" name="." dataDxfId="467"/>
    <tableColumn id="4" xr3:uid="{2DBA3229-29BD-4F1F-B6CD-9E822C9071D7}" name="Plains" dataDxfId="466">
      <calculatedColumnFormula>TblConstr[[#This Row],[Plain]]</calculatedColumnFormula>
    </tableColumn>
    <tableColumn id="5" xr3:uid="{3D1FE633-D61E-4157-92AE-5E68F0C48770}" name="Forest" dataDxfId="465">
      <calculatedColumnFormula>TblConstr[[#This Row],[Forest]]</calculatedColumnFormula>
    </tableColumn>
    <tableColumn id="6" xr3:uid="{D9ABEDC6-9211-428A-B587-3CA9C3BF9744}" name="Mountn" dataDxfId="464">
      <calculatedColumnFormula>TblConstr[[#This Row],[Mountain]]</calculatedColumnFormula>
    </tableColumn>
    <tableColumn id="7" xr3:uid="{190BAA64-9D9E-4080-878D-BF035387620E}" name="Hills" dataDxfId="463">
      <calculatedColumnFormula>TblConstr[[#This Row],[Hill]]</calculatedColumnFormula>
    </tableColumn>
    <tableColumn id="8" xr3:uid="{812744CE-DEB7-4A8A-8374-CD5852E8C168}" name="Swamp" dataDxfId="462">
      <calculatedColumnFormula>TblConstr[[#This Row],[Swamp]]</calculatedColumnFormula>
    </tableColumn>
    <tableColumn id="9" xr3:uid="{96D79F63-015A-4655-975B-A1C99185A034}" name="Caverns" dataDxfId="461">
      <calculatedColumnFormula>TblConstr[[#This Row],[Cavern]]</calculatedColumnFormula>
    </tableColumn>
    <tableColumn id="10" xr3:uid="{607DA3E5-8D4A-44F4-A35C-DDAF32BE627C}" name="Water" dataDxfId="460">
      <calculatedColumnFormula>TblConstr[[#This Row],[Water]]</calculatedColumnFormula>
    </tableColumn>
    <tableColumn id="11" xr3:uid="{12EC2AC2-5FD3-4D82-8C37-DB70DCC56DC2}" name="Column2" dataDxfId="459"/>
    <tableColumn id="12" xr3:uid="{B171FE82-C8DE-44A1-89CE-409ED8DDD9D4}" name="Column3" dataDxfId="458"/>
    <tableColumn id="13" xr3:uid="{8C0085EE-E99F-4C98-9D66-144A50E3623C}" name="Column4" dataDxfId="457"/>
    <tableColumn id="14" xr3:uid="{5686D8FB-FF86-4148-AF9E-C03A97A84AF3}" name="Smithies" dataDxfId="456" dataCellStyle="Percent">
      <calculatedColumnFormula>TblMili[[#This Row],[Smithies]]</calculatedColumnFormula>
    </tableColumn>
    <tableColumn id="15" xr3:uid="{A0DC0A41-1987-4EE6-99BA-624DB6ACB9BF}" name="Employm." dataDxfId="455" dataCellStyle="Percent">
      <calculatedColumnFormula>TblPop[[#This Row],[Employment]]</calculatedColumnFormula>
    </tableColumn>
    <tableColumn id="16" xr3:uid="{7B85DEA6-C72D-4EAB-B18F-155B3A80E27B}" name="Popul." dataDxfId="454" dataCellStyle="Percent">
      <calculatedColumnFormula>TblImps[[#This Row],[Population]]</calculatedColumnFormula>
    </tableColumn>
    <tableColumn id="17" xr3:uid="{0BE33934-A790-4489-A3A2-E553E3C4AAEE}" name="Land (2)" dataDxfId="453">
      <calculatedColumnFormula>TblExplore[[#This Row],[Land]]</calculatedColumnFormula>
    </tableColumn>
    <tableColumn id="18" xr3:uid="{1EE849E8-6296-4479-BDA2-30E4622212E0}" name="Hour (2)" dataDxfId="452">
      <calculatedColumnFormula>TblExplore[[#This Row],[Hour]]</calculatedColumnFormula>
    </tableColumn>
    <tableColumn id="19" xr3:uid="{802EC67C-58E0-4E2B-9471-52B76B3F516A}" name="Land Bonus" dataDxfId="451"/>
    <tableColumn id="20" xr3:uid="{B1DC4E54-695A-4FE1-A303-67B047732E38}" name="Plains Explore" dataDxfId="450"/>
    <tableColumn id="21" xr3:uid="{28A63039-E9F4-4C91-BC61-38AFA90CBBA3}" name="Forest Explore" dataDxfId="449"/>
    <tableColumn id="22" xr3:uid="{52A3F218-67B7-4353-9DCD-90E402F80D3A}" name="Mountain Explore" dataDxfId="448"/>
    <tableColumn id="23" xr3:uid="{CADD78BB-1A84-4EF1-B568-74D7A7333BED}" name="Hill Explore" dataDxfId="447"/>
    <tableColumn id="24" xr3:uid="{86B12DCD-5E50-4631-800C-3D06D0C8407F}" name="Swamp Explore" dataDxfId="446"/>
    <tableColumn id="25" xr3:uid="{41A3F8D1-C19F-4B01-A125-BD6C5BE75F1D}" name="Cavern Explore" dataDxfId="445"/>
    <tableColumn id="26" xr3:uid="{DD83E77E-8C71-44A7-BF29-B8595544CC0D}" name="Water Explore" dataDxfId="444"/>
    <tableColumn id="27" xr3:uid="{6F68BDB2-663F-44CE-A108-1184CFBBBFB9}" name="Time" dataDxfId="443">
      <calculatedColumnFormula>TblImps[[#This Row],[Real time]]</calculatedColumnFormula>
    </tableColumn>
    <tableColumn id="28" xr3:uid="{0FBA88C1-4190-4A95-897B-20B88A072234}" name="Draftees" dataDxfId="442">
      <calculatedColumnFormula>TblMili[[#This Row],[Draftees]]</calculatedColumnFormula>
    </tableColumn>
    <tableColumn id="29" xr3:uid="{4EFD1992-02FD-4356-A327-EBEED01908DD}" name="Platinum" dataDxfId="441">
      <calculatedColumnFormula>TblProd[[#This Row],[Platinum]]</calculatedColumnFormula>
    </tableColumn>
    <tableColumn id="30" xr3:uid="{3D9A7B33-B273-4A01-8F7D-822B1BEB344B}" name=".." dataDxfId="440"/>
    <tableColumn id="31" xr3:uid="{EDB0F070-B31D-4B00-90A6-0A190E3CA80B}" name="Land-DB" dataDxfId="439">
      <calculatedColumnFormula>TblExplore[[#This Row],[Land]]-TblExplore[[#This Row],[Land Bonus]]*20</calculatedColumnFormula>
    </tableColumn>
    <tableColumn id="32" xr3:uid="{B94D1074-50E9-44F1-8957-6BE450DE4BF0}" name="Plat/acre" dataDxfId="438">
      <calculatedColumnFormula>ROUND(MAX(0.6*TblExplore[[#This Row],[Land-DB]]^1.299,850)*(1+ tech_2_6*Techs!AC4 + tech_2_9*Techs!AF4 + tech_3_7*Techs!AN4 + Overview!$I$32),0)</calculatedColumnFormula>
    </tableColumn>
    <tableColumn id="33" xr3:uid="{F0CBDA56-E75F-4156-B9BD-681857934D22}" name="Draftees/acre" dataDxfId="437">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6">
      <calculatedColumnFormula>SUM(TblExplore[[#This Row],[Plains Explore]:[Water Explore]])*TblExplore[[#This Row],[Plat/acre]]</calculatedColumnFormula>
    </tableColumn>
    <tableColumn id="35" xr3:uid="{61575F8F-5343-43C9-858D-AF8501368779}" name="Draftees (2)" dataDxfId="435">
      <calculatedColumnFormula>SUM(TblExplore[[#This Row],[Plains Explore]:[Water Explore]])*TblExplore[[#This Row],[Draftees/acre]]</calculatedColumnFormula>
    </tableColumn>
    <tableColumn id="36" xr3:uid="{BD4C2C0C-7F81-4BE8-9828-9CFCFFAFF394}" name="Max Explore" dataDxfId="434">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4" dataDxfId="423" tableBorderDxfId="422">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1">
      <calculatedColumnFormula>TblConstr[[#This Row],[Land]]</calculatedColumnFormula>
    </tableColumn>
    <tableColumn id="2" xr3:uid="{09D3C0EB-2481-406C-ABC2-3B9FE0683D68}" name="Plains" dataDxfId="420">
      <calculatedColumnFormula>TblConstr[[#This Row],[Plain]]</calculatedColumnFormula>
    </tableColumn>
    <tableColumn id="3" xr3:uid="{E95763D4-88E5-487A-9912-CB5FED512375}" name="Forest" dataDxfId="419">
      <calculatedColumnFormula>TblConstr[[#This Row],[Forest]]</calculatedColumnFormula>
    </tableColumn>
    <tableColumn id="4" xr3:uid="{62B2173B-885E-48E7-B615-089739267B8E}" name="Mountains" dataDxfId="418">
      <calculatedColumnFormula>TblConstr[[#This Row],[Mountain]]</calculatedColumnFormula>
    </tableColumn>
    <tableColumn id="5" xr3:uid="{4FA61465-41A2-4497-AB2D-7B63B7113E12}" name="Hills" dataDxfId="417">
      <calculatedColumnFormula>TblConstr[[#This Row],[Hill]]</calculatedColumnFormula>
    </tableColumn>
    <tableColumn id="6" xr3:uid="{FC27A0D5-6BB5-414B-8DEB-98AD07E7EBFF}" name="Swamp" dataDxfId="416">
      <calculatedColumnFormula>TblConstr[[#This Row],[Swamp]]</calculatedColumnFormula>
    </tableColumn>
    <tableColumn id="7" xr3:uid="{E95EDCE9-4D0A-4F4F-80D0-F52A495BDAE2}" name="Caverns" dataDxfId="415">
      <calculatedColumnFormula>TblConstr[[#This Row],[Cavern]]</calculatedColumnFormula>
    </tableColumn>
    <tableColumn id="8" xr3:uid="{4D162EFF-D831-41C8-9A17-B9113296E43B}" name="Water" dataDxfId="414">
      <calculatedColumnFormula>TblConstr[[#This Row],[Water]]</calculatedColumnFormula>
    </tableColumn>
    <tableColumn id="9" xr3:uid="{D55A4201-089D-415F-8D4D-3ECCCB36C63A}" name="." dataDxfId="413"/>
    <tableColumn id="10" xr3:uid="{DD5BAECA-959B-44B4-BFE4-04100EF42CEE}" name="Hour" dataDxfId="412">
      <calculatedColumnFormula>J3+1</calculatedColumnFormula>
    </tableColumn>
    <tableColumn id="11" xr3:uid="{BBC04AC2-481C-43B9-8F7E-DA11BD9865DF}" name="Time" dataDxfId="411">
      <calculatedColumnFormula>TblImps[[#This Row],[Real time]]</calculatedColumnFormula>
    </tableColumn>
    <tableColumn id="12" xr3:uid="{D6C776EF-706C-4E21-B5A7-00C9AD08F8F2}" name="Plains Rezone" dataDxfId="410"/>
    <tableColumn id="13" xr3:uid="{8517A176-425D-4D28-9953-4EC1AA93C82D}" name="Forest Rezone" dataDxfId="409"/>
    <tableColumn id="14" xr3:uid="{6C6986FB-4B34-4620-9F5C-E204CA007C29}" name="Mountain Rezone" dataDxfId="408"/>
    <tableColumn id="15" xr3:uid="{A238C8DA-37C8-4B93-BDB9-803627A51455}" name="Hill Rezone" dataDxfId="407"/>
    <tableColumn id="16" xr3:uid="{6F93D167-46BB-49F9-99E2-4FE4FA89F6F6}" name="Swamp Rezone" dataDxfId="406"/>
    <tableColumn id="17" xr3:uid="{2891557D-037E-43FE-B080-6B5406778FAE}" name="Cavern Rezone" dataDxfId="405"/>
    <tableColumn id="18" xr3:uid="{C6630C4B-97F3-4512-833F-587ADB90804D}" name="Water Rezone" dataDxfId="404"/>
    <tableColumn id="19" xr3:uid="{71938840-BA0F-4F0E-90C2-866B3EEED32E}" name="Total acres" dataDxfId="403">
      <calculatedColumnFormula>SUMIF(TblRezone[[#This Row],[Plains Rezone]:[Water Rezone]],"&gt;0")</calculatedColumnFormula>
    </tableColumn>
    <tableColumn id="20" xr3:uid="{A48C796B-764B-4744-95D2-0DB5292F5562}" name="Ok?" dataDxfId="402">
      <calculatedColumnFormula>IF(SUM(TblRezone[[#This Row],[Plains Rezone]:[Water Rezone]])=0,"Ok","Nope")</calculatedColumnFormula>
    </tableColumn>
    <tableColumn id="21" xr3:uid="{2EBFAAC1-440A-44F3-A930-C229C35B9BD3}" name=".." dataDxfId="401"/>
    <tableColumn id="22" xr3:uid="{2020F260-8DB5-44E6-A131-B44D79AF6B62}" name="Platinum" dataDxfId="400">
      <calculatedColumnFormula>TblProd[[#This Row],[Platinum]]</calculatedColumnFormula>
    </tableColumn>
    <tableColumn id="23" xr3:uid="{81A5A213-A750-4DD5-8456-6B104D493CA4}" name="…" dataDxfId="399"/>
    <tableColumn id="24" xr3:uid="{8EF28125-DA30-4482-ADE4-2B916A90CAD2}" name="Plat/acre" dataDxfId="398">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7">
      <calculatedColumnFormula>TblRezone[[#This Row],[Total acres]]*TblRezone[[#This Row],[Plat/acre]]</calculatedColumnFormula>
    </tableColumn>
    <tableColumn id="26" xr3:uid="{685D7DEA-DD3C-4385-BEC6-C5DBEEE6B44D}" name="…." dataDxfId="396"/>
    <tableColumn id="27" xr3:uid="{44BE000A-0846-46D4-B9B4-8728EC5881AB}" name="Plat/acre*" dataDxfId="395">
      <calculatedColumnFormula>250+0.6*(TblRezone[[#This Row],[Land]]-250)</calculatedColumnFormula>
    </tableColumn>
    <tableColumn id="28" xr3:uid="{3AFBA97F-9340-4669-BF68-67D7B351BBD4}" name="….." dataDxfId="394"/>
    <tableColumn id="29" xr3:uid="{D8C9DC04-80EE-49BF-BEDB-6FEC536A5F93}" name="Facs" dataDxfId="393">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G136" totalsRowShown="0" headerRowDxfId="385" dataDxfId="383" headerRowBorderDxfId="384" tableBorderDxfId="382">
  <autoFilter ref="A3:DG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autoFilter>
  <tableColumns count="111">
    <tableColumn id="1" xr3:uid="{8A5CA2BC-FE17-44D1-BBBF-572786FC1207}" name="Hour" dataDxfId="381">
      <calculatedColumnFormula>TblRezone[[#This Row],[Hour]]</calculatedColumnFormula>
    </tableColumn>
    <tableColumn id="2" xr3:uid="{EAC413AF-EC0E-4C34-B6C3-F5AE2181B0A0}" name="Military" dataDxfId="380">
      <calculatedColumnFormula>SUM(TblMili[[#This Row],[Unit 1]:[Archmages]])+SUM(TblMili[[#This Row],[Train Unit 1]:[Train Unit 4]])+TblMili[[#This Row],[Draftees]]</calculatedColumnFormula>
    </tableColumn>
    <tableColumn id="3" xr3:uid="{B9847F02-8883-462E-B245-62A25138A973}" name="Military%" dataDxfId="379">
      <calculatedColumnFormula>TblPop[[#This Row],[Military%]]</calculatedColumnFormula>
    </tableColumn>
    <tableColumn id="4" xr3:uid="{873B66D3-9A4C-4CF2-ADD1-BF3696F9A721}" name="." dataDxfId="378"/>
    <tableColumn id="5" xr3:uid="{FC5A3C7C-0387-4B98-9BB7-AC3A387EAFF0}" name="Unit 1" dataDxfId="377">
      <calculatedColumnFormula>OFFSET(TblMili[[#This Row],[Unit 1]],-1,0) - TblMili[[#This Row],[Release Unit 1]]</calculatedColumnFormula>
    </tableColumn>
    <tableColumn id="6" xr3:uid="{A8BE2C9D-1318-46BD-B50B-D87014E90395}" name="Unit 2" dataDxfId="376">
      <calculatedColumnFormula>OFFSET(TblMili[[#This Row],[Unit 2]],-1,0)-TblMili[[#This Row],[Release Unit 2]]</calculatedColumnFormula>
    </tableColumn>
    <tableColumn id="7" xr3:uid="{49487FD4-4EF4-4722-A4A4-FCC0DD98F9F2}" name="Unit 3" dataDxfId="375">
      <calculatedColumnFormula>OFFSET(TblMili[[#This Row],[Unit 3]],-1,0)-TblMili[[#This Row],[Release Unit 3]]</calculatedColumnFormula>
    </tableColumn>
    <tableColumn id="8" xr3:uid="{739E7790-2960-445C-A5B2-C6064A881CDF}" name="Unit 4" dataDxfId="374">
      <calculatedColumnFormula>OFFSET(TblMili[[#This Row],[Unit 4]],-1,0)-TblMili[[#This Row],[Release Unit 4]]</calculatedColumnFormula>
    </tableColumn>
    <tableColumn id="9" xr3:uid="{0DB25EC0-D296-415A-BF65-DA60D7174CD2}" name="Spies" dataDxfId="373">
      <calculatedColumnFormula>OFFSET(TblMili[[#This Row],[Spies]],-1,0)-TblMili[[#This Row],[Release Spies]]</calculatedColumnFormula>
    </tableColumn>
    <tableColumn id="109" xr3:uid="{1E772BA5-219C-4FDC-ABC4-BDFC09C3EC97}" name="Archspies" dataDxfId="372"/>
    <tableColumn id="10" xr3:uid="{1B32AEAE-0DB3-4DD4-8543-1BD37596FD6C}" name="Wizards" dataDxfId="371">
      <calculatedColumnFormula>OFFSET(TblMili[[#This Row],[Wizards]],-1,0)-TblMili[[#This Row],[Release Wizards]]-TblMili[[#This Row],[Train AM]]</calculatedColumnFormula>
    </tableColumn>
    <tableColumn id="11" xr3:uid="{ED512AF5-16B2-421C-BF95-07157DB57B9D}" name="Archmages" dataDxfId="370">
      <calculatedColumnFormula>OFFSET(TblMili[[#This Row],[Archmages]],-1,0)-TblMili[[#This Row],[Release AM]]</calculatedColumnFormula>
    </tableColumn>
    <tableColumn id="12" xr3:uid="{CADE9B79-5861-46C5-8C69-B19C0F0551CF}" name=".." dataDxfId="369"/>
    <tableColumn id="13" xr3:uid="{18901E43-A967-4D1C-A56F-B4449A6C28E5}" name="Networth" dataDxfId="368">
      <calculatedColumnFormula>TblProd[[#This Row],[Networth]]</calculatedColumnFormula>
    </tableColumn>
    <tableColumn id="14" xr3:uid="{2F50B0FF-1C90-493E-BE67-86AFE22B6059}" name="…" dataDxfId="367"/>
    <tableColumn id="15" xr3:uid="{800A8F5F-B777-4995-AD6F-4DF929E0A477}" name="Raw" dataDxfId="366">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5">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4">
      <calculatedColumnFormula>TblMili[[#This Row],[Raw]]*(1+TblMili[[#This Row],[Mods_Off]])</calculatedColumnFormula>
    </tableColumn>
    <tableColumn id="18" xr3:uid="{49AD1BCC-C9BC-46CD-8B38-93838D61E9DD}" name="Non Draft" dataDxfId="363">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62">
      <calculatedColumnFormula>TblMili[[#This Row],[Non Draft]]+TblMili[[#This Row],[Draftees]]</calculatedColumnFormula>
    </tableColumn>
    <tableColumn id="20" xr3:uid="{C64B2C83-F9B3-427D-8326-C6954139623D}" name="Mods_Def" dataDxfId="361">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0" dataCellStyle="Comma">
      <calculatedColumnFormula>TblMili[[#This Row],[Non Draft]] * (1 + TblMili[[#This Row],[Mods_Def]])</calculatedColumnFormula>
    </tableColumn>
    <tableColumn id="22" xr3:uid="{EA8914C0-CD98-4E5C-A923-EA0F9E30F1EA}" name="Draft (mod)" dataDxfId="359">
      <calculatedColumnFormula>TblMili[[#This Row],[Draft]] * (1 + TblMili[[#This Row],[Mods_Def]])</calculatedColumnFormula>
    </tableColumn>
    <tableColumn id="23" xr3:uid="{EAC9356D-CE42-4256-BB93-BF208B480555}" name="Land" dataDxfId="358">
      <calculatedColumnFormula>TblConstr[[#This Row],[Land]]</calculatedColumnFormula>
    </tableColumn>
    <tableColumn id="24" xr3:uid="{D4A87242-2EDC-47D9-8CA4-84D822469E1B}" name="Set" dataDxfId="357"/>
    <tableColumn id="25" xr3:uid="{448088C9-E1C1-47E6-9443-BE83ECC5C2F2}" name="Draftrate" dataDxfId="356" dataCellStyle="Percent">
      <calculatedColumnFormula>IF(TblMili[[#This Row],[Set]]&lt;&gt;"",TblMili[[#This Row],[Set]],OFFSET(TblMili[[#This Row],[Draftrate]],-1,0))</calculatedColumnFormula>
    </tableColumn>
    <tableColumn id="26" xr3:uid="{EE8F6844-A68F-416E-B5A0-7B6FA4C5DE98}" name="Draftees" dataDxfId="355">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4"/>
    <tableColumn id="28" xr3:uid="{0B20A7CE-7BB6-4469-889B-DF744233C462}" name="Smithies" dataDxfId="353" dataCellStyle="Percent">
      <calculatedColumnFormula>(TblConstr[[#This Row],[Tot Smi]]+TblConstr[[#This Row],[Dest Smi]])/(TblConstr[[#This Row],[Land]]-TblExplore[[#This Row],[Land Bonus]]*20)</calculatedColumnFormula>
    </tableColumn>
    <tableColumn id="29" xr3:uid="{A03A8504-EBEF-4639-9EE4-238592848C94}" name="….." dataDxfId="352"/>
    <tableColumn id="30" xr3:uid="{4B521A36-EE77-42BE-850C-0D858F3717A6}" name="Hour (2)" dataDxfId="351">
      <calculatedColumnFormula>TblMili[[#This Row],[Hour]]</calculatedColumnFormula>
    </tableColumn>
    <tableColumn id="31" xr3:uid="{D44FE507-2C86-49D9-BC07-83C7B27BB255}" name="Time" dataDxfId="350">
      <calculatedColumnFormula>TblExplore[[#This Row],[Time]]</calculatedColumnFormula>
    </tableColumn>
    <tableColumn id="32" xr3:uid="{0DAD6AB9-2259-4821-8771-37863F1ED4CC}" name="Train Unit 1" dataDxfId="349"/>
    <tableColumn id="33" xr3:uid="{0E43B866-578B-4060-84D1-01656CB368A4}" name="Train Unit 2" dataDxfId="348"/>
    <tableColumn id="34" xr3:uid="{3AAC979B-4FF3-4EFF-8F6E-BD28BBE2B8BD}" name="Train Unit 3" dataDxfId="347"/>
    <tableColumn id="35" xr3:uid="{EC6B8083-BC72-4376-9760-2275CF62C1A6}" name="Train Unit 4" dataDxfId="346"/>
    <tableColumn id="36" xr3:uid="{DE15CA92-2C69-4205-88B3-DE37F5AAF9A6}" name="Train Spies" dataDxfId="345"/>
    <tableColumn id="107" xr3:uid="{917516D6-B00F-4F57-ADB0-6C22D2A96B9F}" name="Train AS" dataDxfId="344"/>
    <tableColumn id="37" xr3:uid="{97770C71-624D-4E73-A8AD-D79927F45908}" name="Train Wiz" dataDxfId="343"/>
    <tableColumn id="38" xr3:uid="{4E456233-AA67-4D90-9179-339EBD335F62}" name="Train AM" dataDxfId="342"/>
    <tableColumn id="111" xr3:uid="{54F0D0ED-12E4-4C6A-9A83-21A22A24F933}" name="DnD_Zombies" dataDxfId="341">
      <calculatedColumnFormula>IF(AND(TblMagic[[#This Row],[Active DnD]]&lt;12,TblMagic[[#This Row],[Active DnD]]&gt;5),OFFSET(TblPop[[#This Row],[Draft Growth]],-1,0)/2,0)</calculatedColumnFormula>
    </tableColumn>
    <tableColumn id="39" xr3:uid="{29C90460-5421-4EA7-A4CB-BDA1C40BF8A1}" name="…..." dataDxfId="340"/>
    <tableColumn id="40" xr3:uid="{2C04ED42-9AAF-4375-A8D4-18DA4B397FAA}" name="Platinum" dataDxfId="339">
      <calculatedColumnFormula>TblProd[[#This Row],[Platinum]]</calculatedColumnFormula>
    </tableColumn>
    <tableColumn id="41" xr3:uid="{122C6EDE-4C24-4A3C-9FA2-6A7942348604}" name="Secondary recource" dataDxfId="338">
      <calculatedColumnFormula>INDEX(TblProd[[#Headers],[Lumber]]:TblProd[[#This Row],[Ore]],COUNTA(TblProd[[#Headers],[Lumber]]:TblProd[[#This Row],[Lumber]]),MATCH(Military!$AQ$2,TblProd[[#Headers],[Lumber]:[Ore]],0))</calculatedColumnFormula>
    </tableColumn>
    <tableColumn id="42" xr3:uid="{AD4D72D1-3860-48CA-B3DA-ADFB8307154A}" name="Plat Cost" dataDxfId="337">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6">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5">
      <calculatedColumnFormula>TblMili[[#This Row],[Hour]]</calculatedColumnFormula>
    </tableColumn>
    <tableColumn id="45" xr3:uid="{20B1F70F-03BF-43F5-9126-6B2FF45FE149}" name="Time " dataDxfId="334">
      <calculatedColumnFormula>TblMili[[#This Row],[Time]]</calculatedColumnFormula>
    </tableColumn>
    <tableColumn id="46" xr3:uid="{32831987-A30D-4329-BB1C-DB47E6B77B54}" name="Draftees22" dataDxfId="333">
      <calculatedColumnFormula>TblMili[[#This Row],[Draftees]]</calculatedColumnFormula>
    </tableColumn>
    <tableColumn id="47" xr3:uid="{7EBE7BE4-37D1-4B52-B049-F9BE4ABBBADC}" name="Release Draft" dataDxfId="332"/>
    <tableColumn id="48" xr3:uid="{C3BB0EE7-6180-4099-B663-EFA3F1503DB3}" name="Release Unit 1" dataDxfId="331"/>
    <tableColumn id="49" xr3:uid="{EDF7E463-807D-4CE2-B63E-18766260768C}" name="Release Unit 2" dataDxfId="330"/>
    <tableColumn id="50" xr3:uid="{A1BE9DD8-455A-4FAA-8154-5BB2D1A53261}" name="Release Unit 3" dataDxfId="329"/>
    <tableColumn id="51" xr3:uid="{4FE1D56E-EA47-4DF6-B5A4-E78C1D5F5774}" name="Release Unit 4" dataDxfId="328"/>
    <tableColumn id="52" xr3:uid="{F0F9CB78-BA40-4031-AC17-0AB88B159B60}" name="Release Spies" dataDxfId="327"/>
    <tableColumn id="108" xr3:uid="{118BE0C9-E863-4E5F-98D5-187B99319B85}" name="Release AS" dataDxfId="326"/>
    <tableColumn id="53" xr3:uid="{3CC7AC8A-814F-42C4-B491-A6DFD7A4A93E}" name="Release Wizards" dataDxfId="325"/>
    <tableColumn id="54" xr3:uid="{BCB616C3-3465-4473-B27B-B25584160E71}" name="Release AM" dataDxfId="324"/>
    <tableColumn id="55" xr3:uid="{6B6EC03F-2A6A-47EB-A7F1-0DFE335A330A}" name="Column31" dataDxfId="323"/>
    <tableColumn id="56" xr3:uid="{71F6F49D-CD22-4E5F-BBB5-61150307312C}" name="WG's" dataDxfId="322">
      <calculatedColumnFormula>TblConstr[[#This Row],[Tot WG]]/TblConstr[[#This Row],[Land]]</calculatedColumnFormula>
    </tableColumn>
    <tableColumn id="57" xr3:uid="{B8AC3F70-AED4-4E5E-9FFD-FF94CB39B791}" name="FH's" dataDxfId="321">
      <calculatedColumnFormula>TblConstr[[#This Row],[Tot Hav]]/TblConstr[[#This Row],[Land]]</calculatedColumnFormula>
    </tableColumn>
    <tableColumn id="58" xr3:uid="{140FE3B0-18E6-43AA-A625-E817354E2D53}" name="OP Plat" dataDxfId="320">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9">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8">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7">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6">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5">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4">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3">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2">
      <calculatedColumnFormula>ROUNDUP((1-MIN(ROUND(fh_spy_cost_red*TblMili[[#This Row],[FH''s]],4),fh_spy_cost_cap)+ tech_1_9*TblTech[[#This Row],[1-9]] + tech_9_1*TblTech[[#This Row],[9-1]])*spy_plat,0)</calculatedColumnFormula>
    </tableColumn>
    <tableColumn id="110" xr3:uid="{E3910BF3-0412-473B-852A-F6A0FE497DE5}" name="ASs Cost" dataDxfId="311">
      <calculatedColumnFormula>ROUNDUP((1-MIN(ROUND(fh_spy_cost_red*TblMili[[#This Row],[FH''s]],4),fh_spy_cost_cap)+ tech_1_9*TblTech[[#This Row],[1-9]] + tech_9_1*TblTech[[#This Row],[9-1]])*archspy_plat,0)</calculatedColumnFormula>
    </tableColumn>
    <tableColumn id="67" xr3:uid="{CDB40042-773A-4CE1-B670-B62BC884A947}" name="Wizzies cost" dataDxfId="310">
      <calculatedColumnFormula>ROUNDUP((1-MIN(ROUND(wg_wiz_cost_bonus*TblMili[[#This Row],[WG''s]],4),wg_wiz_cost_cap) + tech_1_9_2*TblTech[[#This Row],[1-9]] + tech_9_1_2*TblTech[[#This Row],[9-1]])*wizard_plat,0)</calculatedColumnFormula>
    </tableColumn>
    <tableColumn id="68" xr3:uid="{1053234A-AE18-4A82-94FC-D94692087DE3}" name="AMs cost" dataDxfId="309">
      <calculatedColumnFormula>ROUNDUP((1-MIN(ROUND(wg_wiz_cost_bonus*TblMili[[#This Row],[WG''s]],4),wg_wiz_cost_cap) + tech_1_9_2*TblTech[[#This Row],[1-9]] + tech_9_1_2*TblTech[[#This Row],[9-1]])*archmage_plat,0)</calculatedColumnFormula>
    </tableColumn>
    <tableColumn id="69" xr3:uid="{9D11DA92-CF6B-4838-B51B-494833977486}" name="…2" dataDxfId="308"/>
    <tableColumn id="70" xr3:uid="{1F713D65-CE26-4E75-AF9C-1E2610D02FB6}" name="Hill" dataDxfId="307">
      <calculatedColumnFormula>TblConstr[[#This Row],[Homeland]]/TblConstr[[#This Row],[Land]]</calculatedColumnFormula>
    </tableColumn>
    <tableColumn id="71" xr3:uid="{FBD620E0-8F97-4BED-916D-A8962B459E13}" name="WG" dataDxfId="306">
      <calculatedColumnFormula>TblMili[[#This Row],[WG''s]]</calculatedColumnFormula>
    </tableColumn>
    <tableColumn id="72" xr3:uid="{0F482B90-6164-42A0-AC1A-EB6CBE2239E0}" name="Mystic" dataDxfId="305">
      <calculatedColumnFormula>IF(mystic_cap="none",TblMili[[#This Row],[Hill]]/mystic_bonus,MIN(mystic_cap,TblMili[[#This Row],[Hill]]/mystic_bonus))</calculatedColumnFormula>
    </tableColumn>
    <tableColumn id="73" xr3:uid="{2FD25056-5068-463F-8553-3D2CFBDBD80D}" name="Druid (op)" dataDxfId="304">
      <calculatedColumnFormula>IF(druid_op_cap="none",TblMili[[#This Row],[Hill]]/druid_op_bonus,MIN(druid_op_cap,TblMili[[#This Row],[Hill]]/druid_op_bonus))</calculatedColumnFormula>
    </tableColumn>
    <tableColumn id="74" xr3:uid="{53018DF3-E735-41C7-A3D0-8E634866C57E}" name="Druid (dp)" dataDxfId="303">
      <calculatedColumnFormula>IF(druid_dp_cap="none",TblMili[[#This Row],[Hill]]/druid_dp_bonus,MIN(druid_dp_cap,TblMili[[#This Row],[Hill]]/druid_dp_bonus))</calculatedColumnFormula>
    </tableColumn>
    <tableColumn id="75" xr3:uid="{7F4EE74D-9905-4DF0-A5F6-DDC9D0115356}" name="Dryad" dataDxfId="302">
      <calculatedColumnFormula>MIN(dryad_cap,TblMili[[#This Row],[Hill]]/dryad_bonus)</calculatedColumnFormula>
    </tableColumn>
    <tableColumn id="76" xr3:uid="{E7F9826C-05CD-49D4-95DF-ECCD467D1341}" name="Rockapult" dataDxfId="301">
      <calculatedColumnFormula>MIN(rocka_cap,TblMili[[#This Row],[Hill]]/rocka_bonus)</calculatedColumnFormula>
    </tableColumn>
    <tableColumn id="77" xr3:uid="{A26FFF73-DC56-4E66-8A0E-51A9C837AE8D}" name="Spellblade" dataDxfId="300">
      <calculatedColumnFormula>MIN(adept_op_cap,TblMili[[#This Row],[WG]]/adept_op_bonus)</calculatedColumnFormula>
    </tableColumn>
    <tableColumn id="78" xr3:uid="{A5F9372F-5EBA-4E5A-AB3F-5A786DE5FEB0}" name="Adept-DP" dataDxfId="299">
      <calculatedColumnFormula>MIN(adept_dp_cap,TblMili[[#This Row],[WG]]/adept_dp_bonus)</calculatedColumnFormula>
    </tableColumn>
    <tableColumn id="79" xr3:uid="{FF50DABE-A375-4222-848D-9C4D1D0FC999}" name="Beasts" dataDxfId="298">
      <calculatedColumnFormula>MIN(TblMili[[#This Row],[Unit 3]],TblMili[[#This Row],[Unit 2]])*2</calculatedColumnFormula>
    </tableColumn>
    <tableColumn id="80" xr3:uid="{FFCDA044-2FD9-4119-B82B-7914D887B7F4}" name="Overlords" dataDxfId="297">
      <calculatedColumnFormula>MIN(TblMili[[#This Row],[Unit 1]],TblMili[[#This Row],[Unit 4]])*2</calculatedColumnFormula>
    </tableColumn>
    <tableColumn id="81" xr3:uid="{00DE2C4D-2323-42A0-B749-2FB5F4E28DBF}" name="Frost Mage" dataDxfId="296">
      <calculatedColumnFormula>MIN(frost_mage_cap,TblMili[[#This Row],[Hill]]/frost_mage_bonus)</calculatedColumnFormula>
    </tableColumn>
    <tableColumn id="82" xr3:uid="{BB055F70-3593-48E8-A32F-2C3BC4E6D218}" name="Ice Elemental" dataDxfId="295">
      <calculatedColumnFormula>MIN(ice_elem_cap,TblMili[[#This Row],[Raw (2)]]*ice_elem_bonus)</calculatedColumnFormula>
    </tableColumn>
    <tableColumn id="83" xr3:uid="{1158BE59-7C9D-4D41-AE99-4249CB18E29F}" name="Orc" dataDxfId="294">
      <calculatedColumnFormula>MIN(bone_breaker_cap,250/bone_breaker_bonus)</calculatedColumnFormula>
    </tableColumn>
    <tableColumn id="84" xr3:uid="{76252BAC-90E5-49A7-B5F9-E399F71EA45D}" name="Nox" dataDxfId="293">
      <calculatedColumnFormula>MIN(nox_nightshade_cap,TblConstr[[#This Row],[Homeland]]/TblConstr[[#This Row],[Land]]/nox_nightshade_swamp_bonus)</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MIN(6,TblMili[[#This Row],[Mystic]]+Races!$F$19)*1.8 +  IF(TblMili[[#This Row],[Mystic]]+Races!$F$19&gt;6,(TblMili[[#This Row],[Mystic]]+Races!$F$19-6)*0.2,0) - Races!$I$19</calculatedColumnFormula>
    </tableColumn>
    <tableColumn id="89" xr3:uid="{46F4DC63-3122-4751-919D-25DE59A7EF66}" name="Druid bonus" dataDxfId="288">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MIN(6,TblMili[[#This Row],[Dryad]]+Races!$F$35)*1.8 +  IF(TblMili[[#This Row],[Dryad]]+Races!$F$35&gt;6,(TblMili[[#This Row],[Dryad]]+Races!$F$35-6)*0.2,0) - Races!$I$19</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9">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62" dataDxfId="260" headerRowBorderDxfId="261" tableBorderDxfId="259">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lchemist Frost"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21" xr3:uid="{4F53D2F5-E2E8-4AEE-975D-5B925FA589B0}" name="Useless spell" dataDxfId="237"/>
    <tableColumn id="22" xr3:uid="{E7040239-1040-4E8C-8EEB-3D517AC825BD}" name="." dataDxfId="236"/>
    <tableColumn id="23" xr3:uid="{8F45EE21-92D1-4622-B103-16B477DF630B}" name="Mana cost" dataDxfId="235">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4">
      <calculatedColumnFormula>SUMIF(TblMagic[[#This Row],[Gaia''s Watch]:[Useless spell]],1)*0.05</calculatedColumnFormula>
    </tableColumn>
    <tableColumn id="25" xr3:uid="{2466DF86-89FE-4172-9850-F9FBAE56839D}" name=".." dataDxfId="233"/>
    <tableColumn id="26" xr3:uid="{F8559349-C288-4EC3-B38A-23771E549D1D}" name="Active Gaia's Watch" dataDxfId="232">
      <calculatedColumnFormula>IF(TblMagic[[#This Row],[Gaia''s Watch]],12,IF(OFFSET(TblMagic[[#This Row],[Active Gaia''s Watch]],-1,0)&gt;0,OFFSET(TblMagic[[#This Row],[Active Gaia''s Watch]],-1,0)-1,0))</calculatedColumnFormula>
    </tableColumn>
    <tableColumn id="27" xr3:uid="{00F45689-4686-422F-8E94-89C18992B261}" name="Active Mining Strength" dataDxfId="231">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30">
      <calculatedColumnFormula>IF(TblMagic[[#This Row],[Ares Call]],12,IF(OFFSET(TblMagic[[#This Row],[Active Ares Call]],-1,0)&gt;0,OFFSET(TblMagic[[#This Row],[Active Ares Call]],-1,0)-1,0))</calculatedColumnFormula>
    </tableColumn>
    <tableColumn id="29" xr3:uid="{BCC9ACB6-69AC-4DA1-B07D-F4802162CEF5}" name="Active Midas Touch" dataDxfId="229">
      <calculatedColumnFormula>IF(TblMagic[[#This Row],[Midas Touch]],12,IF(OFFSET(TblMagic[[#This Row],[Active Midas Touch]],-1,0)&gt;0,OFFSET(TblMagic[[#This Row],[Active Midas Touch]],-1,0)-1,0))</calculatedColumnFormula>
    </tableColumn>
    <tableColumn id="30" xr3:uid="{D13DA239-CC1B-41FD-A41B-68906B10F262}" name="Active Harmony" dataDxfId="228">
      <calculatedColumnFormula>IF(TblMagic[[#This Row],[Harmony]],12,IF(OFFSET(TblMagic[[#This Row],[Active Harmony]],-1,0)&gt;0,OFFSET(TblMagic[[#This Row],[Active Harmony]],-1,0)-1,0))</calculatedColumnFormula>
    </tableColumn>
    <tableColumn id="31" xr3:uid="{10D4FEA0-0AA8-4F31-8F5A-8576AE611BDA}" name="Active Miner's Sight" dataDxfId="227">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6">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5">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4">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3">
      <calculatedColumnFormula>IF(TblMagic[[#This Row],[Gaia''s Blessing]],12,IF(OFFSET(TblMagic[[#This Row],[Active Gaia''s Blessing]],-1,0)&gt;0,OFFSET(TblMagic[[#This Row],[Active Gaia''s Blessing]],-1,0)-1,0))</calculatedColumnFormula>
    </tableColumn>
    <tableColumn id="36" xr3:uid="{DB2BE469-2BE3-4333-BFBC-C2857399E743}" name="Active Howling" dataDxfId="222">
      <calculatedColumnFormula>IF(TblMagic[[#This Row],[Howling]],12,IF(OFFSET(TblMagic[[#This Row],[Active Howling]],-1,0)&gt;0,OFFSET(TblMagic[[#This Row],[Active Howling]],-1,0)-1,0))</calculatedColumnFormula>
    </tableColumn>
    <tableColumn id="37" xr3:uid="{F5838FA3-8068-44AA-A6A2-758F46E5F78D}" name="Active Alch Frost" dataDxfId="221">
      <calculatedColumnFormula>IF(TblMagic[[#This Row],[Alchemist Frost]],12,IF(OFFSET(TblMagic[[#This Row],[Active Alch Frost]],-1,0)&gt;0,OFFSET(TblMagic[[#This Row],[Active Alch Frost]],-1,0)-1,0))</calculatedColumnFormula>
    </tableColumn>
    <tableColumn id="38" xr3:uid="{11215FCC-A994-4C4E-835C-F365C4B7BDF8}" name="Active Alchemists Flame" dataDxfId="220">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9">
      <calculatedColumnFormula>IF(TblMagic[[#This Row],[Nightfall]],12,IF(OFFSET(TblMagic[[#This Row],[Active Nightfall]],-1,0)&gt;0,OFFSET(TblMagic[[#This Row],[Active Nightfall]],-1,0)-1,0))</calculatedColumnFormula>
    </tableColumn>
    <tableColumn id="41" xr3:uid="{E8FFEB0A-82D1-4B3D-86CE-6103CDF8A0FD}" name="Active Favorable Terrain" dataDxfId="218">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7" dataDxfId="216">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5">
      <calculatedColumnFormula>TblRezone[[#This Row],[Hour]]</calculatedColumnFormula>
    </tableColumn>
    <tableColumn id="3" xr3:uid="{DA4A1ACF-68D6-4564-BB1C-C3C3172606A1}" name="Land" dataDxfId="214">
      <calculatedColumnFormula>TblExplore[[#This Row],[Land-DB]]</calculatedColumnFormula>
    </tableColumn>
    <tableColumn id="4" xr3:uid="{05D0DCAF-595D-47DB-9D6C-DB4A543CF655}" name="Techpoints" dataDxfId="213">
      <calculatedColumnFormula>TblProd[[#This Row],[Techpoints]]</calculatedColumnFormula>
    </tableColumn>
    <tableColumn id="5" xr3:uid="{B8D24105-AE76-4A7C-9D26-589CB9891ED4}" name="Cost" dataDxfId="212">
      <calculatedColumnFormula>TblProd[[#This Row],[Required]]</calculatedColumnFormula>
    </tableColumn>
    <tableColumn id="93" xr3:uid="{2ABEB4AB-3FE9-4283-8DD1-DADEE729E1F4}" name="." dataDxfId="211"/>
    <tableColumn id="9" xr3:uid="{94ADF196-65A4-42D5-B9F1-902A2448736A}" name="Activate @ hour" dataDxfId="210"/>
    <tableColumn id="10" xr3:uid="{41EC03BC-D935-4DB1-9358-D7E68CB11DA3}" name="Number" dataDxfId="209"/>
    <tableColumn id="19" xr3:uid="{8781F361-D9CA-4DDC-83D1-8F9FCDC61FD4}" name="Tech name" dataDxfId="208"/>
    <tableColumn id="11" xr3:uid="{ED497BC4-A3FE-4968-980C-41E3E397E8F1}" name="Gains" dataDxfId="207"/>
    <tableColumn id="20" xr3:uid="{B66F94F3-B0AC-4CC0-9E7C-4CF7E4C92EEE}" name=".." dataDxfId="206"/>
    <tableColumn id="21" xr3:uid="{4775993E-7C72-4134-8A78-3FB7DCE45728}" name="…" dataDxfId="205">
      <calculatedColumnFormula>IF(TblTech[[#This Row],[Sum of tech]]&lt;&gt;OFFSET(TblTech[[#This Row],[Sum of tech]],-1,0),1,0)</calculatedColumnFormula>
    </tableColumn>
    <tableColumn id="22" xr3:uid="{DFF59F63-FD6B-45DE-9EEF-3899A7D747EF}" name="Sum of tech" dataDxfId="204">
      <calculatedColumnFormula>COUNTIF(TblTech[[#This Row],[1-1]:[11-1]],1)</calculatedColumnFormula>
    </tableColumn>
    <tableColumn id="23" xr3:uid="{26B2ED42-21EF-41D3-8431-65B8DCB84C2C}" name="1-1" dataDxfId="203">
      <calculatedColumnFormula array="1">IF(AND(M$2&lt;&gt;0,TblTech[[#This Row],[Hour]:[Hour]]&gt;=M$2),1,0)</calculatedColumnFormula>
    </tableColumn>
    <tableColumn id="24" xr3:uid="{50258140-FB02-4B3A-8985-9EF35792D437}" name="1-2" dataDxfId="202">
      <calculatedColumnFormula array="1">IF(AND(N$2&lt;&gt;0,TblTech[[#This Row],[Hour]:[Hour]]&gt;=N$2),1,0)</calculatedColumnFormula>
    </tableColumn>
    <tableColumn id="25" xr3:uid="{7124BFDC-5B72-4806-BD66-A9B40B96E890}" name="1-3" dataDxfId="201">
      <calculatedColumnFormula array="1">IF(AND(O$2&lt;&gt;0,TblTech[[#This Row],[Hour]:[Hour]]&gt;=O$2),1,0)</calculatedColumnFormula>
    </tableColumn>
    <tableColumn id="26" xr3:uid="{7F0A139B-B30E-4409-9274-8016025EA227}" name="1-4" dataDxfId="200">
      <calculatedColumnFormula array="1">IF(AND(P$2&lt;&gt;0,TblTech[[#This Row],[Hour]:[Hour]]&gt;=P$2),1,0)</calculatedColumnFormula>
    </tableColumn>
    <tableColumn id="27" xr3:uid="{29B9EAE2-227D-4807-9E41-445565CAAFF7}" name="1-5" dataDxfId="199">
      <calculatedColumnFormula array="1">IF(AND(Q$2&lt;&gt;0,TblTech[[#This Row],[Hour]:[Hour]]&gt;=Q$2),1,0)</calculatedColumnFormula>
    </tableColumn>
    <tableColumn id="28" xr3:uid="{43587F1E-C217-44F9-817A-0114F7F48D02}" name="1-6" dataDxfId="198">
      <calculatedColumnFormula array="1">IF(AND(R$2&lt;&gt;0,TblTech[[#This Row],[Hour]:[Hour]]&gt;=R$2),1,0)</calculatedColumnFormula>
    </tableColumn>
    <tableColumn id="29" xr3:uid="{0524F9E6-09EC-4986-B7A6-35B925952E60}" name="1-7" dataDxfId="197">
      <calculatedColumnFormula array="1">IF(AND(S$2&lt;&gt;0,TblTech[[#This Row],[Hour]:[Hour]]&gt;=S$2),1,0)</calculatedColumnFormula>
    </tableColumn>
    <tableColumn id="30" xr3:uid="{188B6808-99A1-4A91-A689-87097F62C1C1}" name="1-8" dataDxfId="196">
      <calculatedColumnFormula array="1">IF(AND(T$2&lt;&gt;0,TblTech[[#This Row],[Hour]:[Hour]]&gt;=T$2),1,0)</calculatedColumnFormula>
    </tableColumn>
    <tableColumn id="31" xr3:uid="{DC02C18F-47C9-4A23-8F34-9E02A677D29B}" name="1-9" dataDxfId="195">
      <calculatedColumnFormula array="1">IF(AND(U$2&lt;&gt;0,TblTech[[#This Row],[Hour]:[Hour]]&gt;=U$2),1,0)</calculatedColumnFormula>
    </tableColumn>
    <tableColumn id="32" xr3:uid="{21B6A564-7028-4932-914B-F32A59CAEC67}" name="1-10" dataDxfId="194">
      <calculatedColumnFormula array="1">IF(AND(V$2&lt;&gt;0,TblTech[[#This Row],[Hour]:[Hour]]&gt;=V$2),1,0)</calculatedColumnFormula>
    </tableColumn>
    <tableColumn id="33" xr3:uid="{BE08B152-511E-4680-AD58-AFCC2777EE65}" name="1-11" dataDxfId="193">
      <calculatedColumnFormula array="1">IF(AND(W$2&lt;&gt;0,TblTech[[#This Row],[Hour]:[Hour]]&gt;=W$2),1,0)</calculatedColumnFormula>
    </tableColumn>
    <tableColumn id="34" xr3:uid="{F0B67B28-DF8B-4FF4-BE8F-BD953642450D}" name="2-1" dataDxfId="192">
      <calculatedColumnFormula array="1">IF(AND(X$2&lt;&gt;0,TblTech[[#This Row],[Hour]:[Hour]]&gt;=X$2),1,0)</calculatedColumnFormula>
    </tableColumn>
    <tableColumn id="35" xr3:uid="{E1C38FB5-1814-43BE-8628-9E331159B491}" name="2-2" dataDxfId="191">
      <calculatedColumnFormula array="1">IF(AND(Y$2&lt;&gt;0,TblTech[[#This Row],[Hour]:[Hour]]&gt;=Y$2),1,0)</calculatedColumnFormula>
    </tableColumn>
    <tableColumn id="36" xr3:uid="{8EEFA1A3-F668-44A9-99D5-F625CDEC0846}" name="2-3" dataDxfId="190">
      <calculatedColumnFormula array="1">IF(AND(Z$2&lt;&gt;0,TblTech[[#This Row],[Hour]:[Hour]]&gt;=Z$2),1,0)</calculatedColumnFormula>
    </tableColumn>
    <tableColumn id="37" xr3:uid="{8B9C353C-5141-4E70-88A8-3C0ADC0F65A2}" name="2-4" dataDxfId="189">
      <calculatedColumnFormula array="1">IF(AND(AA$2&lt;&gt;0,TblTech[[#This Row],[Hour]:[Hour]]&gt;=AA$2),1,0)</calculatedColumnFormula>
    </tableColumn>
    <tableColumn id="38" xr3:uid="{4F9949FA-D32C-43B0-A632-BDA246027740}" name="2-5" dataDxfId="188">
      <calculatedColumnFormula array="1">IF(AND(AB$2&lt;&gt;0,TblTech[[#This Row],[Hour]:[Hour]]&gt;=AB$2),1,0)</calculatedColumnFormula>
    </tableColumn>
    <tableColumn id="39" xr3:uid="{E35ABE45-7462-4288-879B-43C24510B588}" name="2-6" dataDxfId="187">
      <calculatedColumnFormula array="1">IF(AND(AC$2&lt;&gt;0,TblTech[[#This Row],[Hour]:[Hour]]&gt;=AC$2),1,0)</calculatedColumnFormula>
    </tableColumn>
    <tableColumn id="40" xr3:uid="{B02ACA29-3024-4B8E-B2F0-E65F48E762BF}" name="2-7" dataDxfId="186">
      <calculatedColumnFormula array="1">IF(AND(AD$2&lt;&gt;0,TblTech[[#This Row],[Hour]:[Hour]]&gt;=AD$2),1,0)</calculatedColumnFormula>
    </tableColumn>
    <tableColumn id="41" xr3:uid="{34022863-F0D7-473E-B433-052438597C70}" name="2-8" dataDxfId="185">
      <calculatedColumnFormula array="1">IF(AND(AE$2&lt;&gt;0,TblTech[[#This Row],[Hour]:[Hour]]&gt;=AE$2),1,0)</calculatedColumnFormula>
    </tableColumn>
    <tableColumn id="42" xr3:uid="{4264B147-345F-4187-898B-976D4720C3B2}" name="2-9" dataDxfId="184">
      <calculatedColumnFormula array="1">IF(AND(AF$2&lt;&gt;0,TblTech[[#This Row],[Hour]:[Hour]]&gt;=AF$2),1,0)</calculatedColumnFormula>
    </tableColumn>
    <tableColumn id="43" xr3:uid="{040A812F-9A82-4FA5-96D4-BB0CE9B1567D}" name="2-10" dataDxfId="183">
      <calculatedColumnFormula array="1">IF(AND(AG$2&lt;&gt;0,TblTech[[#This Row],[Hour]:[Hour]]&gt;=AG$2),1,0)</calculatedColumnFormula>
    </tableColumn>
    <tableColumn id="44" xr3:uid="{65E9F477-8A73-4C7D-9453-E8F8A13C4220}" name="3-1" dataDxfId="182">
      <calculatedColumnFormula array="1">IF(AND(AH$2&lt;&gt;0,TblTech[[#This Row],[Hour]:[Hour]]&gt;=AH$2),1,0)</calculatedColumnFormula>
    </tableColumn>
    <tableColumn id="45" xr3:uid="{86A8FA88-B983-4431-9D5A-9A068F2DE89C}" name="3-2" dataDxfId="181">
      <calculatedColumnFormula array="1">IF(AND(AI$2&lt;&gt;0,TblTech[[#This Row],[Hour]:[Hour]]&gt;=AI$2),1,0)</calculatedColumnFormula>
    </tableColumn>
    <tableColumn id="46" xr3:uid="{B4D6E3D7-41BB-4A05-98AF-36C706567C66}" name="3-3" dataDxfId="180">
      <calculatedColumnFormula array="1">IF(AND(AJ$2&lt;&gt;0,TblTech[[#This Row],[Hour]:[Hour]]&gt;=AJ$2),1,0)</calculatedColumnFormula>
    </tableColumn>
    <tableColumn id="47" xr3:uid="{A65655BF-F389-46E7-B712-282C9B16E721}" name="3-4" dataDxfId="179">
      <calculatedColumnFormula array="1">IF(AND(AK$2&lt;&gt;0,TblTech[[#This Row],[Hour]:[Hour]]&gt;=AK$2),1,0)</calculatedColumnFormula>
    </tableColumn>
    <tableColumn id="48" xr3:uid="{6AC53AFF-C5BC-4C6E-A226-AD750DEF26F0}" name="3-5" dataDxfId="178">
      <calculatedColumnFormula array="1">IF(AND(AL$2&lt;&gt;0,TblTech[[#This Row],[Hour]:[Hour]]&gt;=AL$2),1,0)</calculatedColumnFormula>
    </tableColumn>
    <tableColumn id="49" xr3:uid="{517C8F30-6F70-4A9F-930D-87F70A281D06}" name="3-6" dataDxfId="177">
      <calculatedColumnFormula array="1">IF(AND(AM$2&lt;&gt;0,TblTech[[#This Row],[Hour]:[Hour]]&gt;=AM$2),1,0)</calculatedColumnFormula>
    </tableColumn>
    <tableColumn id="50" xr3:uid="{3B9D0CD9-1DC1-4BF8-84D6-0C15DCE53BA3}" name="3-7" dataDxfId="176">
      <calculatedColumnFormula array="1">IF(AND(AN$2&lt;&gt;0,TblTech[[#This Row],[Hour]:[Hour]]&gt;=AN$2),1,0)</calculatedColumnFormula>
    </tableColumn>
    <tableColumn id="51" xr3:uid="{BF773A1C-6C94-4253-89D5-6B882BDABD54}" name="3-8" dataDxfId="175">
      <calculatedColumnFormula array="1">IF(AND(AO$2&lt;&gt;0,TblTech[[#This Row],[Hour]:[Hour]]&gt;=AO$2),1,0)</calculatedColumnFormula>
    </tableColumn>
    <tableColumn id="52" xr3:uid="{D719799C-D81A-4575-B1F1-9835FB72D924}" name="3-9" dataDxfId="174">
      <calculatedColumnFormula array="1">IF(AND(AP$2&lt;&gt;0,TblTech[[#This Row],[Hour]:[Hour]]&gt;=AP$2),1,0)</calculatedColumnFormula>
    </tableColumn>
    <tableColumn id="53" xr3:uid="{81CD67AD-C2F6-496B-991C-75EACF4860E0}" name="4-1" dataDxfId="173">
      <calculatedColumnFormula array="1">IF(AND(AQ$2&lt;&gt;0,TblTech[[#This Row],[Hour]:[Hour]]&gt;=AQ$2),1,0)</calculatedColumnFormula>
    </tableColumn>
    <tableColumn id="54" xr3:uid="{3255B3D4-FF8E-4B91-8A83-C128D00B29D0}" name="4-2" dataDxfId="172">
      <calculatedColumnFormula array="1">IF(AND(AR$2&lt;&gt;0,TblTech[[#This Row],[Hour]:[Hour]]&gt;=AR$2),1,0)</calculatedColumnFormula>
    </tableColumn>
    <tableColumn id="55" xr3:uid="{E9B22F56-FCCE-4890-8FF4-FF6D8C0863D0}" name="4-3" dataDxfId="171">
      <calculatedColumnFormula array="1">IF(AND(AS$2&lt;&gt;0,TblTech[[#This Row],[Hour]:[Hour]]&gt;=AS$2),1,0)</calculatedColumnFormula>
    </tableColumn>
    <tableColumn id="56" xr3:uid="{1C0A6BE0-6DBC-40E6-B512-F921E4637B0B}" name="4-4" dataDxfId="170">
      <calculatedColumnFormula array="1">IF(AND(AT$2&lt;&gt;0,TblTech[[#This Row],[Hour]:[Hour]]&gt;=AT$2),1,0)</calculatedColumnFormula>
    </tableColumn>
    <tableColumn id="57" xr3:uid="{5DAC0420-BB86-481B-957A-78DB826A7E20}" name="4-5" dataDxfId="169">
      <calculatedColumnFormula array="1">IF(AND(AU$2&lt;&gt;0,TblTech[[#This Row],[Hour]:[Hour]]&gt;=AU$2),1,0)</calculatedColumnFormula>
    </tableColumn>
    <tableColumn id="58" xr3:uid="{2442830B-618D-4A03-A6E6-23EC65BAB59B}" name="4-6" dataDxfId="168">
      <calculatedColumnFormula array="1">IF(AND(AV$2&lt;&gt;0,TblTech[[#This Row],[Hour]:[Hour]]&gt;=AV$2),1,0)</calculatedColumnFormula>
    </tableColumn>
    <tableColumn id="59" xr3:uid="{8AB48F18-B215-484F-9058-BE5431D00ED5}" name="4-7" dataDxfId="167">
      <calculatedColumnFormula array="1">IF(AND(AW$2&lt;&gt;0,TblTech[[#This Row],[Hour]:[Hour]]&gt;=AW$2),1,0)</calculatedColumnFormula>
    </tableColumn>
    <tableColumn id="60" xr3:uid="{3B7FB99A-0607-4DBC-A93C-47B6B21464A5}" name="4-8" dataDxfId="166">
      <calculatedColumnFormula array="1">IF(AND(AX$2&lt;&gt;0,TblTech[[#This Row],[Hour]:[Hour]]&gt;=AX$2),1,0)</calculatedColumnFormula>
    </tableColumn>
    <tableColumn id="61" xr3:uid="{CFAAB1A4-4760-4FF3-BF0E-D276BAEF346A}" name="5-1" dataDxfId="165">
      <calculatedColumnFormula array="1">IF(AND(AY$2&lt;&gt;0,TblTech[[#This Row],[Hour]:[Hour]]&gt;=AY$2),1,0)</calculatedColumnFormula>
    </tableColumn>
    <tableColumn id="62" xr3:uid="{E5F62076-AF81-4EE1-A6D2-C4FBF4181C93}" name="5-2" dataDxfId="164">
      <calculatedColumnFormula array="1">IF(AND(AZ$2&lt;&gt;0,TblTech[[#This Row],[Hour]:[Hour]]&gt;=AZ$2),1,0)</calculatedColumnFormula>
    </tableColumn>
    <tableColumn id="63" xr3:uid="{EE3346E8-7A22-4F0A-94B7-B36570A0B72E}" name="5-3" dataDxfId="163">
      <calculatedColumnFormula array="1">IF(AND(BA$2&lt;&gt;0,TblTech[[#This Row],[Hour]:[Hour]]&gt;=BA$2),1,0)</calculatedColumnFormula>
    </tableColumn>
    <tableColumn id="64" xr3:uid="{19F3E157-570E-4E1E-BCC2-3EF92D7B8A8B}" name="5-4" dataDxfId="162">
      <calculatedColumnFormula array="1">IF(AND(BB$2&lt;&gt;0,TblTech[[#This Row],[Hour]:[Hour]]&gt;=BB$2),1,0)</calculatedColumnFormula>
    </tableColumn>
    <tableColumn id="65" xr3:uid="{A59D5D3A-678C-49C4-A3B5-D86FF0C14500}" name="5-5" dataDxfId="161">
      <calculatedColumnFormula array="1">IF(AND(BC$2&lt;&gt;0,TblTech[[#This Row],[Hour]:[Hour]]&gt;=BC$2),1,0)</calculatedColumnFormula>
    </tableColumn>
    <tableColumn id="66" xr3:uid="{3EBEC9F5-18F1-461D-AF3F-E66DA870B9ED}" name="5-6" dataDxfId="160">
      <calculatedColumnFormula array="1">IF(AND(BD$2&lt;&gt;0,TblTech[[#This Row],[Hour]:[Hour]]&gt;=BD$2),1,0)</calculatedColumnFormula>
    </tableColumn>
    <tableColumn id="67" xr3:uid="{20985549-198B-4F2A-AF78-070BD8A22298}" name="5-7" dataDxfId="159">
      <calculatedColumnFormula array="1">IF(AND(BE$2&lt;&gt;0,TblTech[[#This Row],[Hour]:[Hour]]&gt;=BE$2),1,0)</calculatedColumnFormula>
    </tableColumn>
    <tableColumn id="68" xr3:uid="{F4DDB15D-3A5D-449E-8491-EA836A4AB090}" name="6-1" dataDxfId="158">
      <calculatedColumnFormula array="1">IF(AND(BF$2&lt;&gt;0,TblTech[[#This Row],[Hour]:[Hour]]&gt;=BF$2),1,0)</calculatedColumnFormula>
    </tableColumn>
    <tableColumn id="69" xr3:uid="{CC7E2300-DCD5-46C6-AD93-8F283F035DAF}" name="6-2" dataDxfId="157">
      <calculatedColumnFormula array="1">IF(AND(BG$2&lt;&gt;0,TblTech[[#This Row],[Hour]:[Hour]]&gt;=BG$2),1,0)</calculatedColumnFormula>
    </tableColumn>
    <tableColumn id="70" xr3:uid="{0DC5B532-84DD-40E3-9A96-3B7ED120C52C}" name="6-3" dataDxfId="156">
      <calculatedColumnFormula array="1">IF(AND(BH$2&lt;&gt;0,TblTech[[#This Row],[Hour]:[Hour]]&gt;=BH$2),1,0)</calculatedColumnFormula>
    </tableColumn>
    <tableColumn id="71" xr3:uid="{DBF8F56A-2B38-47BE-86BB-D34F12B071FA}" name="6-4" dataDxfId="155">
      <calculatedColumnFormula array="1">IF(AND(BI$2&lt;&gt;0,TblTech[[#This Row],[Hour]:[Hour]]&gt;=BI$2),1,0)</calculatedColumnFormula>
    </tableColumn>
    <tableColumn id="72" xr3:uid="{8A63D20A-B735-48C5-9D04-93C0E6922380}" name="6-5" dataDxfId="154">
      <calculatedColumnFormula array="1">IF(AND(BJ$2&lt;&gt;0,TblTech[[#This Row],[Hour]:[Hour]]&gt;=BJ$2),1,0)</calculatedColumnFormula>
    </tableColumn>
    <tableColumn id="73" xr3:uid="{40ABCA6E-09C4-437C-8184-D2AA8A46BADC}" name="6-6" dataDxfId="153">
      <calculatedColumnFormula array="1">IF(AND(BK$2&lt;&gt;0,TblTech[[#This Row],[Hour]:[Hour]]&gt;=BK$2),1,0)</calculatedColumnFormula>
    </tableColumn>
    <tableColumn id="74" xr3:uid="{304D27FC-5054-456F-9FA0-3E170324E735}" name="7-1" dataDxfId="152">
      <calculatedColumnFormula array="1">IF(AND(BL$2&lt;&gt;0,TblTech[[#This Row],[Hour]:[Hour]]&gt;=BL$2),1,0)</calculatedColumnFormula>
    </tableColumn>
    <tableColumn id="75" xr3:uid="{F53A9B26-BE5F-4442-9E77-570EB38C7B2D}" name="7-2" dataDxfId="151">
      <calculatedColumnFormula array="1">IF(AND(BM$2&lt;&gt;0,TblTech[[#This Row],[Hour]:[Hour]]&gt;=BM$2),1,0)</calculatedColumnFormula>
    </tableColumn>
    <tableColumn id="76" xr3:uid="{5A1C0BCB-6C77-48A3-8B36-DA0838BEFD4F}" name="7-3" dataDxfId="150">
      <calculatedColumnFormula array="1">IF(AND(BN$2&lt;&gt;0,TblTech[[#This Row],[Hour]:[Hour]]&gt;=BN$2),1,0)</calculatedColumnFormula>
    </tableColumn>
    <tableColumn id="77" xr3:uid="{96D50B4B-A1C4-4AE1-87EE-409B3128CB4D}" name="7-4" dataDxfId="149">
      <calculatedColumnFormula array="1">IF(AND(BO$2&lt;&gt;0,TblTech[[#This Row],[Hour]:[Hour]]&gt;=BO$2),1,0)</calculatedColumnFormula>
    </tableColumn>
    <tableColumn id="78" xr3:uid="{64A36F5D-65DB-44C8-84EC-A1A1FFF2B3AB}" name="7-5" dataDxfId="148">
      <calculatedColumnFormula array="1">IF(AND(BP$2&lt;&gt;0,TblTech[[#This Row],[Hour]:[Hour]]&gt;=BP$2),1,0)</calculatedColumnFormula>
    </tableColumn>
    <tableColumn id="79" xr3:uid="{73D8C7B5-D3FC-4DB3-BB3C-6A056F59A2A0}" name="8-1" dataDxfId="147">
      <calculatedColumnFormula array="1">IF(AND(BQ$2&lt;&gt;0,TblTech[[#This Row],[Hour]:[Hour]]&gt;=BQ$2),1,0)</calculatedColumnFormula>
    </tableColumn>
    <tableColumn id="80" xr3:uid="{8C8F01C9-13ED-4ABA-B4ED-5D892B20A077}" name="8-2" dataDxfId="146">
      <calculatedColumnFormula array="1">IF(AND(BR$2&lt;&gt;0,TblTech[[#This Row],[Hour]:[Hour]]&gt;=BR$2),1,0)</calculatedColumnFormula>
    </tableColumn>
    <tableColumn id="81" xr3:uid="{954DF58F-2216-42C3-A4F3-4A1B568C8A7F}" name="8-3" dataDxfId="145">
      <calculatedColumnFormula array="1">IF(AND(BS$2&lt;&gt;0,TblTech[[#This Row],[Hour]:[Hour]]&gt;=BS$2),1,0)</calculatedColumnFormula>
    </tableColumn>
    <tableColumn id="82" xr3:uid="{941FAEC7-7D7C-4C75-9F8E-BB3469E2F29F}" name="8-4" dataDxfId="144">
      <calculatedColumnFormula array="1">IF(AND(BT$2&lt;&gt;0,TblTech[[#This Row],[Hour]:[Hour]]&gt;=BT$2),1,0)</calculatedColumnFormula>
    </tableColumn>
    <tableColumn id="83" xr3:uid="{27C9395E-8B81-4CBA-8523-A330679CAE04}" name="9-1" dataDxfId="143">
      <calculatedColumnFormula array="1">IF(AND(BU$2&lt;&gt;0,TblTech[[#This Row],[Hour]:[Hour]]&gt;=BU$2),1,0)</calculatedColumnFormula>
    </tableColumn>
    <tableColumn id="84" xr3:uid="{90667EBE-7747-4976-9947-BD9386AEC90C}" name="9-2" dataDxfId="142">
      <calculatedColumnFormula array="1">IF(AND(BV$2&lt;&gt;0,TblTech[[#This Row],[Hour]:[Hour]]&gt;=BV$2),1,0)</calculatedColumnFormula>
    </tableColumn>
    <tableColumn id="85" xr3:uid="{8AA93356-F62A-4D0B-B2F8-5CADB2567ECF}" name="9-3" dataDxfId="141">
      <calculatedColumnFormula array="1">IF(AND(BW$2&lt;&gt;0,TblTech[[#This Row],[Hour]:[Hour]]&gt;=BW$2),1,0)</calculatedColumnFormula>
    </tableColumn>
    <tableColumn id="86" xr3:uid="{C66AB8D9-7BBC-415A-8732-B5DF0FF2495D}" name="10-1" dataDxfId="140">
      <calculatedColumnFormula array="1">IF(AND(BX$2&lt;&gt;0,TblTech[[#This Row],[Hour]:[Hour]]&gt;=BX$2),1,0)</calculatedColumnFormula>
    </tableColumn>
    <tableColumn id="87" xr3:uid="{13FA2B9A-3F31-4A51-9E2B-753CC6C8AA88}" name="10-2" dataDxfId="139">
      <calculatedColumnFormula array="1">IF(AND(BY$2&lt;&gt;0,TblTech[[#This Row],[Hour]:[Hour]]&gt;=BY$2),1,0)</calculatedColumnFormula>
    </tableColumn>
    <tableColumn id="88" xr3:uid="{D4F65702-E3D7-4783-B103-20F8DD7E4532}" name="11-1" dataDxfId="138">
      <calculatedColumnFormula array="1">IF(AND(BZ$2&lt;&gt;0,TblTech[[#This Row],[Hour]:[Hour]]&gt;=BZ$2),1,0)</calculatedColumnFormula>
    </tableColumn>
    <tableColumn id="89" xr3:uid="{0428044E-0525-4B76-80C9-2D449BDFDA1D}" name="Tech" dataDxfId="137">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5" dataDxfId="123" headerRowBorderDxfId="124" tableBorderDxfId="122">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21">
      <calculatedColumnFormula>TblConstr[[#This Row],[Land]]</calculatedColumnFormula>
    </tableColumn>
    <tableColumn id="2" xr3:uid="{AF6EC8F3-9D95-46FD-B967-FAAF3638AE73}" name="." dataDxfId="120"/>
    <tableColumn id="3" xr3:uid="{FF282ACC-05AC-4142-89E7-09EE52E6FD72}" name="Platinum" dataDxfId="119">
      <calculatedColumnFormula>TblProd[[#This Row],[Platinum]]</calculatedColumnFormula>
    </tableColumn>
    <tableColumn id="4" xr3:uid="{F2178B14-2531-41FE-8DC7-F919571A183A}" name="Lumber" dataDxfId="118">
      <calculatedColumnFormula>TblProd[[#This Row],[Lumber]]</calculatedColumnFormula>
    </tableColumn>
    <tableColumn id="5" xr3:uid="{E437C993-EDEE-4BB3-942B-73180B524B81}" name="Ore" dataDxfId="117">
      <calculatedColumnFormula>TblProd[[#This Row],[Ore]]</calculatedColumnFormula>
    </tableColumn>
    <tableColumn id="6" xr3:uid="{C515063B-AE7C-4BAF-93AB-7443CE68AC54}" name="Gems" dataDxfId="116">
      <calculatedColumnFormula>TblProd[[#This Row],[Gems]]</calculatedColumnFormula>
    </tableColumn>
    <tableColumn id="7" xr3:uid="{935F3905-1AC4-42EE-8A78-476F2F815DFD}" name=".." dataDxfId="115"/>
    <tableColumn id="8" xr3:uid="{A8E01FC0-2F13-4C73-B50D-1FA1083B0FFA}" name="Drafees" dataDxfId="114">
      <calculatedColumnFormula>TblMili[[#This Row],[Draftees]]</calculatedColumnFormula>
    </tableColumn>
    <tableColumn id="9" xr3:uid="{FF70B178-883B-4FA3-B446-2BB364451655}" name="Employed" dataDxfId="113" dataCellStyle="Percent">
      <calculatedColumnFormula>TblPop[[#This Row],[Employment]]</calculatedColumnFormula>
    </tableColumn>
    <tableColumn id="10" xr3:uid="{8AB351E3-8FED-4F8D-951B-AA2D279B0091}" name="Population" dataDxfId="112" dataCellStyle="Percent">
      <calculatedColumnFormula>TblPop[[#This Row],[Total]]/TblPop[[#This Row],[Net max]]</calculatedColumnFormula>
    </tableColumn>
    <tableColumn id="11" xr3:uid="{3D13675F-4203-4882-AC02-B7629E90679D}" name="Hour" dataDxfId="111" dataCellStyle="Percent">
      <calculatedColumnFormula>TblRezone[[#This Row],[Hour]]</calculatedColumnFormula>
    </tableColumn>
    <tableColumn id="12" xr3:uid="{50E3FF0B-DB5B-4715-971A-2D8F804DD3F4}" name="Time" dataDxfId="110" dataCellStyle="Percent">
      <calculatedColumnFormula>TblImps[[#This Row],[Real time]]</calculatedColumnFormula>
    </tableColumn>
    <tableColumn id="13" xr3:uid="{33373A28-E349-4A6C-946C-A172D9829897}" name="Login" dataDxfId="109">
      <calculatedColumnFormula>IF(ISERROR(TblImps[[#This Row],[algorithm]]),0,TblImps[[#This Row],[algorithm]]*1)</calculatedColumnFormula>
    </tableColumn>
    <tableColumn id="14" xr3:uid="{820813AE-0D29-4E3D-B99A-7C5B810B4DA6}" name="Land (3)" dataDxfId="108">
      <calculatedColumnFormula>TblImps[[#This Row],[Land]]</calculatedColumnFormula>
    </tableColumn>
    <tableColumn id="15" xr3:uid="{D8234223-045A-48CE-8E60-8B1B718D1273}" name="Resource" dataDxfId="107"/>
    <tableColumn id="16" xr3:uid="{9AB57DEC-DF25-44AD-97D1-1EF820C63FF2}" name="Amount" dataDxfId="106"/>
    <tableColumn id="17" xr3:uid="{1ECA1762-52EB-4370-862C-42E5B7F71087}" name="Part" dataDxfId="105"/>
    <tableColumn id="18" xr3:uid="{45AD7F60-4F2F-47B2-8046-04C9C5A445EE}" name="Resource 2" dataDxfId="104"/>
    <tableColumn id="19" xr3:uid="{1D8720C7-5940-4FF1-AF3B-FB70E475E9BA}" name="Amount 2" dataDxfId="103"/>
    <tableColumn id="20" xr3:uid="{1AF884E5-0A32-404F-8142-8BDFCA31C5EF}" name="Part 2" dataDxfId="102"/>
    <tableColumn id="21" xr3:uid="{FFCC36EF-B2F1-46BE-827C-260D53435D8F}" name="Resource 3" dataDxfId="101"/>
    <tableColumn id="22" xr3:uid="{AAD98AF1-A248-4594-A8A2-ADB665DABE8F}" name="Amount 3" dataDxfId="100"/>
    <tableColumn id="23" xr3:uid="{5BDF5795-C792-45A5-AC6D-35BE17C06BBC}" name="Part 3" dataDxfId="99"/>
    <tableColumn id="24" xr3:uid="{AB1402EA-4B4E-4F7F-B76D-14CCFC4BF881}" name="…" dataDxfId="98"/>
    <tableColumn id="25" xr3:uid="{C82B3C56-E90F-4536-A41D-465C61544B49}" name="Science" dataDxfId="97">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6">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5">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4">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3">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2">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91"/>
    <tableColumn id="32" xr3:uid="{C7C4061A-6DA9-4687-A437-B442C90A5089}" name="Σ Science" dataDxfId="90">
      <calculatedColumnFormula>(1+Overview!$I$28)*SUM(TblImps[[#This Row],[P2]:[G2]])+OFFSET(TblImps[[#This Row],[Σ Science]],-1,0)</calculatedColumnFormula>
    </tableColumn>
    <tableColumn id="33" xr3:uid="{87424BBC-4CC9-4173-85AC-5C6A6ECFFB84}" name="Σ Keep" dataDxfId="89">
      <calculatedColumnFormula>(1+Overview!$I$28)*SUM(TblImps[[#This Row],[P3]:[G3]])+OFFSET(TblImps[[#This Row],[Σ Keep]],-1,0)</calculatedColumnFormula>
    </tableColumn>
    <tableColumn id="34" xr3:uid="{3DB81FE6-4CBC-4F36-973D-C8F8D1BD09A1}" name="Σ Spires" dataDxfId="88">
      <calculatedColumnFormula>(1+Overview!$I$28 + tech_7_1*TblTech[[#This Row],[7-1]])*SUM(TblImps[[#This Row],[P4]:[G4]])+OFFSET(TblImps[[#This Row],[Σ Spires]],-1,0)</calculatedColumnFormula>
    </tableColumn>
    <tableColumn id="35" xr3:uid="{485A62F9-7EE3-40A9-BDA7-9F3E4E3EC0E1}" name="Σ Forges" dataDxfId="87">
      <calculatedColumnFormula>(1+Overview!$I$28)*SUM(TblImps[[#This Row],[P5]:[G5]])+OFFSET(TblImps[[#This Row],[Σ Forges]],-1,0)</calculatedColumnFormula>
    </tableColumn>
    <tableColumn id="36" xr3:uid="{CEDFD8F7-5AA6-4236-AE0F-14B6F23AE524}" name="Σ Walls" dataDxfId="86">
      <calculatedColumnFormula>(1+Overview!$I$28)*SUM(TblImps[[#This Row],[P6]:[G6]])+OFFSET(TblImps[[#This Row],[Σ Walls]],-1,0)</calculatedColumnFormula>
    </tableColumn>
    <tableColumn id="37" xr3:uid="{1C140D1F-1021-4314-82BD-7176A05B078C}" name="Σ Harbor" dataDxfId="85">
      <calculatedColumnFormula>(1+Overview!$I$28 + tech_7_1*TblTech[[#This Row],[7-1]])*SUM(TblImps[[#This Row],[P7]:[G7]])+OFFSET(TblImps[[#This Row],[Σ Harbor]],-1,0)</calculatedColumnFormula>
    </tableColumn>
    <tableColumn id="38" xr3:uid="{808772B5-D74B-4C2E-9369-56BA268972E4}" name="….." dataDxfId="84"/>
    <tableColumn id="39" xr3:uid="{A732ACBF-AEA8-4BC8-8A5C-C0F5525B84B4}" name="P1" dataDxfId="83">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2">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1">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80">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9"/>
    <tableColumn id="44" xr3:uid="{B4E4C91D-5302-4D99-9223-7DC08C0F56E2}" name="P2" dataDxfId="78">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7">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6">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5">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4"/>
    <tableColumn id="49" xr3:uid="{2713D17E-C072-4464-ACFB-1E3B4E4768C8}" name="P3" dataDxfId="73">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2">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1">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70">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9"/>
    <tableColumn id="54" xr3:uid="{60744F8B-EA90-4F3F-908D-1DBF81E4FBBC}" name="P4" dataDxfId="68">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7">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6">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5">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4"/>
    <tableColumn id="59" xr3:uid="{7CAD4FEB-38C3-4ECC-9BB4-566F90D38057}" name="P5" dataDxfId="63">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2">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1">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60">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9"/>
    <tableColumn id="64" xr3:uid="{74BD3EE9-84CB-4606-9851-F46947A6E124}" name="P6" dataDxfId="58">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7">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6">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5">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4"/>
    <tableColumn id="69" xr3:uid="{C84893E8-5E85-463B-9E51-879ADAA64B83}" name="P7" dataDxfId="53">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2">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51">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50">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9"/>
    <tableColumn id="74" xr3:uid="{5E81B67E-95F1-40DA-AE37-BCD09DA9E039}" name="algorithm" dataDxfId="48">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7">
      <calculatedColumnFormula>TblImps[[#This Row],[Login]]</calculatedColumnFormula>
    </tableColumn>
    <tableColumn id="76" xr3:uid="{373275D8-3CBB-4F26-950F-26616E92A24E}" name="….........." dataDxfId="46"/>
    <tableColumn id="77" xr3:uid="{E49F0585-8289-43E9-991C-7685E6B37B5A}" name="Real time" dataDxfId="45">
      <calculatedColumnFormula>OFFSET(TblImps[[#This Row],[Real time]],-1,0)+1/24</calculatedColumnFormula>
    </tableColumn>
    <tableColumn id="78" xr3:uid="{9298E765-5AD3-4871-BC34-97C5588F3D7E}" name="Servertime" dataDxfId="44">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3" dataDxfId="42">
  <autoFilter ref="B2:E23" xr:uid="{D5B14ACA-C49B-4874-B495-C20CC986FF5C}"/>
  <tableColumns count="4">
    <tableColumn id="1" xr3:uid="{FDF1E222-5EC6-4F67-8D2F-219358D518C5}" name="Stats" dataDxfId="41"/>
    <tableColumn id="9" xr3:uid="{92C958C2-2DCD-4CDD-88AA-98294134A916}" name="Abbr" dataDxfId="40"/>
    <tableColumn id="2" xr3:uid="{1E0B1FDB-30FB-48CA-BD3D-8DF2FCB4975C}" name="Number" dataDxfId="39">
      <calculatedColumnFormula>_xlfn.IFNA(INDEX(TblConstr[],MATCH(Log!$I$28,TblConstr[Hour],0),MATCH(TblStats[[#This Row],[Abbr]],TblConstr[#Headers],0)),0)</calculatedColumnFormula>
    </tableColumn>
    <tableColumn id="3" xr3:uid="{ADBF0C8B-030F-4EBA-8274-EAA1CE134BB1}" name="Percent" dataDxfId="38"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36" dataDxfId="35" tableBorderDxfId="34">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3"/>
    <tableColumn id="2" xr3:uid="{00000000-0010-0000-0100-000002000000}" name="Alignment" dataDxfId="32"/>
    <tableColumn id="3" xr3:uid="{00000000-0010-0000-0100-000003000000}" name="Homeland_Type" dataDxfId="31"/>
    <tableColumn id="4" xr3:uid="{00000000-0010-0000-0100-000004000000}" name="Unitname" dataDxfId="30"/>
    <tableColumn id="5" xr3:uid="{00000000-0010-0000-0100-000005000000}" name="OffensePwr" dataDxfId="29"/>
    <tableColumn id="6" xr3:uid="{00000000-0010-0000-0100-000006000000}" name="DefensePwr" dataDxfId="28"/>
    <tableColumn id="7" xr3:uid="{00000000-0010-0000-0100-000007000000}" name="Platcost" dataDxfId="27"/>
    <tableColumn id="8" xr3:uid="{00000000-0010-0000-0100-000008000000}" name="Orecost" dataDxfId="26"/>
    <tableColumn id="9" xr3:uid="{00000000-0010-0000-0100-000009000000}" name="Networth" dataDxfId="25"/>
    <tableColumn id="12" xr3:uid="{00000000-0010-0000-0100-00000C000000}" name="Max population" dataDxfId="24"/>
    <tableColumn id="13" xr3:uid="{00000000-0010-0000-0100-00000D000000}" name="Pop growth" dataDxfId="23"/>
    <tableColumn id="14" xr3:uid="{00000000-0010-0000-0100-00000E000000}" name="Platinum prod" dataDxfId="22"/>
    <tableColumn id="15" xr3:uid="{00000000-0010-0000-0100-00000F000000}" name="Food prod" dataDxfId="21"/>
    <tableColumn id="16" xr3:uid="{00000000-0010-0000-0100-000010000000}" name="Lumber prod" dataDxfId="20"/>
    <tableColumn id="17" xr3:uid="{00000000-0010-0000-0100-000011000000}" name="Mana prod" dataDxfId="19"/>
    <tableColumn id="18" xr3:uid="{00000000-0010-0000-0100-000012000000}" name="Ore prod" dataDxfId="18"/>
    <tableColumn id="19" xr3:uid="{00000000-0010-0000-0100-000013000000}" name="Gem prod" dataDxfId="17"/>
    <tableColumn id="20" xr3:uid="{00000000-0010-0000-0100-000014000000}" name="Food cons" dataDxfId="16"/>
    <tableColumn id="21" xr3:uid="{00000000-0010-0000-0100-000015000000}" name="Defense" dataDxfId="15"/>
    <tableColumn id="22" xr3:uid="{00000000-0010-0000-0100-000016000000}" name="Offense" dataDxfId="14"/>
    <tableColumn id="23" xr3:uid="{00000000-0010-0000-0100-000017000000}" name="Spy strength" dataDxfId="13"/>
    <tableColumn id="24" xr3:uid="{00000000-0010-0000-0100-000018000000}" name="Wizard strength" dataDxfId="12"/>
    <tableColumn id="25" xr3:uid="{00000000-0010-0000-0100-000019000000}" name="Invest bonus" dataDxfId="11"/>
    <tableColumn id="26" xr3:uid="{00000000-0010-0000-0100-00001A000000}" name="Rezone Cost" dataDxfId="10" dataCellStyle="Percent"/>
    <tableColumn id="27" xr3:uid="{00000000-0010-0000-0100-00001B000000}" name="Construction Cost" dataDxfId="9"/>
    <tableColumn id="28" xr3:uid="{00000000-0010-0000-0100-00001C000000}" name="Research" dataDxfId="8"/>
    <tableColumn id="10" xr3:uid="{93A4F69F-9C60-42FB-B0E6-B78AAB579797}" name="Explore Cost" dataDxfId="7"/>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6" dataDxfId="5">
  <autoFilter ref="D94:D100" xr:uid="{00000000-0009-0000-0100-000002000000}"/>
  <tableColumns count="1">
    <tableColumn id="1" xr3:uid="{00000000-0010-0000-0200-000001000000}" name="waves:" dataDxfId="4"/>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9" t="s">
        <v>450</v>
      </c>
      <c r="B1" s="459"/>
      <c r="C1" s="459"/>
      <c r="D1" s="459"/>
      <c r="E1" s="459"/>
      <c r="F1" s="459"/>
      <c r="G1" s="459"/>
      <c r="H1" s="459"/>
      <c r="I1" s="459"/>
      <c r="J1" s="459"/>
      <c r="K1" s="459"/>
      <c r="L1" s="460"/>
      <c r="M1" s="466" t="s">
        <v>1044</v>
      </c>
      <c r="N1" s="467"/>
      <c r="O1" s="468"/>
    </row>
    <row r="2" spans="1:15" s="44" customFormat="1" ht="12.75" customHeight="1" x14ac:dyDescent="0.2">
      <c r="A2" s="493" t="s">
        <v>1084</v>
      </c>
      <c r="B2" s="494"/>
      <c r="C2" s="494"/>
      <c r="D2" s="494"/>
      <c r="E2" s="494"/>
      <c r="F2" s="494"/>
      <c r="G2" s="494"/>
      <c r="H2" s="494"/>
      <c r="I2" s="494"/>
      <c r="J2" s="494"/>
      <c r="K2" s="494"/>
      <c r="L2" s="495"/>
      <c r="M2" s="481" t="s">
        <v>1115</v>
      </c>
      <c r="N2" s="482"/>
      <c r="O2" s="483"/>
    </row>
    <row r="3" spans="1:15" s="44" customFormat="1" x14ac:dyDescent="0.2">
      <c r="A3" s="493"/>
      <c r="B3" s="494"/>
      <c r="C3" s="494"/>
      <c r="D3" s="494"/>
      <c r="E3" s="494"/>
      <c r="F3" s="494"/>
      <c r="G3" s="494"/>
      <c r="H3" s="494"/>
      <c r="I3" s="494"/>
      <c r="J3" s="494"/>
      <c r="K3" s="494"/>
      <c r="L3" s="495"/>
      <c r="M3" s="481"/>
      <c r="N3" s="482"/>
      <c r="O3" s="483"/>
    </row>
    <row r="4" spans="1:15" s="44" customFormat="1" x14ac:dyDescent="0.2">
      <c r="A4" s="493"/>
      <c r="B4" s="494"/>
      <c r="C4" s="494"/>
      <c r="D4" s="494"/>
      <c r="E4" s="494"/>
      <c r="F4" s="494"/>
      <c r="G4" s="494"/>
      <c r="H4" s="494"/>
      <c r="I4" s="494"/>
      <c r="J4" s="494"/>
      <c r="K4" s="494"/>
      <c r="L4" s="495"/>
      <c r="M4" s="481"/>
      <c r="N4" s="482"/>
      <c r="O4" s="483"/>
    </row>
    <row r="5" spans="1:15" s="44" customFormat="1" x14ac:dyDescent="0.2">
      <c r="A5" s="493"/>
      <c r="B5" s="494"/>
      <c r="C5" s="494"/>
      <c r="D5" s="494"/>
      <c r="E5" s="494"/>
      <c r="F5" s="494"/>
      <c r="G5" s="494"/>
      <c r="H5" s="494"/>
      <c r="I5" s="494"/>
      <c r="J5" s="494"/>
      <c r="K5" s="494"/>
      <c r="L5" s="495"/>
      <c r="M5" s="481"/>
      <c r="N5" s="482"/>
      <c r="O5" s="483"/>
    </row>
    <row r="6" spans="1:15" s="44" customFormat="1" x14ac:dyDescent="0.2">
      <c r="A6" s="493"/>
      <c r="B6" s="494"/>
      <c r="C6" s="494"/>
      <c r="D6" s="494"/>
      <c r="E6" s="494"/>
      <c r="F6" s="494"/>
      <c r="G6" s="494"/>
      <c r="H6" s="494"/>
      <c r="I6" s="494"/>
      <c r="J6" s="494"/>
      <c r="K6" s="494"/>
      <c r="L6" s="495"/>
      <c r="M6" s="481"/>
      <c r="N6" s="482"/>
      <c r="O6" s="483"/>
    </row>
    <row r="7" spans="1:15" s="44" customFormat="1" ht="13.5" thickBot="1" x14ac:dyDescent="0.25">
      <c r="A7" s="496"/>
      <c r="B7" s="497"/>
      <c r="C7" s="497"/>
      <c r="D7" s="497"/>
      <c r="E7" s="497"/>
      <c r="F7" s="497"/>
      <c r="G7" s="497"/>
      <c r="H7" s="497"/>
      <c r="I7" s="497"/>
      <c r="J7" s="497"/>
      <c r="K7" s="497"/>
      <c r="L7" s="498"/>
      <c r="M7" s="481"/>
      <c r="N7" s="482"/>
      <c r="O7" s="483"/>
    </row>
    <row r="8" spans="1:15" s="44" customFormat="1" ht="15.75" x14ac:dyDescent="0.2">
      <c r="A8" s="461" t="s">
        <v>449</v>
      </c>
      <c r="B8" s="462"/>
      <c r="C8" s="462"/>
      <c r="D8" s="462"/>
      <c r="E8" s="462"/>
      <c r="F8" s="462"/>
      <c r="G8" s="462"/>
      <c r="H8" s="462"/>
      <c r="I8" s="463"/>
      <c r="J8" s="469" t="s">
        <v>1121</v>
      </c>
      <c r="K8" s="470"/>
      <c r="L8" s="471"/>
      <c r="M8" s="484"/>
      <c r="N8" s="485"/>
      <c r="O8" s="486"/>
    </row>
    <row r="9" spans="1:15" s="44" customFormat="1" ht="12.75" customHeight="1" x14ac:dyDescent="0.2">
      <c r="A9" s="464" t="s">
        <v>1043</v>
      </c>
      <c r="B9" s="465"/>
      <c r="C9" s="465"/>
      <c r="D9" s="465"/>
      <c r="E9" s="465"/>
      <c r="F9" s="465"/>
      <c r="G9" s="465"/>
      <c r="H9" s="465"/>
      <c r="I9" s="465"/>
      <c r="J9" s="472"/>
      <c r="K9" s="473"/>
      <c r="L9" s="474"/>
      <c r="M9" s="484"/>
      <c r="N9" s="485"/>
      <c r="O9" s="486"/>
    </row>
    <row r="10" spans="1:15" s="44" customFormat="1" ht="12.75" customHeight="1" x14ac:dyDescent="0.2">
      <c r="A10" s="464"/>
      <c r="B10" s="465"/>
      <c r="C10" s="465"/>
      <c r="D10" s="465"/>
      <c r="E10" s="465"/>
      <c r="F10" s="465"/>
      <c r="G10" s="465"/>
      <c r="H10" s="465"/>
      <c r="I10" s="465"/>
      <c r="J10" s="472"/>
      <c r="K10" s="473"/>
      <c r="L10" s="474"/>
      <c r="M10" s="484"/>
      <c r="N10" s="485"/>
      <c r="O10" s="486"/>
    </row>
    <row r="11" spans="1:15" s="44" customFormat="1" ht="12.75" customHeight="1" x14ac:dyDescent="0.2">
      <c r="A11" s="464"/>
      <c r="B11" s="465"/>
      <c r="C11" s="465"/>
      <c r="D11" s="465"/>
      <c r="E11" s="465"/>
      <c r="F11" s="465"/>
      <c r="G11" s="465"/>
      <c r="H11" s="465"/>
      <c r="I11" s="465"/>
      <c r="J11" s="472"/>
      <c r="K11" s="473"/>
      <c r="L11" s="474"/>
      <c r="M11" s="484"/>
      <c r="N11" s="485"/>
      <c r="O11" s="486"/>
    </row>
    <row r="12" spans="1:15" s="44" customFormat="1" ht="28.5" customHeight="1" thickBot="1" x14ac:dyDescent="0.25">
      <c r="A12" s="464"/>
      <c r="B12" s="465"/>
      <c r="C12" s="465"/>
      <c r="D12" s="465"/>
      <c r="E12" s="465"/>
      <c r="F12" s="465"/>
      <c r="G12" s="465"/>
      <c r="H12" s="465"/>
      <c r="I12" s="465"/>
      <c r="J12" s="475"/>
      <c r="K12" s="476"/>
      <c r="L12" s="477"/>
      <c r="M12" s="487"/>
      <c r="N12" s="488"/>
      <c r="O12" s="489"/>
    </row>
    <row r="13" spans="1:15" s="44" customFormat="1" ht="25.5" customHeight="1" thickBot="1" x14ac:dyDescent="0.25">
      <c r="A13" s="490" t="s">
        <v>257</v>
      </c>
      <c r="B13" s="491"/>
      <c r="C13" s="492"/>
      <c r="D13" s="492"/>
      <c r="E13" s="492"/>
      <c r="F13" s="492"/>
      <c r="G13" s="492"/>
      <c r="H13" s="492"/>
      <c r="I13" s="492"/>
      <c r="J13" s="492"/>
      <c r="K13" s="492"/>
      <c r="L13" s="492"/>
      <c r="M13" s="492"/>
      <c r="N13" s="492"/>
      <c r="O13" s="492"/>
    </row>
    <row r="14" spans="1:15" s="52" customFormat="1" ht="12.75" customHeight="1" x14ac:dyDescent="0.2">
      <c r="A14" s="45" t="s">
        <v>28</v>
      </c>
      <c r="B14" s="133" t="s">
        <v>89</v>
      </c>
      <c r="C14" s="46"/>
      <c r="D14" s="47" t="s">
        <v>322</v>
      </c>
      <c r="E14" s="47" t="s">
        <v>773</v>
      </c>
      <c r="F14" s="44"/>
      <c r="G14" s="44"/>
      <c r="H14" s="47" t="s">
        <v>486</v>
      </c>
      <c r="I14" s="48" t="s">
        <v>207</v>
      </c>
      <c r="J14" s="49"/>
      <c r="K14" s="50"/>
      <c r="L14" s="44"/>
      <c r="M14" s="44"/>
      <c r="N14" s="44"/>
      <c r="O14" s="51"/>
    </row>
    <row r="15" spans="1:15" s="44" customFormat="1" ht="12.75" customHeight="1" x14ac:dyDescent="0.2">
      <c r="A15" s="45" t="s">
        <v>447</v>
      </c>
      <c r="B15" s="134">
        <v>45458</v>
      </c>
      <c r="D15" s="45" t="s">
        <v>323</v>
      </c>
      <c r="E15" s="53">
        <f>B15+(1+B16-1)/24+B18-0/24</f>
        <v>45458</v>
      </c>
      <c r="H15" s="45" t="s">
        <v>164</v>
      </c>
      <c r="I15" s="54">
        <f>INDEX(TblRaces[[Max population]:[Explore Cost]],MATCH(race,TblRaces[Race],0),MATCH(Table4[[#This Row],[Race Bonuses]],TblRaces[[#Headers],[Max population]:[Explore Cost]],0))</f>
        <v>0</v>
      </c>
      <c r="K15" s="50" t="s">
        <v>426</v>
      </c>
      <c r="O15" s="51"/>
    </row>
    <row r="16" spans="1:15" s="44" customFormat="1" ht="12.75" customHeight="1" thickBot="1" x14ac:dyDescent="0.25">
      <c r="A16" s="45" t="s">
        <v>319</v>
      </c>
      <c r="B16" s="135">
        <v>0</v>
      </c>
      <c r="C16" s="44" t="s">
        <v>526</v>
      </c>
      <c r="D16" s="45" t="s">
        <v>316</v>
      </c>
      <c r="E16" s="53">
        <f ca="1">NOW()</f>
        <v>45450.425720486113</v>
      </c>
      <c r="H16" s="45" t="s">
        <v>105</v>
      </c>
      <c r="I16" s="54">
        <f>INDEX(TblRaces[[Max population]:[Explore Cost]],MATCH(race,TblRaces[Race],0),MATCH(Table4[[#This Row],[Race Bonuses]],TblRaces[[#Headers],[Max population]:[Explore Cost]],0))</f>
        <v>0</v>
      </c>
      <c r="K16" s="457" t="s">
        <v>451</v>
      </c>
      <c r="L16" s="456"/>
      <c r="M16" s="456"/>
      <c r="N16" s="456"/>
      <c r="O16" s="51"/>
    </row>
    <row r="17" spans="1:15" s="44" customFormat="1" ht="12.75" customHeight="1" thickBot="1" x14ac:dyDescent="0.25">
      <c r="A17" s="45" t="s">
        <v>320</v>
      </c>
      <c r="B17" s="55">
        <f ca="1">TODAY()</f>
        <v>45450</v>
      </c>
      <c r="C17" s="56"/>
      <c r="D17" s="45" t="s">
        <v>315</v>
      </c>
      <c r="E17" s="57">
        <f>0+Log!P16</f>
        <v>0</v>
      </c>
      <c r="F17" s="58"/>
      <c r="G17" s="58"/>
      <c r="H17" s="45" t="s">
        <v>161</v>
      </c>
      <c r="I17" s="54">
        <f>INDEX(TblRaces[[Max population]:[Explore Cost]],MATCH(race,TblRaces[Race],0),MATCH(Table4[[#This Row],[Race Bonuses]],TblRaces[[#Headers],[Max population]:[Explore Cost]],0))</f>
        <v>0</v>
      </c>
      <c r="J17" s="49"/>
      <c r="K17" s="456"/>
      <c r="L17" s="456"/>
      <c r="M17" s="456"/>
      <c r="N17" s="456"/>
      <c r="O17" s="51"/>
    </row>
    <row r="18" spans="1:15" s="44" customFormat="1" ht="12.75" customHeight="1" thickBot="1" x14ac:dyDescent="0.25">
      <c r="A18" s="59" t="s">
        <v>500</v>
      </c>
      <c r="B18" s="136">
        <v>0</v>
      </c>
      <c r="C18" s="56"/>
      <c r="D18" s="45" t="s">
        <v>317</v>
      </c>
      <c r="E18" s="57" t="e">
        <f ca="1">IF(INDIRECT("Imps!L"&amp;TEXT(E17+3,0)),"Yes","Nope")</f>
        <v>#VALUE!</v>
      </c>
      <c r="H18" s="45" t="s">
        <v>107</v>
      </c>
      <c r="I18" s="54">
        <f>INDEX(TblRaces[[Max population]:[Explore Cost]],MATCH(race,TblRaces[Race],0),MATCH(Table4[[#This Row],[Race Bonuses]],TblRaces[[#Headers],[Max population]:[Explore Cost]],0))</f>
        <v>0.05</v>
      </c>
      <c r="J18" s="49"/>
      <c r="K18" s="456"/>
      <c r="L18" s="456"/>
      <c r="M18" s="456"/>
      <c r="N18" s="456"/>
      <c r="O18" s="51"/>
    </row>
    <row r="19" spans="1:15" s="44" customFormat="1" x14ac:dyDescent="0.2">
      <c r="H19" s="45" t="s">
        <v>108</v>
      </c>
      <c r="I19" s="54">
        <f>INDEX(TblRaces[[Max population]:[Explore Cost]],MATCH(race,TblRaces[Race],0),MATCH(Table4[[#This Row],[Race Bonuses]],TblRaces[[#Headers],[Max population]:[Explore Cost]],0))</f>
        <v>0</v>
      </c>
      <c r="J19" s="49"/>
      <c r="K19" s="456"/>
      <c r="L19" s="456"/>
      <c r="M19" s="456"/>
      <c r="N19" s="456"/>
      <c r="O19" s="60"/>
    </row>
    <row r="20" spans="1:15" s="44" customFormat="1" x14ac:dyDescent="0.2">
      <c r="H20" s="45" t="s">
        <v>109</v>
      </c>
      <c r="I20" s="54">
        <f>INDEX(TblRaces[[Max population]:[Explore Cost]],MATCH(race,TblRaces[Race],0),MATCH(Table4[[#This Row],[Race Bonuses]],TblRaces[[#Headers],[Max population]:[Explore Cost]],0))</f>
        <v>0</v>
      </c>
      <c r="J20" s="49"/>
      <c r="K20" s="456"/>
      <c r="L20" s="456"/>
      <c r="M20" s="456"/>
      <c r="N20" s="456"/>
      <c r="O20" s="60"/>
    </row>
    <row r="21" spans="1:15" s="44" customFormat="1" x14ac:dyDescent="0.2">
      <c r="A21" s="5" t="s">
        <v>318</v>
      </c>
      <c r="B21" s="61" t="s">
        <v>31</v>
      </c>
      <c r="C21" s="61" t="s">
        <v>32</v>
      </c>
      <c r="D21" s="61" t="s">
        <v>2</v>
      </c>
      <c r="E21" s="61" t="s">
        <v>3</v>
      </c>
      <c r="F21" s="61" t="s">
        <v>231</v>
      </c>
      <c r="H21" s="45" t="s">
        <v>110</v>
      </c>
      <c r="I21" s="54">
        <f>INDEX(TblRaces[[Max population]:[Explore Cost]],MATCH(race,TblRaces[Race],0),MATCH(Table4[[#This Row],[Race Bonuses]],TblRaces[[#Headers],[Max population]:[Explore Cost]],0))</f>
        <v>0</v>
      </c>
      <c r="J21" s="49"/>
      <c r="K21" s="456"/>
      <c r="L21" s="456"/>
      <c r="M21" s="456"/>
      <c r="N21" s="456"/>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7"/>
      <c r="L23" s="457"/>
      <c r="M23" s="457"/>
      <c r="N23" s="457"/>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7"/>
      <c r="L24" s="457"/>
      <c r="M24" s="457"/>
      <c r="N24" s="457"/>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7"/>
      <c r="L25" s="457"/>
      <c r="M25" s="457"/>
      <c r="N25" s="457"/>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57"/>
      <c r="L26" s="457"/>
      <c r="M26" s="457"/>
      <c r="N26" s="457"/>
      <c r="O26" s="60"/>
    </row>
    <row r="27" spans="1:15" s="44" customFormat="1" x14ac:dyDescent="0.2">
      <c r="A27" s="442" t="s">
        <v>1094</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57"/>
      <c r="L27" s="457"/>
      <c r="M27" s="457"/>
      <c r="N27" s="457"/>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438</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487</v>
      </c>
      <c r="I29" s="54">
        <f>INDEX(TblRaces[[Max population]:[Explore Cost]],MATCH(race,TblRaces[Race],0),MATCH(Table4[[#This Row],[Race Bonuses]],TblRaces[[#Headers],[Max population]:[Explore Cost]],0))</f>
        <v>0</v>
      </c>
      <c r="O29" s="60"/>
    </row>
    <row r="30" spans="1:15" s="44" customFormat="1" x14ac:dyDescent="0.2">
      <c r="A30" s="66" t="s">
        <v>1079</v>
      </c>
      <c r="D30" s="67"/>
      <c r="E30" s="68"/>
      <c r="G30" s="51"/>
      <c r="H30" s="45" t="s">
        <v>488</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525</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1071</v>
      </c>
      <c r="I32" s="438">
        <f>INDEX(TblRaces[[Max population]:[Explore Cost]],MATCH(race,TblRaces[Race],0),MATCH(Table4[[#This Row],[Race Bonuses]],TblRaces[[#Headers],[Max population]:[Explore Cost]],0))</f>
        <v>0</v>
      </c>
      <c r="J32" s="70"/>
      <c r="O32" s="75"/>
    </row>
    <row r="33" spans="1:15" s="76" customFormat="1" ht="29.25" customHeight="1" x14ac:dyDescent="0.2">
      <c r="A33" s="478" t="s">
        <v>376</v>
      </c>
      <c r="B33" s="456"/>
      <c r="C33" s="456"/>
      <c r="D33" s="456"/>
      <c r="E33" s="456"/>
      <c r="F33" s="456"/>
      <c r="G33" s="456"/>
      <c r="H33" s="456"/>
      <c r="I33" s="456"/>
      <c r="J33" s="479"/>
      <c r="K33" s="480"/>
      <c r="L33" s="480"/>
      <c r="M33" s="480"/>
      <c r="N33" s="480"/>
      <c r="O33" s="480"/>
    </row>
    <row r="34" spans="1:15" x14ac:dyDescent="0.2">
      <c r="A34" s="5" t="s">
        <v>22</v>
      </c>
      <c r="B34" s="45" t="s">
        <v>354</v>
      </c>
      <c r="C34" s="77" t="s">
        <v>31</v>
      </c>
      <c r="D34" s="78" t="s">
        <v>207</v>
      </c>
      <c r="E34" s="79" t="s">
        <v>1015</v>
      </c>
      <c r="F34" s="77" t="s">
        <v>32</v>
      </c>
      <c r="G34" s="78" t="s">
        <v>1013</v>
      </c>
      <c r="H34" s="78" t="s">
        <v>1014</v>
      </c>
      <c r="I34" s="80" t="s">
        <v>773</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427</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4" t="s">
        <v>428</v>
      </c>
      <c r="L36" s="455"/>
      <c r="M36" s="455"/>
      <c r="N36" s="455"/>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5"/>
      <c r="L37" s="455"/>
      <c r="M37" s="455"/>
      <c r="N37" s="455"/>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5"/>
      <c r="L38" s="455"/>
      <c r="M38" s="455"/>
      <c r="N38" s="455"/>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7" t="s">
        <v>448</v>
      </c>
      <c r="L39" s="458"/>
      <c r="M39" s="458"/>
      <c r="N39" s="458"/>
      <c r="O39" s="51"/>
    </row>
    <row r="40" spans="1:15" ht="13.5" thickTop="1" x14ac:dyDescent="0.2">
      <c r="A40" s="101"/>
      <c r="B40" s="88"/>
      <c r="C40" s="102">
        <f ca="1">SUM(C36:C39)</f>
        <v>0</v>
      </c>
      <c r="E40" s="103">
        <f ca="1">SUM(E36:E39)</f>
        <v>0</v>
      </c>
      <c r="F40" s="35">
        <f ca="1">SUM(F36:F39)</f>
        <v>450</v>
      </c>
      <c r="H40" s="35">
        <f ca="1">SUM(H36:H39)</f>
        <v>450</v>
      </c>
      <c r="I40" s="84"/>
      <c r="J40" s="44"/>
      <c r="K40" s="458"/>
      <c r="L40" s="458"/>
      <c r="M40" s="458"/>
      <c r="N40" s="458"/>
      <c r="O40" s="51"/>
    </row>
    <row r="41" spans="1:15" x14ac:dyDescent="0.2">
      <c r="A41" s="104" t="s">
        <v>24</v>
      </c>
      <c r="B41" s="97">
        <f ca="1">F41</f>
        <v>626</v>
      </c>
      <c r="C41" s="104"/>
      <c r="E41" s="105"/>
      <c r="F41" s="97">
        <f ca="1">Military!AA76</f>
        <v>626</v>
      </c>
      <c r="H41" s="97">
        <f ca="1">F41*(1+$G$36)</f>
        <v>626</v>
      </c>
      <c r="I41" s="92" t="s">
        <v>419</v>
      </c>
      <c r="J41" s="44"/>
      <c r="K41" s="454" t="s">
        <v>446</v>
      </c>
      <c r="L41" s="455"/>
      <c r="M41" s="455"/>
      <c r="N41" s="455"/>
      <c r="O41" s="51"/>
    </row>
    <row r="42" spans="1:15" ht="13.5" thickBot="1" x14ac:dyDescent="0.25">
      <c r="A42" s="104" t="s">
        <v>418</v>
      </c>
      <c r="B42" s="45">
        <f ca="1">E54</f>
        <v>0</v>
      </c>
      <c r="C42" s="104"/>
      <c r="E42" s="105"/>
      <c r="F42" s="106">
        <f ca="1">MIN(Population!C76/2,Constants!B14*20*Construction!BE76)</f>
        <v>0</v>
      </c>
      <c r="H42" s="107">
        <f ca="1">F42*(1+$G$36)</f>
        <v>0</v>
      </c>
      <c r="I42" s="92" t="s">
        <v>377</v>
      </c>
      <c r="J42" s="44"/>
      <c r="K42" s="455"/>
      <c r="L42" s="455"/>
      <c r="M42" s="455"/>
      <c r="N42" s="455"/>
      <c r="O42" s="51"/>
    </row>
    <row r="43" spans="1:15" ht="13.5" thickTop="1" x14ac:dyDescent="0.2">
      <c r="C43" s="104"/>
      <c r="E43" s="105"/>
      <c r="F43" s="35">
        <f ca="1">F41+F40+F42</f>
        <v>1076</v>
      </c>
      <c r="H43" s="103">
        <f ca="1">H41+H40+H42</f>
        <v>1076</v>
      </c>
      <c r="I43" s="92"/>
      <c r="J43" s="44"/>
      <c r="K43" s="456"/>
      <c r="L43" s="456"/>
      <c r="M43" s="456"/>
      <c r="N43" s="456"/>
      <c r="O43" s="51"/>
    </row>
    <row r="44" spans="1:15" x14ac:dyDescent="0.2">
      <c r="A44" s="44"/>
      <c r="B44" s="44"/>
      <c r="C44" s="44"/>
      <c r="D44" s="453"/>
      <c r="E44" s="453"/>
      <c r="F44" s="453"/>
      <c r="G44" s="453"/>
      <c r="H44" s="453"/>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1094</v>
      </c>
      <c r="B46" s="443">
        <f ca="1">Military!J76</f>
        <v>0</v>
      </c>
      <c r="C46" s="44"/>
      <c r="D46" s="5" t="s">
        <v>253</v>
      </c>
      <c r="E46" s="57" t="s">
        <v>354</v>
      </c>
      <c r="F46" s="45" t="s">
        <v>1016</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250</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251</v>
      </c>
      <c r="I49" s="114">
        <f ca="1">F40/E47</f>
        <v>1.8</v>
      </c>
      <c r="J49" s="114">
        <f ca="1">H40/E47</f>
        <v>1.8</v>
      </c>
      <c r="K49" s="44"/>
      <c r="L49" s="44"/>
      <c r="M49" s="44"/>
      <c r="N49" s="44"/>
      <c r="O49" s="51"/>
    </row>
    <row r="50" spans="1:15" x14ac:dyDescent="0.2">
      <c r="A50" s="108" t="s">
        <v>267</v>
      </c>
      <c r="B50" s="429">
        <f ca="1">Production!N76*(boat_size + tech_6_3_3*Techs!BH76)</f>
        <v>0</v>
      </c>
      <c r="C50" s="44"/>
      <c r="D50" s="111" t="str">
        <f>Construction!BA3</f>
        <v>Tot Farm</v>
      </c>
      <c r="E50" s="45">
        <f ca="1">Construction!BA76</f>
        <v>30</v>
      </c>
      <c r="F50" s="113">
        <f ca="1">E50/$E$47</f>
        <v>0.12</v>
      </c>
      <c r="G50" s="44"/>
      <c r="H50" s="45" t="s">
        <v>252</v>
      </c>
      <c r="I50" s="114">
        <f ca="1">(B45 + B46*2 + B38*D90*E90 + B38*D91*E91)/E47</f>
        <v>0.1</v>
      </c>
      <c r="J50" s="114">
        <f ca="1">I50*(1+I26)</f>
        <v>0.1</v>
      </c>
      <c r="K50" s="44"/>
      <c r="L50" s="44"/>
      <c r="M50" s="44"/>
      <c r="N50" s="44"/>
      <c r="O50" s="51"/>
    </row>
    <row r="51" spans="1:15" x14ac:dyDescent="0.2">
      <c r="A51" s="115" t="s">
        <v>375</v>
      </c>
      <c r="B51" s="430">
        <f>SUM(Imps!M4:'Imps'!M76)</f>
        <v>0</v>
      </c>
      <c r="C51" s="44"/>
      <c r="D51" s="111" t="str">
        <f>Construction!BB3</f>
        <v>Tot Smi</v>
      </c>
      <c r="E51" s="45">
        <f ca="1">Construction!BB76</f>
        <v>0</v>
      </c>
      <c r="F51" s="113">
        <f t="shared" ref="F51:F66" ca="1" si="0">E51/$E$47</f>
        <v>0</v>
      </c>
      <c r="G51" s="44"/>
      <c r="H51" s="45" t="s">
        <v>254</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217</v>
      </c>
      <c r="J54" s="45" t="s">
        <v>383</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Production!H64+SUM(Military!AS4:AS64)</f>
        <v>450038</v>
      </c>
      <c r="K55" s="44"/>
      <c r="L55" s="44"/>
      <c r="M55" s="44"/>
      <c r="N55" s="44"/>
      <c r="O55" s="51"/>
    </row>
    <row r="56" spans="1:15" x14ac:dyDescent="0.2">
      <c r="A56" s="117" t="s">
        <v>231</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Production!H67+SUM(Military!AS5:AS67)</f>
        <v>466496</v>
      </c>
      <c r="K56" s="120"/>
      <c r="L56" s="44"/>
      <c r="M56" s="44"/>
      <c r="N56" s="44"/>
      <c r="O56" s="51"/>
    </row>
    <row r="57" spans="1:15" x14ac:dyDescent="0.2">
      <c r="A57" s="118" t="s">
        <v>266</v>
      </c>
      <c r="B57" s="428">
        <f ca="1">H40</f>
        <v>450</v>
      </c>
      <c r="C57" s="44"/>
      <c r="D57" s="111" t="str">
        <f>Construction!BJ3</f>
        <v>Tot Bar</v>
      </c>
      <c r="E57" s="45">
        <f ca="1">Construction!BJ76</f>
        <v>0</v>
      </c>
      <c r="F57" s="113">
        <f t="shared" ca="1" si="0"/>
        <v>0</v>
      </c>
      <c r="G57" s="44"/>
      <c r="H57" s="119" t="s">
        <v>230</v>
      </c>
      <c r="I57" s="62">
        <f ca="1">Production!H76</f>
        <v>515870</v>
      </c>
      <c r="J57" s="62">
        <f ca="1">Production!H76+SUM(Military!AS4:AS76)</f>
        <v>515870</v>
      </c>
      <c r="K57" s="120"/>
      <c r="L57" s="44"/>
      <c r="M57" s="44"/>
      <c r="N57" s="44"/>
      <c r="O57" s="51"/>
    </row>
    <row r="58" spans="1:15" x14ac:dyDescent="0.2">
      <c r="A58" s="117" t="s">
        <v>265</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276</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277</v>
      </c>
      <c r="I60" s="95" t="s">
        <v>217</v>
      </c>
      <c r="J60" s="121" t="s">
        <v>382</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278</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279</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SUM(Military!AS4:AS76)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280</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187</v>
      </c>
      <c r="I66" s="97">
        <f ca="1">SUBTOTAL(109,Table18[Amount])</f>
        <v>0</v>
      </c>
      <c r="J66" s="342">
        <f>1</f>
        <v>1</v>
      </c>
      <c r="K66" s="44"/>
      <c r="L66" s="44"/>
      <c r="M66" s="44"/>
      <c r="N66" s="44"/>
      <c r="O66" s="51"/>
    </row>
    <row r="67" spans="1:15" x14ac:dyDescent="0.2">
      <c r="A67" s="118" t="s">
        <v>274</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275</v>
      </c>
      <c r="B68" s="427">
        <f>Construction!D76</f>
        <v>0</v>
      </c>
      <c r="C68" s="44"/>
      <c r="D68" s="5" t="s">
        <v>358</v>
      </c>
      <c r="E68" s="35">
        <f ca="1">E47-SUM(E48:E66)-B68</f>
        <v>160</v>
      </c>
      <c r="F68" s="126">
        <f ca="1">E68/E47</f>
        <v>0.64</v>
      </c>
      <c r="G68" s="44"/>
      <c r="H68" s="44"/>
      <c r="I68" s="44"/>
      <c r="J68" s="44"/>
      <c r="K68" s="44"/>
      <c r="L68" s="44"/>
      <c r="M68" s="44"/>
      <c r="N68" s="44"/>
      <c r="O68" s="51"/>
    </row>
    <row r="69" spans="1:15" x14ac:dyDescent="0.2">
      <c r="A69" s="124" t="s">
        <v>379</v>
      </c>
      <c r="B69" s="125" t="str">
        <f>VLOOKUP($B$14,Races!$A$4:$B$116,2,FALSE)</f>
        <v>Good</v>
      </c>
      <c r="C69" s="44"/>
      <c r="D69" s="5" t="s">
        <v>359</v>
      </c>
      <c r="E69" s="35">
        <f>B68</f>
        <v>0</v>
      </c>
      <c r="F69" s="5">
        <f ca="1">E69/E47</f>
        <v>0</v>
      </c>
      <c r="G69" s="44"/>
      <c r="H69" s="44"/>
      <c r="I69" s="44"/>
      <c r="J69" s="44"/>
      <c r="K69" s="44"/>
      <c r="L69" s="44"/>
      <c r="M69" s="44"/>
      <c r="N69" s="44"/>
      <c r="O69" s="51"/>
    </row>
    <row r="70" spans="1:15" x14ac:dyDescent="0.2">
      <c r="A70" s="124" t="s">
        <v>378</v>
      </c>
      <c r="B70" s="125" t="str">
        <f>VLOOKUP($B$14,Races!$A$4:$C$116,3,FALSE)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51" t="s">
        <v>287</v>
      </c>
      <c r="B73" s="452"/>
      <c r="C73" s="127"/>
      <c r="D73" s="127"/>
      <c r="E73" s="127"/>
    </row>
    <row r="74" spans="1:15" x14ac:dyDescent="0.2">
      <c r="A74" s="128" t="s">
        <v>288</v>
      </c>
      <c r="B74" s="129"/>
      <c r="C74" s="127"/>
      <c r="D74" s="127"/>
      <c r="E74" s="129"/>
    </row>
    <row r="75" spans="1:15" x14ac:dyDescent="0.2">
      <c r="A75" s="130" t="s">
        <v>290</v>
      </c>
      <c r="B75" s="130" t="s">
        <v>291</v>
      </c>
      <c r="C75" s="130" t="s">
        <v>293</v>
      </c>
      <c r="D75" s="130" t="s">
        <v>292</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329</v>
      </c>
      <c r="B81" s="127" t="s">
        <v>332</v>
      </c>
      <c r="C81" s="127"/>
      <c r="D81" s="131">
        <f ca="1">MIN(Constants!F122,F67/Constants!C122)</f>
        <v>2.1999999999999997</v>
      </c>
      <c r="E81" s="127" t="b">
        <f>$B$14=A81</f>
        <v>0</v>
      </c>
    </row>
    <row r="82" spans="1:5" x14ac:dyDescent="0.2">
      <c r="A82" s="127"/>
      <c r="B82" s="127" t="s">
        <v>333</v>
      </c>
      <c r="C82" s="127">
        <f ca="1">MIN(Constants!F123,I51*Constants!C123)</f>
        <v>0.1</v>
      </c>
      <c r="D82" s="127"/>
      <c r="E82" s="127"/>
    </row>
    <row r="83" spans="1:5" x14ac:dyDescent="0.2">
      <c r="A83" s="127" t="s">
        <v>144</v>
      </c>
      <c r="B83" s="127" t="s">
        <v>374</v>
      </c>
      <c r="C83" s="127"/>
      <c r="D83" s="131">
        <f>MIN(Constants!F124,250/Constants!C124)</f>
        <v>0</v>
      </c>
      <c r="E83" s="127" t="b">
        <f>$B$14=A83</f>
        <v>0</v>
      </c>
    </row>
    <row r="84" spans="1:5" x14ac:dyDescent="0.2">
      <c r="A84" s="127" t="s">
        <v>144</v>
      </c>
      <c r="B84" s="127" t="s">
        <v>357</v>
      </c>
      <c r="C84" s="132">
        <f>MIN(bone_breaker_cap,250/bone_breaker_bonus)</f>
        <v>0.83333333333333337</v>
      </c>
      <c r="E84" s="127" t="b">
        <f>$B$14=A84</f>
        <v>0</v>
      </c>
    </row>
    <row r="85" spans="1:5" x14ac:dyDescent="0.2">
      <c r="A85" s="127" t="s">
        <v>499</v>
      </c>
      <c r="B85" s="127" t="s">
        <v>423</v>
      </c>
      <c r="C85" s="127"/>
      <c r="D85" s="131">
        <f ca="1">MIN(nox_nightshade_cap,E67/E47/nox_nightshade_swamp_bonus)</f>
        <v>4</v>
      </c>
      <c r="E85" s="127" t="b">
        <f>$B$14=A85</f>
        <v>0</v>
      </c>
    </row>
    <row r="86" spans="1:5" x14ac:dyDescent="0.2">
      <c r="A86" s="127"/>
      <c r="B86" s="127"/>
      <c r="C86" s="127"/>
      <c r="D86" s="131"/>
      <c r="E86" s="127"/>
    </row>
    <row r="87" spans="1:5" x14ac:dyDescent="0.2">
      <c r="A87" s="128" t="s">
        <v>289</v>
      </c>
      <c r="B87" s="127"/>
      <c r="C87" s="127"/>
      <c r="D87" s="127"/>
      <c r="E87" s="127"/>
    </row>
    <row r="88" spans="1:5" x14ac:dyDescent="0.2">
      <c r="A88" s="127" t="s">
        <v>103</v>
      </c>
      <c r="B88" s="127" t="s">
        <v>327</v>
      </c>
      <c r="C88" s="127"/>
      <c r="D88" s="127">
        <f ca="1">MIN(B38,B37)*2</f>
        <v>0</v>
      </c>
      <c r="E88" s="127" t="b">
        <f>$B$14=A88</f>
        <v>0</v>
      </c>
    </row>
    <row r="89" spans="1:5" x14ac:dyDescent="0.2">
      <c r="A89" s="127"/>
      <c r="B89" s="127" t="s">
        <v>328</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159</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3" sqref="A3"/>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0" t="s">
        <v>23</v>
      </c>
      <c r="D1" s="500"/>
      <c r="E1" s="500"/>
      <c r="F1" s="500"/>
      <c r="G1" s="500"/>
      <c r="H1" s="500"/>
      <c r="I1" s="500"/>
      <c r="J1" s="28"/>
      <c r="K1" s="28"/>
      <c r="L1" s="500" t="s">
        <v>22</v>
      </c>
      <c r="M1" s="500"/>
      <c r="N1" s="500"/>
      <c r="O1" s="500"/>
      <c r="P1" s="500"/>
      <c r="Q1" s="500"/>
      <c r="R1" s="500"/>
      <c r="S1" s="500"/>
      <c r="U1" s="500" t="s">
        <v>164</v>
      </c>
      <c r="V1" s="501"/>
      <c r="W1" s="500" t="s">
        <v>168</v>
      </c>
      <c r="X1" s="500"/>
      <c r="Y1" s="500"/>
      <c r="Z1" s="500"/>
      <c r="AA1" s="500" t="s">
        <v>173</v>
      </c>
      <c r="AB1" s="501"/>
      <c r="AC1" s="501"/>
      <c r="AD1" s="501"/>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310</v>
      </c>
      <c r="C3" s="138" t="s">
        <v>21</v>
      </c>
      <c r="D3" s="138" t="s">
        <v>22</v>
      </c>
      <c r="E3" s="138" t="s">
        <v>24</v>
      </c>
      <c r="F3" s="138" t="s">
        <v>187</v>
      </c>
      <c r="G3" s="138" t="s">
        <v>188</v>
      </c>
      <c r="H3" s="138" t="s">
        <v>225</v>
      </c>
      <c r="I3" s="138" t="s">
        <v>264</v>
      </c>
      <c r="J3" s="138" t="s">
        <v>312</v>
      </c>
      <c r="K3" s="138" t="s">
        <v>773</v>
      </c>
      <c r="L3" s="138" t="s">
        <v>1017</v>
      </c>
      <c r="M3" s="138" t="s">
        <v>769</v>
      </c>
      <c r="N3" s="138" t="s">
        <v>770</v>
      </c>
      <c r="O3" s="138" t="s">
        <v>771</v>
      </c>
      <c r="P3" s="138" t="s">
        <v>772</v>
      </c>
      <c r="Q3" s="138" t="s">
        <v>25</v>
      </c>
      <c r="R3" s="138" t="s">
        <v>26</v>
      </c>
      <c r="S3" s="138" t="s">
        <v>183</v>
      </c>
      <c r="T3" s="138" t="s">
        <v>774</v>
      </c>
      <c r="U3" s="138" t="s">
        <v>227</v>
      </c>
      <c r="V3" s="138" t="s">
        <v>175</v>
      </c>
      <c r="W3" s="138" t="s">
        <v>174</v>
      </c>
      <c r="X3" s="138" t="s">
        <v>233</v>
      </c>
      <c r="Y3" s="138" t="s">
        <v>226</v>
      </c>
      <c r="Z3" s="138" t="s">
        <v>1034</v>
      </c>
      <c r="AA3" s="138" t="s">
        <v>776</v>
      </c>
      <c r="AB3" s="138" t="s">
        <v>168</v>
      </c>
      <c r="AC3" s="138" t="s">
        <v>172</v>
      </c>
    </row>
    <row r="4" spans="1:30" x14ac:dyDescent="0.2">
      <c r="A4" s="140">
        <f>TblRezone[[#This Row],[Hour]]</f>
        <v>1</v>
      </c>
      <c r="B4" s="141">
        <f>TblImps[[#This Row],[Time]]</f>
        <v>45458</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 * IF(AND(TblMagic[[#This Row],[Active DnD]]&lt;=12,TblMagic[[#This Row],[Active DnD]]&gt;6),2,1)</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45458.041666666664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max]]*(1+OFFSET(TblPop[[#This Row],[Max pop]],-1,0)),0)+MIN(TblPop[[#This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 * IF(AND(TblMagic[[#This Row],[Active DnD]]&lt;=12,TblMagic[[#This Row],[Active DnD]]&gt;6),2,1)</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45458.083333333328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max]]*(1+OFFSET(TblPop[[#This Row],[Max pop]],-1,0)),0)+MIN(TblPop[[#This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 * IF(AND(TblMagic[[#This Row],[Active DnD]]&lt;=12,TblMagic[[#This Row],[Active DnD]]&gt;6),2,1)</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45458.124999999993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max]]*(1+OFFSET(TblPop[[#This Row],[Max pop]],-1,0)),0)+MIN(TblPop[[#This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 * IF(AND(TblMagic[[#This Row],[Active DnD]]&lt;=12,TblMagic[[#This Row],[Active DnD]]&gt;6),2,1)</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45458.166666666657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max]]*(1+OFFSET(TblPop[[#This Row],[Max pop]],-1,0)),0)+MIN(TblPop[[#This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 * IF(AND(TblMagic[[#This Row],[Active DnD]]&lt;=12,TblMagic[[#This Row],[Active DnD]]&gt;6),2,1)</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45458.208333333321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max]]*(1+OFFSET(TblPop[[#This Row],[Max pop]],-1,0)),0)+MIN(TblPop[[#This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 * IF(AND(TblMagic[[#This Row],[Active DnD]]&lt;=12,TblMagic[[#This Row],[Active DnD]]&gt;6),2,1)</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45458.249999999985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max]]*(1+OFFSET(TblPop[[#This Row],[Max pop]],-1,0)),0)+MIN(TblPop[[#This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 * IF(AND(TblMagic[[#This Row],[Active DnD]]&lt;=12,TblMagic[[#This Row],[Active DnD]]&gt;6),2,1)</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45458.29166666665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max]]*(1+OFFSET(TblPop[[#This Row],[Max pop]],-1,0)),0)+MIN(TblPop[[#This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 * IF(AND(TblMagic[[#This Row],[Active DnD]]&lt;=12,TblMagic[[#This Row],[Active DnD]]&gt;6),2,1)</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45458.333333333314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max]]*(1+OFFSET(TblPop[[#This Row],[Max pop]],-1,0)),0)+MIN(TblPop[[#This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 * IF(AND(TblMagic[[#This Row],[Active DnD]]&lt;=12,TblMagic[[#This Row],[Active DnD]]&gt;6),2,1)</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45458.374999999978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max]]*(1+OFFSET(TblPop[[#This Row],[Max pop]],-1,0)),0)+MIN(TblPop[[#This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 * IF(AND(TblMagic[[#This Row],[Active DnD]]&lt;=12,TblMagic[[#This Row],[Active DnD]]&gt;6),2,1)</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45458.416666666642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max]]*(1+OFFSET(TblPop[[#This Row],[Max pop]],-1,0)),0)+MIN(TblPop[[#This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 * IF(AND(TblMagic[[#This Row],[Active DnD]]&lt;=12,TblMagic[[#This Row],[Active DnD]]&gt;6),2,1)</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45458.458333333307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max]]*(1+OFFSET(TblPop[[#This Row],[Max pop]],-1,0)),0)+MIN(TblPop[[#This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 * IF(AND(TblMagic[[#This Row],[Active DnD]]&lt;=12,TblMagic[[#This Row],[Active DnD]]&gt;6),2,1)</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45458.499999999971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max]]*(1+OFFSET(TblPop[[#This Row],[Max pop]],-1,0)),0)+MIN(TblPop[[#This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 * IF(AND(TblMagic[[#This Row],[Active DnD]]&lt;=12,TblMagic[[#This Row],[Active DnD]]&gt;6),2,1)</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45458.541666666635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max]]*(1+OFFSET(TblPop[[#This Row],[Max pop]],-1,0)),0)+MIN(TblPop[[#This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 * IF(AND(TblMagic[[#This Row],[Active DnD]]&lt;=12,TblMagic[[#This Row],[Active DnD]]&gt;6),2,1)</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45458.583333333299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max]]*(1+OFFSET(TblPop[[#This Row],[Max pop]],-1,0)),0)+MIN(TblPop[[#This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 * IF(AND(TblMagic[[#This Row],[Active DnD]]&lt;=12,TblMagic[[#This Row],[Active DnD]]&gt;6),2,1)</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45458.624999999964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max]]*(1+OFFSET(TblPop[[#This Row],[Max pop]],-1,0)),0)+MIN(TblPop[[#This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 * IF(AND(TblMagic[[#This Row],[Active DnD]]&lt;=12,TblMagic[[#This Row],[Active DnD]]&gt;6),2,1)</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45458.666666666628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max]]*(1+OFFSET(TblPop[[#This Row],[Max pop]],-1,0)),0)+MIN(TblPop[[#This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 * IF(AND(TblMagic[[#This Row],[Active DnD]]&lt;=12,TblMagic[[#This Row],[Active DnD]]&gt;6),2,1)</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45458.708333333292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max]]*(1+OFFSET(TblPop[[#This Row],[Max pop]],-1,0)),0)+MIN(TblPop[[#This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 * IF(AND(TblMagic[[#This Row],[Active DnD]]&lt;=12,TblMagic[[#This Row],[Active DnD]]&gt;6),2,1)</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45458.749999999956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max]]*(1+OFFSET(TblPop[[#This Row],[Max pop]],-1,0)),0)+MIN(TblPop[[#This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 * IF(AND(TblMagic[[#This Row],[Active DnD]]&lt;=12,TblMagic[[#This Row],[Active DnD]]&gt;6),2,1)</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45458.791666666621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max]]*(1+OFFSET(TblPop[[#This Row],[Max pop]],-1,0)),0)+MIN(TblPop[[#This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 * IF(AND(TblMagic[[#This Row],[Active DnD]]&lt;=12,TblMagic[[#This Row],[Active DnD]]&gt;6),2,1)</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45458.833333333285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max]]*(1+OFFSET(TblPop[[#This Row],[Max pop]],-1,0)),0)+MIN(TblPop[[#This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 * IF(AND(TblMagic[[#This Row],[Active DnD]]&lt;=12,TblMagic[[#This Row],[Active DnD]]&gt;6),2,1)</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45458.874999999949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max]]*(1+OFFSET(TblPop[[#This Row],[Max pop]],-1,0)),0)+MIN(TblPop[[#This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 * IF(AND(TblMagic[[#This Row],[Active DnD]]&lt;=12,TblMagic[[#This Row],[Active DnD]]&gt;6),2,1)</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45458.916666666613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max]]*(1+OFFSET(TblPop[[#This Row],[Max pop]],-1,0)),0)+MIN(TblPop[[#This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 * IF(AND(TblMagic[[#This Row],[Active DnD]]&lt;=12,TblMagic[[#This Row],[Active DnD]]&gt;6),2,1)</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45458.958333333278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max]]*(1+OFFSET(TblPop[[#This Row],[Max pop]],-1,0)),0)+MIN(TblPop[[#This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 * IF(AND(TblMagic[[#This Row],[Active DnD]]&lt;=12,TblMagic[[#This Row],[Active DnD]]&gt;6),2,1)</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45458.999999999942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max]]*(1+OFFSET(TblPop[[#This Row],[Max pop]],-1,0)),0)+MIN(TblPop[[#This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 * IF(AND(TblMagic[[#This Row],[Active DnD]]&lt;=12,TblMagic[[#This Row],[Active DnD]]&gt;6),2,1)</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45459.041666666606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max]]*(1+OFFSET(TblPop[[#This Row],[Max pop]],-1,0)),0)+MIN(TblPop[[#This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 * IF(AND(TblMagic[[#This Row],[Active DnD]]&lt;=12,TblMagic[[#This Row],[Active DnD]]&gt;6),2,1)</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45459.08333333327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max]]*(1+OFFSET(TblPop[[#This Row],[Max pop]],-1,0)),0)+MIN(TblPop[[#This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 * IF(AND(TblMagic[[#This Row],[Active DnD]]&lt;=12,TblMagic[[#This Row],[Active DnD]]&gt;6),2,1)</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45459.124999999935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max]]*(1+OFFSET(TblPop[[#This Row],[Max pop]],-1,0)),0)+MIN(TblPop[[#This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 * IF(AND(TblMagic[[#This Row],[Active DnD]]&lt;=12,TblMagic[[#This Row],[Active DnD]]&gt;6),2,1)</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45459.166666666599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max]]*(1+OFFSET(TblPop[[#This Row],[Max pop]],-1,0)),0)+MIN(TblPop[[#This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 * IF(AND(TblMagic[[#This Row],[Active DnD]]&lt;=12,TblMagic[[#This Row],[Active DnD]]&gt;6),2,1)</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45459.208333333263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max]]*(1+OFFSET(TblPop[[#This Row],[Max pop]],-1,0)),0)+MIN(TblPop[[#This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 * IF(AND(TblMagic[[#This Row],[Active DnD]]&lt;=12,TblMagic[[#This Row],[Active DnD]]&gt;6),2,1)</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45459.249999999927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max]]*(1+OFFSET(TblPop[[#This Row],[Max pop]],-1,0)),0)+MIN(TblPop[[#This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 * IF(AND(TblMagic[[#This Row],[Active DnD]]&lt;=12,TblMagic[[#This Row],[Active DnD]]&gt;6),2,1)</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45459.291666666591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max]]*(1+OFFSET(TblPop[[#This Row],[Max pop]],-1,0)),0)+MIN(TblPop[[#This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 * IF(AND(TblMagic[[#This Row],[Active DnD]]&lt;=12,TblMagic[[#This Row],[Active DnD]]&gt;6),2,1)</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45459.333333333256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max]]*(1+OFFSET(TblPop[[#This Row],[Max pop]],-1,0)),0)+MIN(TblPop[[#This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 * IF(AND(TblMagic[[#This Row],[Active DnD]]&lt;=12,TblMagic[[#This Row],[Active DnD]]&gt;6),2,1)</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45459.37499999992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max]]*(1+OFFSET(TblPop[[#This Row],[Max pop]],-1,0)),0)+MIN(TblPop[[#This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 * IF(AND(TblMagic[[#This Row],[Active DnD]]&lt;=12,TblMagic[[#This Row],[Active DnD]]&gt;6),2,1)</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45459.416666666584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max]]*(1+OFFSET(TblPop[[#This Row],[Max pop]],-1,0)),0)+MIN(TblPop[[#This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 * IF(AND(TblMagic[[#This Row],[Active DnD]]&lt;=12,TblMagic[[#This Row],[Active DnD]]&gt;6),2,1)</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45459.458333333248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max]]*(1+OFFSET(TblPop[[#This Row],[Max pop]],-1,0)),0)+MIN(TblPop[[#This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 * IF(AND(TblMagic[[#This Row],[Active DnD]]&lt;=12,TblMagic[[#This Row],[Active DnD]]&gt;6),2,1)</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45459.499999999913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max]]*(1+OFFSET(TblPop[[#This Row],[Max pop]],-1,0)),0)+MIN(TblPop[[#This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 * IF(AND(TblMagic[[#This Row],[Active DnD]]&lt;=12,TblMagic[[#This Row],[Active DnD]]&gt;6),2,1)</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45459.541666666577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max]]*(1+OFFSET(TblPop[[#This Row],[Max pop]],-1,0)),0)+MIN(TblPop[[#This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 * IF(AND(TblMagic[[#This Row],[Active DnD]]&lt;=12,TblMagic[[#This Row],[Active DnD]]&gt;6),2,1)</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45459.583333333241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max]]*(1+OFFSET(TblPop[[#This Row],[Max pop]],-1,0)),0)+MIN(TblPop[[#This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 * IF(AND(TblMagic[[#This Row],[Active DnD]]&lt;=12,TblMagic[[#This Row],[Active DnD]]&gt;6),2,1)</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45459.624999999905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max]]*(1+OFFSET(TblPop[[#This Row],[Max pop]],-1,0)),0)+MIN(TblPop[[#This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 * IF(AND(TblMagic[[#This Row],[Active DnD]]&lt;=12,TblMagic[[#This Row],[Active DnD]]&gt;6),2,1)</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45459.66666666657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max]]*(1+OFFSET(TblPop[[#This Row],[Max pop]],-1,0)),0)+MIN(TblPop[[#This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 * IF(AND(TblMagic[[#This Row],[Active DnD]]&lt;=12,TblMagic[[#This Row],[Active DnD]]&gt;6),2,1)</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45459.708333333234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max]]*(1+OFFSET(TblPop[[#This Row],[Max pop]],-1,0)),0)+MIN(TblPop[[#This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 * IF(AND(TblMagic[[#This Row],[Active DnD]]&lt;=12,TblMagic[[#This Row],[Active DnD]]&gt;6),2,1)</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45459.749999999898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max]]*(1+OFFSET(TblPop[[#This Row],[Max pop]],-1,0)),0)+MIN(TblPop[[#This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 * IF(AND(TblMagic[[#This Row],[Active DnD]]&lt;=12,TblMagic[[#This Row],[Active DnD]]&gt;6),2,1)</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45459.791666666562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max]]*(1+OFFSET(TblPop[[#This Row],[Max pop]],-1,0)),0)+MIN(TblPop[[#This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 * IF(AND(TblMagic[[#This Row],[Active DnD]]&lt;=12,TblMagic[[#This Row],[Active DnD]]&gt;6),2,1)</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45459.833333333227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max]]*(1+OFFSET(TblPop[[#This Row],[Max pop]],-1,0)),0)+MIN(TblPop[[#This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 * IF(AND(TblMagic[[#This Row],[Active DnD]]&lt;=12,TblMagic[[#This Row],[Active DnD]]&gt;6),2,1)</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45459.874999999891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max]]*(1+OFFSET(TblPop[[#This Row],[Max pop]],-1,0)),0)+MIN(TblPop[[#This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 * IF(AND(TblMagic[[#This Row],[Active DnD]]&lt;=12,TblMagic[[#This Row],[Active DnD]]&gt;6),2,1)</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45459.916666666555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max]]*(1+OFFSET(TblPop[[#This Row],[Max pop]],-1,0)),0)+MIN(TblPop[[#This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 * IF(AND(TblMagic[[#This Row],[Active DnD]]&lt;=12,TblMagic[[#This Row],[Active DnD]]&gt;6),2,1)</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45459.958333333219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max]]*(1+OFFSET(TblPop[[#This Row],[Max pop]],-1,0)),0)+MIN(TblPop[[#This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 * IF(AND(TblMagic[[#This Row],[Active DnD]]&lt;=12,TblMagic[[#This Row],[Active DnD]]&gt;6),2,1)</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45459.999999999884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max]]*(1+OFFSET(TblPop[[#This Row],[Max pop]],-1,0)),0)+MIN(TblPop[[#This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 * IF(AND(TblMagic[[#This Row],[Active DnD]]&lt;=12,TblMagic[[#This Row],[Active DnD]]&gt;6),2,1)</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45460.041666666548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max]]*(1+OFFSET(TblPop[[#This Row],[Max pop]],-1,0)),0)+MIN(TblPop[[#This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 * IF(AND(TblMagic[[#This Row],[Active DnD]]&lt;=12,TblMagic[[#This Row],[Active DnD]]&gt;6),2,1)</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45460.083333333212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max]]*(1+OFFSET(TblPop[[#This Row],[Max pop]],-1,0)),0)+MIN(TblPop[[#This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 * IF(AND(TblMagic[[#This Row],[Active DnD]]&lt;=12,TblMagic[[#This Row],[Active DnD]]&gt;6),2,1)</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45460.124999999876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max]]*(1+OFFSET(TblPop[[#This Row],[Max pop]],-1,0)),0)+MIN(TblPop[[#This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 * IF(AND(TblMagic[[#This Row],[Active DnD]]&lt;=12,TblMagic[[#This Row],[Active DnD]]&gt;6),2,1)</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45460.166666666541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max]]*(1+OFFSET(TblPop[[#This Row],[Max pop]],-1,0)),0)+MIN(TblPop[[#This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 * IF(AND(TblMagic[[#This Row],[Active DnD]]&lt;=12,TblMagic[[#This Row],[Active DnD]]&gt;6),2,1)</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45460.208333333205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max]]*(1+OFFSET(TblPop[[#This Row],[Max pop]],-1,0)),0)+MIN(TblPop[[#This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 * IF(AND(TblMagic[[#This Row],[Active DnD]]&lt;=12,TblMagic[[#This Row],[Active DnD]]&gt;6),2,1)</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45460.249999999869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max]]*(1+OFFSET(TblPop[[#This Row],[Max pop]],-1,0)),0)+MIN(TblPop[[#This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 * IF(AND(TblMagic[[#This Row],[Active DnD]]&lt;=12,TblMagic[[#This Row],[Active DnD]]&gt;6),2,1)</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45460.291666666533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max]]*(1+OFFSET(TblPop[[#This Row],[Max pop]],-1,0)),0)+MIN(TblPop[[#This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 * IF(AND(TblMagic[[#This Row],[Active DnD]]&lt;=12,TblMagic[[#This Row],[Active DnD]]&gt;6),2,1)</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45460.333333333198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max]]*(1+OFFSET(TblPop[[#This Row],[Max pop]],-1,0)),0)+MIN(TblPop[[#This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 * IF(AND(TblMagic[[#This Row],[Active DnD]]&lt;=12,TblMagic[[#This Row],[Active DnD]]&gt;6),2,1)</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45460.374999999862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max]]*(1+OFFSET(TblPop[[#This Row],[Max pop]],-1,0)),0)+MIN(TblPop[[#This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 * IF(AND(TblMagic[[#This Row],[Active DnD]]&lt;=12,TblMagic[[#This Row],[Active DnD]]&gt;6),2,1)</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45460.416666666526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max]]*(1+OFFSET(TblPop[[#This Row],[Max pop]],-1,0)),0)+MIN(TblPop[[#This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 * IF(AND(TblMagic[[#This Row],[Active DnD]]&lt;=12,TblMagic[[#This Row],[Active DnD]]&gt;6),2,1)</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45460.45833333319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max]]*(1+OFFSET(TblPop[[#This Row],[Max pop]],-1,0)),0)+MIN(TblPop[[#This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 * IF(AND(TblMagic[[#This Row],[Active DnD]]&lt;=12,TblMagic[[#This Row],[Active DnD]]&gt;6),2,1)</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45460.499999999854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max]]*(1+OFFSET(TblPop[[#This Row],[Max pop]],-1,0)),0)+MIN(TblPop[[#This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 * IF(AND(TblMagic[[#This Row],[Active DnD]]&lt;=12,TblMagic[[#This Row],[Active DnD]]&gt;6),2,1)</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45460.541666666519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max]]*(1+OFFSET(TblPop[[#This Row],[Max pop]],-1,0)),0)+MIN(TblPop[[#This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 * IF(AND(TblMagic[[#This Row],[Active DnD]]&lt;=12,TblMagic[[#This Row],[Active DnD]]&gt;6),2,1)</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45460.583333333183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max]]*(1+OFFSET(TblPop[[#This Row],[Max pop]],-1,0)),0)+MIN(TblPop[[#This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 * IF(AND(TblMagic[[#This Row],[Active DnD]]&lt;=12,TblMagic[[#This Row],[Active DnD]]&gt;6),2,1)</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45460.624999999847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max]]*(1+OFFSET(TblPop[[#This Row],[Max pop]],-1,0)),0)+MIN(TblPop[[#This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 * IF(AND(TblMagic[[#This Row],[Active DnD]]&lt;=12,TblMagic[[#This Row],[Active DnD]]&gt;6),2,1)</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45460.666666666511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max]]*(1+OFFSET(TblPop[[#This Row],[Max pop]],-1,0)),0)+MIN(TblPop[[#This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 * IF(AND(TblMagic[[#This Row],[Active DnD]]&lt;=12,TblMagic[[#This Row],[Active DnD]]&gt;6),2,1)</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45460.708333333176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max]]*(1+OFFSET(TblPop[[#This Row],[Max pop]],-1,0)),0)+MIN(TblPop[[#This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 * IF(AND(TblMagic[[#This Row],[Active DnD]]&lt;=12,TblMagic[[#This Row],[Active DnD]]&gt;6),2,1)</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45460.74999999984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max]]*(1+OFFSET(TblPop[[#This Row],[Max pop]],-1,0)),0)+MIN(TblPop[[#This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 * IF(AND(TblMagic[[#This Row],[Active DnD]]&lt;=12,TblMagic[[#This Row],[Active DnD]]&gt;6),2,1)</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45460.791666666504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max]]*(1+OFFSET(TblPop[[#This Row],[Max pop]],-1,0)),0)+MIN(TblPop[[#This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 * IF(AND(TblMagic[[#This Row],[Active DnD]]&lt;=12,TblMagic[[#This Row],[Active DnD]]&gt;6),2,1)</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45460.833333333168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max]]*(1+OFFSET(TblPop[[#This Row],[Max pop]],-1,0)),0)+MIN(TblPop[[#This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 * IF(AND(TblMagic[[#This Row],[Active DnD]]&lt;=12,TblMagic[[#This Row],[Active DnD]]&gt;6),2,1)</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45460.874999999833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max]]*(1+OFFSET(TblPop[[#This Row],[Max pop]],-1,0)),0)+MIN(TblPop[[#This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 * IF(AND(TblMagic[[#This Row],[Active DnD]]&lt;=12,TblMagic[[#This Row],[Active DnD]]&gt;6),2,1)</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45460.916666666497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max]]*(1+OFFSET(TblPop[[#This Row],[Max pop]],-1,0)),0)+MIN(TblPop[[#This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 * IF(AND(TblMagic[[#This Row],[Active DnD]]&lt;=12,TblMagic[[#This Row],[Active DnD]]&gt;6),2,1)</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45460.958333333161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max]]*(1+OFFSET(TblPop[[#This Row],[Max pop]],-1,0)),0)+MIN(TblPop[[#This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 * IF(AND(TblMagic[[#This Row],[Active DnD]]&lt;=12,TblMagic[[#This Row],[Active DnD]]&gt;6),2,1)</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45460.999999999825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 * IF(AND(TblMagic[[#This Row],[Active DnD]]&lt;=12,TblMagic[[#This Row],[Active DnD]]&gt;6),2,1)</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45461.04166666649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max]]*(1+OFFSET(TblPop[[#This Row],[Max pop]],-1,0)),0)+MIN(TblPop[[#This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 * IF(AND(TblMagic[[#This Row],[Active DnD]]&lt;=12,TblMagic[[#This Row],[Active DnD]]&gt;6),2,1)</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45461.083333333154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max]]*(1+OFFSET(TblPop[[#This Row],[Max pop]],-1,0)),0)+MIN(TblPop[[#This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 * IF(AND(TblMagic[[#This Row],[Active DnD]]&lt;=12,TblMagic[[#This Row],[Active DnD]]&gt;6),2,1)</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45461.124999999818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max]]*(1+OFFSET(TblPop[[#This Row],[Max pop]],-1,0)),0)+MIN(TblPop[[#This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 * IF(AND(TblMagic[[#This Row],[Active DnD]]&lt;=12,TblMagic[[#This Row],[Active DnD]]&gt;6),2,1)</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45461.166666666482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max]]*(1+OFFSET(TblPop[[#This Row],[Max pop]],-1,0)),0)+MIN(TblPop[[#This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 * IF(AND(TblMagic[[#This Row],[Active DnD]]&lt;=12,TblMagic[[#This Row],[Active DnD]]&gt;6),2,1)</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45461.208333333147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max]]*(1+OFFSET(TblPop[[#This Row],[Max pop]],-1,0)),0)+MIN(TblPop[[#This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 * IF(AND(TblMagic[[#This Row],[Active DnD]]&lt;=12,TblMagic[[#This Row],[Active DnD]]&gt;6),2,1)</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45461.249999999811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max]]*(1+OFFSET(TblPop[[#This Row],[Max pop]],-1,0)),0)+MIN(TblPop[[#This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 * IF(AND(TblMagic[[#This Row],[Active DnD]]&lt;=12,TblMagic[[#This Row],[Active DnD]]&gt;6),2,1)</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45461.291666666475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max]]*(1+OFFSET(TblPop[[#This Row],[Max pop]],-1,0)),0)+MIN(TblPop[[#This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 * IF(AND(TblMagic[[#This Row],[Active DnD]]&lt;=12,TblMagic[[#This Row],[Active DnD]]&gt;6),2,1)</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45461.333333333139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max]]*(1+OFFSET(TblPop[[#This Row],[Max pop]],-1,0)),0)+MIN(TblPop[[#This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 * IF(AND(TblMagic[[#This Row],[Active DnD]]&lt;=12,TblMagic[[#This Row],[Active DnD]]&gt;6),2,1)</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45461.374999999804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max]]*(1+OFFSET(TblPop[[#This Row],[Max pop]],-1,0)),0)+MIN(TblPop[[#This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 * IF(AND(TblMagic[[#This Row],[Active DnD]]&lt;=12,TblMagic[[#This Row],[Active DnD]]&gt;6),2,1)</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45461.416666666468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max]]*(1+OFFSET(TblPop[[#This Row],[Max pop]],-1,0)),0)+MIN(TblPop[[#This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 * IF(AND(TblMagic[[#This Row],[Active DnD]]&lt;=12,TblMagic[[#This Row],[Active DnD]]&gt;6),2,1)</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45461.458333333132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max]]*(1+OFFSET(TblPop[[#This Row],[Max pop]],-1,0)),0)+MIN(TblPop[[#This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 * IF(AND(TblMagic[[#This Row],[Active DnD]]&lt;=12,TblMagic[[#This Row],[Active DnD]]&gt;6),2,1)</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45461.499999999796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max]]*(1+OFFSET(TblPop[[#This Row],[Max pop]],-1,0)),0)+MIN(TblPop[[#This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 * IF(AND(TblMagic[[#This Row],[Active DnD]]&lt;=12,TblMagic[[#This Row],[Active DnD]]&gt;6),2,1)</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45461.541666666461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max]]*(1+OFFSET(TblPop[[#This Row],[Max pop]],-1,0)),0)+MIN(TblPop[[#This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 * IF(AND(TblMagic[[#This Row],[Active DnD]]&lt;=12,TblMagic[[#This Row],[Active DnD]]&gt;6),2,1)</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45461.583333333125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max]]*(1+OFFSET(TblPop[[#This Row],[Max pop]],-1,0)),0)+MIN(TblPop[[#This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 * IF(AND(TblMagic[[#This Row],[Active DnD]]&lt;=12,TblMagic[[#This Row],[Active DnD]]&gt;6),2,1)</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45461.624999999789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max]]*(1+OFFSET(TblPop[[#This Row],[Max pop]],-1,0)),0)+MIN(TblPop[[#This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 * IF(AND(TblMagic[[#This Row],[Active DnD]]&lt;=12,TblMagic[[#This Row],[Active DnD]]&gt;6),2,1)</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45461.666666666453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max]]*(1+OFFSET(TblPop[[#This Row],[Max pop]],-1,0)),0)+MIN(TblPop[[#This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 * IF(AND(TblMagic[[#This Row],[Active DnD]]&lt;=12,TblMagic[[#This Row],[Active DnD]]&gt;6),2,1)</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45461.708333333117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max]]*(1+OFFSET(TblPop[[#This Row],[Max pop]],-1,0)),0)+MIN(TblPop[[#This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 * IF(AND(TblMagic[[#This Row],[Active DnD]]&lt;=12,TblMagic[[#This Row],[Active DnD]]&gt;6),2,1)</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45461.749999999782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max]]*(1+OFFSET(TblPop[[#This Row],[Max pop]],-1,0)),0)+MIN(TblPop[[#This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 * IF(AND(TblMagic[[#This Row],[Active DnD]]&lt;=12,TblMagic[[#This Row],[Active DnD]]&gt;6),2,1)</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45461.791666666446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max]]*(1+OFFSET(TblPop[[#This Row],[Max pop]],-1,0)),0)+MIN(TblPop[[#This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 * IF(AND(TblMagic[[#This Row],[Active DnD]]&lt;=12,TblMagic[[#This Row],[Active DnD]]&gt;6),2,1)</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45461.83333333311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max]]*(1+OFFSET(TblPop[[#This Row],[Max pop]],-1,0)),0)+MIN(TblPop[[#This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 * IF(AND(TblMagic[[#This Row],[Active DnD]]&lt;=12,TblMagic[[#This Row],[Active DnD]]&gt;6),2,1)</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45461.874999999774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max]]*(1+OFFSET(TblPop[[#This Row],[Max pop]],-1,0)),0)+MIN(TblPop[[#This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 * IF(AND(TblMagic[[#This Row],[Active DnD]]&lt;=12,TblMagic[[#This Row],[Active DnD]]&gt;6),2,1)</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45461.916666666439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max]]*(1+OFFSET(TblPop[[#This Row],[Max pop]],-1,0)),0)+MIN(TblPop[[#This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 * IF(AND(TblMagic[[#This Row],[Active DnD]]&lt;=12,TblMagic[[#This Row],[Active DnD]]&gt;6),2,1)</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45461.958333333103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max]]*(1+OFFSET(TblPop[[#This Row],[Max pop]],-1,0)),0)+MIN(TblPop[[#This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 * IF(AND(TblMagic[[#This Row],[Active DnD]]&lt;=12,TblMagic[[#This Row],[Active DnD]]&gt;6),2,1)</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45461.999999999767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max]]*(1+OFFSET(TblPop[[#This Row],[Max pop]],-1,0)),0)+MIN(TblPop[[#This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 * IF(AND(TblMagic[[#This Row],[Active DnD]]&lt;=12,TblMagic[[#This Row],[Active DnD]]&gt;6),2,1)</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45462.041666666431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max]]*(1+OFFSET(TblPop[[#This Row],[Max pop]],-1,0)),0)+MIN(TblPop[[#This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 * IF(AND(TblMagic[[#This Row],[Active DnD]]&lt;=12,TblMagic[[#This Row],[Active DnD]]&gt;6),2,1)</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45462.083333333096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max]]*(1+OFFSET(TblPop[[#This Row],[Max pop]],-1,0)),0)+MIN(TblPop[[#This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 * IF(AND(TblMagic[[#This Row],[Active DnD]]&lt;=12,TblMagic[[#This Row],[Active DnD]]&gt;6),2,1)</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45462.12499999976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max]]*(1+OFFSET(TblPop[[#This Row],[Max pop]],-1,0)),0)+MIN(TblPop[[#This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 * IF(AND(TblMagic[[#This Row],[Active DnD]]&lt;=12,TblMagic[[#This Row],[Active DnD]]&gt;6),2,1)</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45462.166666666424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max]]*(1+OFFSET(TblPop[[#This Row],[Max pop]],-1,0)),0)+MIN(TblPop[[#This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 * IF(AND(TblMagic[[#This Row],[Active DnD]]&lt;=12,TblMagic[[#This Row],[Active DnD]]&gt;6),2,1)</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45462.208333333088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max]]*(1+OFFSET(TblPop[[#This Row],[Max pop]],-1,0)),0)+MIN(TblPop[[#This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 * IF(AND(TblMagic[[#This Row],[Active DnD]]&lt;=12,TblMagic[[#This Row],[Active DnD]]&gt;6),2,1)</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45462.249999999753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max]]*(1+OFFSET(TblPop[[#This Row],[Max pop]],-1,0)),0)+MIN(TblPop[[#This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 * IF(AND(TblMagic[[#This Row],[Active DnD]]&lt;=12,TblMagic[[#This Row],[Active DnD]]&gt;6),2,1)</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45462.291666666417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max]]*(1+OFFSET(TblPop[[#This Row],[Max pop]],-1,0)),0)+MIN(TblPop[[#This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 * IF(AND(TblMagic[[#This Row],[Active DnD]]&lt;=12,TblMagic[[#This Row],[Active DnD]]&gt;6),2,1)</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45462.333333333081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max]]*(1+OFFSET(TblPop[[#This Row],[Max pop]],-1,0)),0)+MIN(TblPop[[#This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 * IF(AND(TblMagic[[#This Row],[Active DnD]]&lt;=12,TblMagic[[#This Row],[Active DnD]]&gt;6),2,1)</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45462.374999999745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max]]*(1+OFFSET(TblPop[[#This Row],[Max pop]],-1,0)),0)+MIN(TblPop[[#This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 * IF(AND(TblMagic[[#This Row],[Active DnD]]&lt;=12,TblMagic[[#This Row],[Active DnD]]&gt;6),2,1)</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45462.41666666641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max]]*(1+OFFSET(TblPop[[#This Row],[Max pop]],-1,0)),0)+MIN(TblPop[[#This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 * IF(AND(TblMagic[[#This Row],[Active DnD]]&lt;=12,TblMagic[[#This Row],[Active DnD]]&gt;6),2,1)</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45462.458333333074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max]]*(1+OFFSET(TblPop[[#This Row],[Max pop]],-1,0)),0)+MIN(TblPop[[#This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 * IF(AND(TblMagic[[#This Row],[Active DnD]]&lt;=12,TblMagic[[#This Row],[Active DnD]]&gt;6),2,1)</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45462.499999999738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max]]*(1+OFFSET(TblPop[[#This Row],[Max pop]],-1,0)),0)+MIN(TblPop[[#This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 * IF(AND(TblMagic[[#This Row],[Active DnD]]&lt;=12,TblMagic[[#This Row],[Active DnD]]&gt;6),2,1)</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45462.541666666402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max]]*(1+OFFSET(TblPop[[#This Row],[Max pop]],-1,0)),0)+MIN(TblPop[[#This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 * IF(AND(TblMagic[[#This Row],[Active DnD]]&lt;=12,TblMagic[[#This Row],[Active DnD]]&gt;6),2,1)</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45462.583333333067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max]]*(1+OFFSET(TblPop[[#This Row],[Max pop]],-1,0)),0)+MIN(TblPop[[#This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 * IF(AND(TblMagic[[#This Row],[Active DnD]]&lt;=12,TblMagic[[#This Row],[Active DnD]]&gt;6),2,1)</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45462.624999999731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max]]*(1+OFFSET(TblPop[[#This Row],[Max pop]],-1,0)),0)+MIN(TblPop[[#This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 * IF(AND(TblMagic[[#This Row],[Active DnD]]&lt;=12,TblMagic[[#This Row],[Active DnD]]&gt;6),2,1)</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45462.666666666395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max]]*(1+OFFSET(TblPop[[#This Row],[Max pop]],-1,0)),0)+MIN(TblPop[[#This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 * IF(AND(TblMagic[[#This Row],[Active DnD]]&lt;=12,TblMagic[[#This Row],[Active DnD]]&gt;6),2,1)</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45462.708333333059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max]]*(1+OFFSET(TblPop[[#This Row],[Max pop]],-1,0)),0)+MIN(TblPop[[#This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 * IF(AND(TblMagic[[#This Row],[Active DnD]]&lt;=12,TblMagic[[#This Row],[Active DnD]]&gt;6),2,1)</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45462.749999999724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max]]*(1+OFFSET(TblPop[[#This Row],[Max pop]],-1,0)),0)+MIN(TblPop[[#This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 * IF(AND(TblMagic[[#This Row],[Active DnD]]&lt;=12,TblMagic[[#This Row],[Active DnD]]&gt;6),2,1)</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45462.791666666388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max]]*(1+OFFSET(TblPop[[#This Row],[Max pop]],-1,0)),0)+MIN(TblPop[[#This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 * IF(AND(TblMagic[[#This Row],[Active DnD]]&lt;=12,TblMagic[[#This Row],[Active DnD]]&gt;6),2,1)</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45462.833333333052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max]]*(1+OFFSET(TblPop[[#This Row],[Max pop]],-1,0)),0)+MIN(TblPop[[#This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 * IF(AND(TblMagic[[#This Row],[Active DnD]]&lt;=12,TblMagic[[#This Row],[Active DnD]]&gt;6),2,1)</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45462.874999999716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max]]*(1+OFFSET(TblPop[[#This Row],[Max pop]],-1,0)),0)+MIN(TblPop[[#This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 * IF(AND(TblMagic[[#This Row],[Active DnD]]&lt;=12,TblMagic[[#This Row],[Active DnD]]&gt;6),2,1)</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45462.91666666638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max]]*(1+OFFSET(TblPop[[#This Row],[Max pop]],-1,0)),0)+MIN(TblPop[[#This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 * IF(AND(TblMagic[[#This Row],[Active DnD]]&lt;=12,TblMagic[[#This Row],[Active DnD]]&gt;6),2,1)</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45462.958333333045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max]]*(1+OFFSET(TblPop[[#This Row],[Max pop]],-1,0)),0)+MIN(TblPop[[#This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 * IF(AND(TblMagic[[#This Row],[Active DnD]]&lt;=12,TblMagic[[#This Row],[Active DnD]]&gt;6),2,1)</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45462.999999999709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max]]*(1+OFFSET(TblPop[[#This Row],[Max pop]],-1,0)),0)+MIN(TblPop[[#This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 * IF(AND(TblMagic[[#This Row],[Active DnD]]&lt;=12,TblMagic[[#This Row],[Active DnD]]&gt;6),2,1)</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45463.041666666373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max]]*(1+OFFSET(TblPop[[#This Row],[Max pop]],-1,0)),0)+MIN(TblPop[[#This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 * IF(AND(TblMagic[[#This Row],[Active DnD]]&lt;=12,TblMagic[[#This Row],[Active DnD]]&gt;6),2,1)</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45463.083333333037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max]]*(1+OFFSET(TblPop[[#This Row],[Max pop]],-1,0)),0)+MIN(TblPop[[#This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 * IF(AND(TblMagic[[#This Row],[Active DnD]]&lt;=12,TblMagic[[#This Row],[Active DnD]]&gt;6),2,1)</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45463.124999999702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max]]*(1+OFFSET(TblPop[[#This Row],[Max pop]],-1,0)),0)+MIN(TblPop[[#This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 * IF(AND(TblMagic[[#This Row],[Active DnD]]&lt;=12,TblMagic[[#This Row],[Active DnD]]&gt;6),2,1)</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45463.166666666366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max]]*(1+OFFSET(TblPop[[#This Row],[Max pop]],-1,0)),0)+MIN(TblPop[[#This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 * IF(AND(TblMagic[[#This Row],[Active DnD]]&lt;=12,TblMagic[[#This Row],[Active DnD]]&gt;6),2,1)</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45463.20833333303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max]]*(1+OFFSET(TblPop[[#This Row],[Max pop]],-1,0)),0)+MIN(TblPop[[#This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 * IF(AND(TblMagic[[#This Row],[Active DnD]]&lt;=12,TblMagic[[#This Row],[Active DnD]]&gt;6),2,1)</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45463.249999999694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max]]*(1+OFFSET(TblPop[[#This Row],[Max pop]],-1,0)),0)+MIN(TblPop[[#This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 * IF(AND(TblMagic[[#This Row],[Active DnD]]&lt;=12,TblMagic[[#This Row],[Active DnD]]&gt;6),2,1)</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45463.291666666359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max]]*(1+OFFSET(TblPop[[#This Row],[Max pop]],-1,0)),0)+MIN(TblPop[[#This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 * IF(AND(TblMagic[[#This Row],[Active DnD]]&lt;=12,TblMagic[[#This Row],[Active DnD]]&gt;6),2,1)</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45463.333333333023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max]]*(1+OFFSET(TblPop[[#This Row],[Max pop]],-1,0)),0)+MIN(TblPop[[#This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 * IF(AND(TblMagic[[#This Row],[Active DnD]]&lt;=12,TblMagic[[#This Row],[Active DnD]]&gt;6),2,1)</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45463.374999999687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max]]*(1+OFFSET(TblPop[[#This Row],[Max pop]],-1,0)),0)+MIN(TblPop[[#This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 * IF(AND(TblMagic[[#This Row],[Active DnD]]&lt;=12,TblMagic[[#This Row],[Active DnD]]&gt;6),2,1)</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45463.416666666351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max]]*(1+OFFSET(TblPop[[#This Row],[Max pop]],-1,0)),0)+MIN(TblPop[[#This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 * IF(AND(TblMagic[[#This Row],[Active DnD]]&lt;=12,TblMagic[[#This Row],[Active DnD]]&gt;6),2,1)</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45463.458333333016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max]]*(1+OFFSET(TblPop[[#This Row],[Max pop]],-1,0)),0)+MIN(TblPop[[#This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 * IF(AND(TblMagic[[#This Row],[Active DnD]]&lt;=12,TblMagic[[#This Row],[Active DnD]]&gt;6),2,1)</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45463.49999999968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max]]*(1+OFFSET(TblPop[[#This Row],[Max pop]],-1,0)),0)+MIN(TblPop[[#This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 * IF(AND(TblMagic[[#This Row],[Active DnD]]&lt;=12,TblMagic[[#This Row],[Active DnD]]&gt;6),2,1)</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9" t="s">
        <v>315</v>
      </c>
      <c r="D1269" s="456"/>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502" t="s">
        <v>248</v>
      </c>
      <c r="T1" s="502"/>
      <c r="U1" s="502"/>
      <c r="AA1" s="502" t="s">
        <v>85</v>
      </c>
      <c r="AB1" s="502"/>
      <c r="AH1" s="502" t="s">
        <v>165</v>
      </c>
      <c r="AI1" s="502"/>
      <c r="AJ1" s="502"/>
      <c r="AK1" s="502"/>
      <c r="AL1" s="502"/>
      <c r="AM1" s="502"/>
      <c r="AO1" s="5" t="s">
        <v>19</v>
      </c>
      <c r="AT1" s="502" t="s">
        <v>185</v>
      </c>
      <c r="AU1" s="502"/>
      <c r="BC1" s="5" t="s">
        <v>420</v>
      </c>
      <c r="BI1" s="5" t="s">
        <v>17</v>
      </c>
    </row>
    <row r="2" spans="1:65" s="5" customFormat="1" x14ac:dyDescent="0.2">
      <c r="A2" s="28"/>
    </row>
    <row r="3" spans="1:65" s="154" customFormat="1" ht="25.5" x14ac:dyDescent="0.2">
      <c r="A3" s="138" t="s">
        <v>0</v>
      </c>
      <c r="B3" s="138" t="s">
        <v>310</v>
      </c>
      <c r="C3" s="138" t="s">
        <v>321</v>
      </c>
      <c r="D3" s="138" t="s">
        <v>773</v>
      </c>
      <c r="E3" s="138" t="s">
        <v>1</v>
      </c>
      <c r="F3" s="138" t="s">
        <v>21</v>
      </c>
      <c r="G3" s="138" t="s">
        <v>231</v>
      </c>
      <c r="H3" s="138" t="s">
        <v>2</v>
      </c>
      <c r="I3" s="138" t="s">
        <v>5</v>
      </c>
      <c r="J3" s="138" t="s">
        <v>7</v>
      </c>
      <c r="K3" s="138" t="s">
        <v>12</v>
      </c>
      <c r="L3" s="138" t="s">
        <v>3</v>
      </c>
      <c r="M3" s="138" t="s">
        <v>4</v>
      </c>
      <c r="N3" s="138" t="s">
        <v>82</v>
      </c>
      <c r="O3" s="138" t="s">
        <v>351</v>
      </c>
      <c r="P3" s="138" t="s">
        <v>371</v>
      </c>
      <c r="Q3" s="138" t="s">
        <v>372</v>
      </c>
      <c r="R3" s="138" t="s">
        <v>774</v>
      </c>
      <c r="S3" s="138" t="s">
        <v>6</v>
      </c>
      <c r="T3" s="138" t="s">
        <v>9</v>
      </c>
      <c r="U3" s="138" t="s">
        <v>8</v>
      </c>
      <c r="V3" s="138" t="s">
        <v>13</v>
      </c>
      <c r="W3" s="138" t="s">
        <v>10</v>
      </c>
      <c r="X3" s="138" t="s">
        <v>11</v>
      </c>
      <c r="Y3" s="138" t="s">
        <v>50</v>
      </c>
      <c r="Z3" s="138" t="s">
        <v>775</v>
      </c>
      <c r="AA3" s="138" t="s">
        <v>838</v>
      </c>
      <c r="AB3" s="138" t="s">
        <v>839</v>
      </c>
      <c r="AC3" s="138" t="s">
        <v>840</v>
      </c>
      <c r="AD3" s="138" t="s">
        <v>841</v>
      </c>
      <c r="AE3" s="138" t="s">
        <v>842</v>
      </c>
      <c r="AF3" s="138" t="s">
        <v>843</v>
      </c>
      <c r="AG3" s="138" t="s">
        <v>776</v>
      </c>
      <c r="AH3" s="138" t="s">
        <v>844</v>
      </c>
      <c r="AI3" s="138" t="s">
        <v>845</v>
      </c>
      <c r="AJ3" s="138" t="s">
        <v>846</v>
      </c>
      <c r="AK3" s="138" t="s">
        <v>847</v>
      </c>
      <c r="AL3" s="138" t="s">
        <v>848</v>
      </c>
      <c r="AM3" s="138" t="s">
        <v>849</v>
      </c>
      <c r="AN3" s="138" t="s">
        <v>790</v>
      </c>
      <c r="AO3" s="138" t="s">
        <v>14</v>
      </c>
      <c r="AP3" s="138" t="s">
        <v>20</v>
      </c>
      <c r="AQ3" s="138" t="s">
        <v>16</v>
      </c>
      <c r="AR3" s="138" t="s">
        <v>15</v>
      </c>
      <c r="AS3" s="138" t="s">
        <v>791</v>
      </c>
      <c r="AT3" s="138" t="s">
        <v>850</v>
      </c>
      <c r="AU3" s="138" t="s">
        <v>851</v>
      </c>
      <c r="AV3" s="138" t="s">
        <v>852</v>
      </c>
      <c r="AW3" s="138" t="s">
        <v>853</v>
      </c>
      <c r="AX3" s="138" t="s">
        <v>854</v>
      </c>
      <c r="AY3" s="138" t="s">
        <v>792</v>
      </c>
      <c r="AZ3" s="138" t="s">
        <v>325</v>
      </c>
      <c r="BA3" s="138" t="s">
        <v>326</v>
      </c>
      <c r="BB3" s="138" t="s">
        <v>855</v>
      </c>
      <c r="BC3" s="138" t="s">
        <v>856</v>
      </c>
      <c r="BD3" s="138" t="s">
        <v>857</v>
      </c>
      <c r="BE3" s="138" t="s">
        <v>858</v>
      </c>
      <c r="BF3" s="138" t="s">
        <v>859</v>
      </c>
      <c r="BG3" s="138" t="s">
        <v>860</v>
      </c>
      <c r="BH3" s="138" t="s">
        <v>194</v>
      </c>
      <c r="BI3" s="138" t="s">
        <v>861</v>
      </c>
      <c r="BJ3" s="138" t="s">
        <v>862</v>
      </c>
      <c r="BK3" s="138" t="s">
        <v>863</v>
      </c>
      <c r="BL3" s="138" t="s">
        <v>864</v>
      </c>
      <c r="BM3" s="138" t="s">
        <v>865</v>
      </c>
    </row>
    <row r="4" spans="1:65" x14ac:dyDescent="0.2">
      <c r="A4" s="140">
        <f>TblRezone[[#This Row],[Hour]]</f>
        <v>1</v>
      </c>
      <c r="B4" s="155">
        <f>TblImps[[#This Row],[Time]]</f>
        <v>45458</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Row],[Spires]]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 + IF(AND(TblMagic[[#This Row],[Active DnD]]&lt;12,TblMagic[[#This Row],[Active DnD]]&gt;5),1,0))</f>
        <v>150</v>
      </c>
      <c r="AP4" s="97">
        <f ca="1">(1+race_food_consumption)*TblPop[[#This Row],[Total]]*food_per_person*(1+tech_1_10*TblTech[[#This Row],[1-10]]+tech_7_5*TblTech[[#This Row],[7-5]])</f>
        <v>400</v>
      </c>
      <c r="AQ4" s="97">
        <f ca="1">TblProd[[#This Row],[Lumber]]*lumber_rot * (1 + tech_2_1*TblTech[[#This Row],[2-1]] + tech_2_8*TblTech[[#This Row],[2-8]] + tech_5_2*TblTech[[#This Row],[5-2]] + IF(AND(TblMagic[[#This Row],[Active DnD]]&lt;12,TblMagic[[#This Row],[Active DnD]]&gt;5),1,0))</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Military!$CM$25*TblMili[[#This Row],[Sec. rec. Cost]]</f>
        <v>0</v>
      </c>
      <c r="AV4" s="97">
        <f ca="1">TblMagic[[#This Row],[Mana cost]] + Military!$CM$26*TblMili[[#This Row],[Sec. rec. Cost]]</f>
        <v>0</v>
      </c>
      <c r="AW4" s="97">
        <f ca="1">Military!$CM$24*TblMili[[#This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45458</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45458.041666666664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Row],[Spires]]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 + IF(AND(TblMagic[[#This Row],[Active DnD]]&lt;12,TblMagic[[#This Row],[Active DnD]]&gt;5),1,0))</f>
        <v>170.3</v>
      </c>
      <c r="AP5" s="97">
        <f ca="1">(1+race_food_consumption)*TblPop[[#This Row],[Total]]*food_per_person*(1+tech_1_10*TblTech[[#This Row],[1-10]]+tech_7_5*TblTech[[#This Row],[7-5]])</f>
        <v>409.75</v>
      </c>
      <c r="AQ5" s="97">
        <f ca="1">TblProd[[#This Row],[Lumber]]*lumber_rot * (1 + tech_2_1*TblTech[[#This Row],[2-1]] + tech_2_8*TblTech[[#This Row],[2-8]] + tech_5_2*TblTech[[#This Row],[5-2]] + IF(AND(TblMagic[[#This Row],[Active DnD]]&lt;12,TblMagic[[#This Row],[Active DnD]]&gt;5),1,0))</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Military!$CM$25*TblMili[[#This Row],[Sec. rec. Cost]]</f>
        <v>0</v>
      </c>
      <c r="AV5" s="97">
        <f ca="1">TblMagic[[#This Row],[Mana cost]] + Military!$CM$26*TblMili[[#This Row],[Sec. rec. Cost]]</f>
        <v>0</v>
      </c>
      <c r="AW5" s="97">
        <f ca="1">Military!$CM$24*TblMili[[#This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45458.041666666664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45458.083333333328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Row],[Spires]]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 + IF(AND(TblMagic[[#This Row],[Active DnD]]&lt;12,TblMagic[[#This Row],[Active DnD]]&gt;5),1,0))</f>
        <v>190.3</v>
      </c>
      <c r="AP6" s="97">
        <f ca="1">(1+race_food_consumption)*TblPop[[#This Row],[Total]]*food_per_person*(1+tech_1_10*TblTech[[#This Row],[1-10]]+tech_7_5*TblTech[[#This Row],[7-5]])</f>
        <v>419.5</v>
      </c>
      <c r="AQ6" s="97">
        <f ca="1">TblProd[[#This Row],[Lumber]]*lumber_rot * (1 + tech_2_1*TblTech[[#This Row],[2-1]] + tech_2_8*TblTech[[#This Row],[2-8]] + tech_5_2*TblTech[[#This Row],[5-2]] + IF(AND(TblMagic[[#This Row],[Active DnD]]&lt;12,TblMagic[[#This Row],[Active DnD]]&gt;5),1,0))</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Military!$CM$25*TblMili[[#This Row],[Sec. rec. Cost]]</f>
        <v>0</v>
      </c>
      <c r="AV6" s="97">
        <f ca="1">TblMagic[[#This Row],[Mana cost]] + Military!$CM$26*TblMili[[#This Row],[Sec. rec. Cost]]</f>
        <v>0</v>
      </c>
      <c r="AW6" s="97">
        <f ca="1">Military!$CM$24*TblMili[[#This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45458.083333333328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45458.124999999993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Row],[Spires]]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 + IF(AND(TblMagic[[#This Row],[Active DnD]]&lt;12,TblMagic[[#This Row],[Active DnD]]&gt;5),1,0))</f>
        <v>210</v>
      </c>
      <c r="AP7" s="97">
        <f ca="1">(1+race_food_consumption)*TblPop[[#This Row],[Total]]*food_per_person*(1+tech_1_10*TblTech[[#This Row],[1-10]]+tech_7_5*TblTech[[#This Row],[7-5]])</f>
        <v>429.5</v>
      </c>
      <c r="AQ7" s="97">
        <f ca="1">TblProd[[#This Row],[Lumber]]*lumber_rot * (1 + tech_2_1*TblTech[[#This Row],[2-1]] + tech_2_8*TblTech[[#This Row],[2-8]] + tech_5_2*TblTech[[#This Row],[5-2]] + IF(AND(TblMagic[[#This Row],[Active DnD]]&lt;12,TblMagic[[#This Row],[Active DnD]]&gt;5),1,0))</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Military!$CM$25*TblMili[[#This Row],[Sec. rec. Cost]]</f>
        <v>0</v>
      </c>
      <c r="AV7" s="97">
        <f ca="1">TblMagic[[#This Row],[Mana cost]] + Military!$CM$26*TblMili[[#This Row],[Sec. rec. Cost]]</f>
        <v>0</v>
      </c>
      <c r="AW7" s="97">
        <f ca="1">Military!$CM$24*TblMili[[#This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45458.124999999993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45458.166666666657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Row],[Spires]]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 + IF(AND(TblMagic[[#This Row],[Active DnD]]&lt;12,TblMagic[[#This Row],[Active DnD]]&gt;5),1,0))</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 + IF(AND(TblMagic[[#This Row],[Active DnD]]&lt;12,TblMagic[[#This Row],[Active DnD]]&gt;5),1,0))</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Military!$CM$25*TblMili[[#This Row],[Sec. rec. Cost]]</f>
        <v>0</v>
      </c>
      <c r="AV8" s="97">
        <f ca="1">TblMagic[[#This Row],[Mana cost]] + Military!$CM$26*TblMili[[#This Row],[Sec. rec. Cost]]</f>
        <v>0</v>
      </c>
      <c r="AW8" s="97">
        <f ca="1">Military!$CM$24*TblMili[[#This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45458.166666666657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45458.208333333321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Row],[Spires]]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 + IF(AND(TblMagic[[#This Row],[Active DnD]]&lt;12,TblMagic[[#This Row],[Active DnD]]&gt;5),1,0))</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 + IF(AND(TblMagic[[#This Row],[Active DnD]]&lt;12,TblMagic[[#This Row],[Active DnD]]&gt;5),1,0))</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Military!$CM$25*TblMili[[#This Row],[Sec. rec. Cost]]</f>
        <v>0</v>
      </c>
      <c r="AV9" s="97">
        <f ca="1">TblMagic[[#This Row],[Mana cost]] + Military!$CM$26*TblMili[[#This Row],[Sec. rec. Cost]]</f>
        <v>0</v>
      </c>
      <c r="AW9" s="97">
        <f ca="1">Military!$CM$24*TblMili[[#This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45458.208333333321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45458.249999999985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Row],[Spires]]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 + IF(AND(TblMagic[[#This Row],[Active DnD]]&lt;12,TblMagic[[#This Row],[Active DnD]]&gt;5),1,0))</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 + IF(AND(TblMagic[[#This Row],[Active DnD]]&lt;12,TblMagic[[#This Row],[Active DnD]]&gt;5),1,0))</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Military!$CM$25*TblMili[[#This Row],[Sec. rec. Cost]]</f>
        <v>0</v>
      </c>
      <c r="AV10" s="97">
        <f ca="1">TblMagic[[#This Row],[Mana cost]] + Military!$CM$26*TblMili[[#This Row],[Sec. rec. Cost]]</f>
        <v>0</v>
      </c>
      <c r="AW10" s="97">
        <f ca="1">Military!$CM$24*TblMili[[#This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45458.249999999985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45458.29166666665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Row],[Spires]]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 + IF(AND(TblMagic[[#This Row],[Active DnD]]&lt;12,TblMagic[[#This Row],[Active DnD]]&gt;5),1,0))</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 + IF(AND(TblMagic[[#This Row],[Active DnD]]&lt;12,TblMagic[[#This Row],[Active DnD]]&gt;5),1,0))</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Military!$CM$25*TblMili[[#This Row],[Sec. rec. Cost]]</f>
        <v>0</v>
      </c>
      <c r="AV11" s="97">
        <f ca="1">TblMagic[[#This Row],[Mana cost]] + Military!$CM$26*TblMili[[#This Row],[Sec. rec. Cost]]</f>
        <v>0</v>
      </c>
      <c r="AW11" s="97">
        <f ca="1">Military!$CM$24*TblMili[[#This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45458.29166666665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45458.333333333314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Row],[Spires]]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 + IF(AND(TblMagic[[#This Row],[Active DnD]]&lt;12,TblMagic[[#This Row],[Active DnD]]&gt;5),1,0))</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 + IF(AND(TblMagic[[#This Row],[Active DnD]]&lt;12,TblMagic[[#This Row],[Active DnD]]&gt;5),1,0))</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Military!$CM$25*TblMili[[#This Row],[Sec. rec. Cost]]</f>
        <v>0</v>
      </c>
      <c r="AV12" s="97">
        <f ca="1">TblMagic[[#This Row],[Mana cost]] + Military!$CM$26*TblMili[[#This Row],[Sec. rec. Cost]]</f>
        <v>0</v>
      </c>
      <c r="AW12" s="97">
        <f ca="1">Military!$CM$24*TblMili[[#This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45458.333333333314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45458.374999999978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Row],[Spires]]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 + IF(AND(TblMagic[[#This Row],[Active DnD]]&lt;12,TblMagic[[#This Row],[Active DnD]]&gt;5),1,0))</f>
        <v>322</v>
      </c>
      <c r="AP13" s="97">
        <f ca="1">(1+race_food_consumption)*TblPop[[#This Row],[Total]]*food_per_person*(1+tech_1_10*TblTech[[#This Row],[1-10]]+tech_7_5*TblTech[[#This Row],[7-5]])</f>
        <v>494</v>
      </c>
      <c r="AQ13" s="97">
        <f ca="1">TblProd[[#This Row],[Lumber]]*lumber_rot * (1 + tech_2_1*TblTech[[#This Row],[2-1]] + tech_2_8*TblTech[[#This Row],[2-8]] + tech_5_2*TblTech[[#This Row],[5-2]] + IF(AND(TblMagic[[#This Row],[Active DnD]]&lt;12,TblMagic[[#This Row],[Active DnD]]&gt;5),1,0))</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Military!$CM$25*TblMili[[#This Row],[Sec. rec. Cost]]</f>
        <v>0</v>
      </c>
      <c r="AV13" s="97">
        <f ca="1">TblMagic[[#This Row],[Mana cost]] + Military!$CM$26*TblMili[[#This Row],[Sec. rec. Cost]]</f>
        <v>0</v>
      </c>
      <c r="AW13" s="97">
        <f ca="1">Military!$CM$24*TblMili[[#This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45458.374999999978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45458.416666666642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Row],[Spires]]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 + IF(AND(TblMagic[[#This Row],[Active DnD]]&lt;12,TblMagic[[#This Row],[Active DnD]]&gt;5),1,0))</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 + IF(AND(TblMagic[[#This Row],[Active DnD]]&lt;12,TblMagic[[#This Row],[Active DnD]]&gt;5),1,0))</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Military!$CM$25*TblMili[[#This Row],[Sec. rec. Cost]]</f>
        <v>0</v>
      </c>
      <c r="AV14" s="97">
        <f ca="1">TblMagic[[#This Row],[Mana cost]] + Military!$CM$26*TblMili[[#This Row],[Sec. rec. Cost]]</f>
        <v>0</v>
      </c>
      <c r="AW14" s="97">
        <f ca="1">Military!$CM$24*TblMili[[#This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45458.416666666642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45458.458333333307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Row],[Spires]]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 + IF(AND(TblMagic[[#This Row],[Active DnD]]&lt;12,TblMagic[[#This Row],[Active DnD]]&gt;5),1,0))</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 + IF(AND(TblMagic[[#This Row],[Active DnD]]&lt;12,TblMagic[[#This Row],[Active DnD]]&gt;5),1,0))</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Military!$CM$25*TblMili[[#This Row],[Sec. rec. Cost]]</f>
        <v>0</v>
      </c>
      <c r="AV15" s="97">
        <f ca="1">TblMagic[[#This Row],[Mana cost]] + Military!$CM$26*TblMili[[#This Row],[Sec. rec. Cost]]</f>
        <v>0</v>
      </c>
      <c r="AW15" s="97">
        <f ca="1">Military!$CM$24*TblMili[[#This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45458.458333333307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45458.499999999971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Row],[Spires]]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 + IF(AND(TblMagic[[#This Row],[Active DnD]]&lt;12,TblMagic[[#This Row],[Active DnD]]&gt;5),1,0))</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 + IF(AND(TblMagic[[#This Row],[Active DnD]]&lt;12,TblMagic[[#This Row],[Active DnD]]&gt;5),1,0))</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Military!$CM$25*TblMili[[#This Row],[Sec. rec. Cost]]</f>
        <v>0</v>
      </c>
      <c r="AV16" s="97">
        <f ca="1">TblMagic[[#This Row],[Mana cost]] + Military!$CM$26*TblMili[[#This Row],[Sec. rec. Cost]]</f>
        <v>0</v>
      </c>
      <c r="AW16" s="97">
        <f ca="1">Military!$CM$24*TblMili[[#This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45458.499999999971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45458.541666666635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Row],[Spires]]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 + IF(AND(TblMagic[[#This Row],[Active DnD]]&lt;12,TblMagic[[#This Row],[Active DnD]]&gt;5),1,0))</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 + IF(AND(TblMagic[[#This Row],[Active DnD]]&lt;12,TblMagic[[#This Row],[Active DnD]]&gt;5),1,0))</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Military!$CM$25*TblMili[[#This Row],[Sec. rec. Cost]]</f>
        <v>0</v>
      </c>
      <c r="AV17" s="97">
        <f ca="1">TblMagic[[#This Row],[Mana cost]] + Military!$CM$26*TblMili[[#This Row],[Sec. rec. Cost]]</f>
        <v>0</v>
      </c>
      <c r="AW17" s="97">
        <f ca="1">Military!$CM$24*TblMili[[#This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45458.541666666635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45458.583333333299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Row],[Spires]]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 + IF(AND(TblMagic[[#This Row],[Active DnD]]&lt;12,TblMagic[[#This Row],[Active DnD]]&gt;5),1,0))</f>
        <v>407.3</v>
      </c>
      <c r="AP18" s="97">
        <f ca="1">(1+race_food_consumption)*TblPop[[#This Row],[Total]]*food_per_person*(1+tech_1_10*TblTech[[#This Row],[1-10]]+tech_7_5*TblTech[[#This Row],[7-5]])</f>
        <v>554</v>
      </c>
      <c r="AQ18" s="97">
        <f ca="1">TblProd[[#This Row],[Lumber]]*lumber_rot * (1 + tech_2_1*TblTech[[#This Row],[2-1]] + tech_2_8*TblTech[[#This Row],[2-8]] + tech_5_2*TblTech[[#This Row],[5-2]] + IF(AND(TblMagic[[#This Row],[Active DnD]]&lt;12,TblMagic[[#This Row],[Active DnD]]&gt;5),1,0))</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Military!$CM$25*TblMili[[#This Row],[Sec. rec. Cost]]</f>
        <v>0</v>
      </c>
      <c r="AV18" s="97">
        <f ca="1">TblMagic[[#This Row],[Mana cost]] + Military!$CM$26*TblMili[[#This Row],[Sec. rec. Cost]]</f>
        <v>0</v>
      </c>
      <c r="AW18" s="97">
        <f ca="1">Military!$CM$24*TblMili[[#This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45458.583333333299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45458.624999999964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Row],[Spires]]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 + IF(AND(TblMagic[[#This Row],[Active DnD]]&lt;12,TblMagic[[#This Row],[Active DnD]]&gt;5),1,0))</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 + IF(AND(TblMagic[[#This Row],[Active DnD]]&lt;12,TblMagic[[#This Row],[Active DnD]]&gt;5),1,0))</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Military!$CM$25*TblMili[[#This Row],[Sec. rec. Cost]]</f>
        <v>0</v>
      </c>
      <c r="AV19" s="97">
        <f ca="1">TblMagic[[#This Row],[Mana cost]] + Military!$CM$26*TblMili[[#This Row],[Sec. rec. Cost]]</f>
        <v>0</v>
      </c>
      <c r="AW19" s="97">
        <f ca="1">Military!$CM$24*TblMili[[#This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45458.624999999964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45458.666666666628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Row],[Spires]]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 + IF(AND(TblMagic[[#This Row],[Active DnD]]&lt;12,TblMagic[[#This Row],[Active DnD]]&gt;5),1,0))</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 + IF(AND(TblMagic[[#This Row],[Active DnD]]&lt;12,TblMagic[[#This Row],[Active DnD]]&gt;5),1,0))</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Military!$CM$25*TblMili[[#This Row],[Sec. rec. Cost]]</f>
        <v>0</v>
      </c>
      <c r="AV20" s="97">
        <f ca="1">TblMagic[[#This Row],[Mana cost]] + Military!$CM$26*TblMili[[#This Row],[Sec. rec. Cost]]</f>
        <v>0</v>
      </c>
      <c r="AW20" s="97">
        <f ca="1">Military!$CM$24*TblMili[[#This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45458.666666666628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45458.708333333292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Row],[Spires]]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 + IF(AND(TblMagic[[#This Row],[Active DnD]]&lt;12,TblMagic[[#This Row],[Active DnD]]&gt;5),1,0))</f>
        <v>455</v>
      </c>
      <c r="AP21" s="97">
        <f ca="1">(1+race_food_consumption)*TblPop[[#This Row],[Total]]*food_per_person*(1+tech_1_10*TblTech[[#This Row],[1-10]]+tech_7_5*TblTech[[#This Row],[7-5]])</f>
        <v>589.5</v>
      </c>
      <c r="AQ21" s="97">
        <f ca="1">TblProd[[#This Row],[Lumber]]*lumber_rot * (1 + tech_2_1*TblTech[[#This Row],[2-1]] + tech_2_8*TblTech[[#This Row],[2-8]] + tech_5_2*TblTech[[#This Row],[5-2]] + IF(AND(TblMagic[[#This Row],[Active DnD]]&lt;12,TblMagic[[#This Row],[Active DnD]]&gt;5),1,0))</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Military!$CM$25*TblMili[[#This Row],[Sec. rec. Cost]]</f>
        <v>0</v>
      </c>
      <c r="AV21" s="97">
        <f ca="1">TblMagic[[#This Row],[Mana cost]] + Military!$CM$26*TblMili[[#This Row],[Sec. rec. Cost]]</f>
        <v>0</v>
      </c>
      <c r="AW21" s="97">
        <f ca="1">Military!$CM$24*TblMili[[#This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45458.708333333292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45458.749999999956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Row],[Spires]]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 + IF(AND(TblMagic[[#This Row],[Active DnD]]&lt;12,TblMagic[[#This Row],[Active DnD]]&gt;5),1,0))</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 + IF(AND(TblMagic[[#This Row],[Active DnD]]&lt;12,TblMagic[[#This Row],[Active DnD]]&gt;5),1,0))</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Military!$CM$25*TblMili[[#This Row],[Sec. rec. Cost]]</f>
        <v>0</v>
      </c>
      <c r="AV22" s="97">
        <f ca="1">TblMagic[[#This Row],[Mana cost]] + Military!$CM$26*TblMili[[#This Row],[Sec. rec. Cost]]</f>
        <v>0</v>
      </c>
      <c r="AW22" s="97">
        <f ca="1">Military!$CM$24*TblMili[[#This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45458.749999999956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45458.791666666621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Row],[Spires]]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 + IF(AND(TblMagic[[#This Row],[Active DnD]]&lt;12,TblMagic[[#This Row],[Active DnD]]&gt;5),1,0))</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 + IF(AND(TblMagic[[#This Row],[Active DnD]]&lt;12,TblMagic[[#This Row],[Active DnD]]&gt;5),1,0))</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Military!$CM$25*TblMili[[#This Row],[Sec. rec. Cost]]</f>
        <v>0</v>
      </c>
      <c r="AV23" s="97">
        <f ca="1">TblMagic[[#This Row],[Mana cost]] + Military!$CM$26*TblMili[[#This Row],[Sec. rec. Cost]]</f>
        <v>0</v>
      </c>
      <c r="AW23" s="97">
        <f ca="1">Military!$CM$24*TblMili[[#This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45458.791666666621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45458.833333333285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Row],[Spires]]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 + IF(AND(TblMagic[[#This Row],[Active DnD]]&lt;12,TblMagic[[#This Row],[Active DnD]]&gt;5),1,0))</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 + IF(AND(TblMagic[[#This Row],[Active DnD]]&lt;12,TblMagic[[#This Row],[Active DnD]]&gt;5),1,0))</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Military!$CM$25*TblMili[[#This Row],[Sec. rec. Cost]]</f>
        <v>0</v>
      </c>
      <c r="AV24" s="97">
        <f ca="1">TblMagic[[#This Row],[Mana cost]] + Military!$CM$26*TblMili[[#This Row],[Sec. rec. Cost]]</f>
        <v>0</v>
      </c>
      <c r="AW24" s="97">
        <f ca="1">Military!$CM$24*TblMili[[#This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45458.833333333285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45458.874999999949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Row],[Spires]]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 + IF(AND(TblMagic[[#This Row],[Active DnD]]&lt;12,TblMagic[[#This Row],[Active DnD]]&gt;5),1,0))</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 + IF(AND(TblMagic[[#This Row],[Active DnD]]&lt;12,TblMagic[[#This Row],[Active DnD]]&gt;5),1,0))</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Military!$CM$25*TblMili[[#This Row],[Sec. rec. Cost]]</f>
        <v>0</v>
      </c>
      <c r="AV25" s="97">
        <f ca="1">TblMagic[[#This Row],[Mana cost]] + Military!$CM$26*TblMili[[#This Row],[Sec. rec. Cost]]</f>
        <v>0</v>
      </c>
      <c r="AW25" s="97">
        <f ca="1">Military!$CM$24*TblMili[[#This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45458.874999999949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45458.916666666613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Row],[Spires]]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 + IF(AND(TblMagic[[#This Row],[Active DnD]]&lt;12,TblMagic[[#This Row],[Active DnD]]&gt;5),1,0))</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 + IF(AND(TblMagic[[#This Row],[Active DnD]]&lt;12,TblMagic[[#This Row],[Active DnD]]&gt;5),1,0))</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Military!$CM$25*TblMili[[#This Row],[Sec. rec. Cost]]</f>
        <v>0</v>
      </c>
      <c r="AV26" s="97">
        <f ca="1">TblMagic[[#This Row],[Mana cost]] + Military!$CM$26*TblMili[[#This Row],[Sec. rec. Cost]]</f>
        <v>0</v>
      </c>
      <c r="AW26" s="97">
        <f ca="1">Military!$CM$24*TblMili[[#This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45458.916666666613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45458.958333333278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Row],[Spires]]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 + IF(AND(TblMagic[[#This Row],[Active DnD]]&lt;12,TblMagic[[#This Row],[Active DnD]]&gt;5),1,0))</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 + IF(AND(TblMagic[[#This Row],[Active DnD]]&lt;12,TblMagic[[#This Row],[Active DnD]]&gt;5),1,0))</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Military!$CM$25*TblMili[[#This Row],[Sec. rec. Cost]]</f>
        <v>0</v>
      </c>
      <c r="AV27" s="97">
        <f ca="1">TblMagic[[#This Row],[Mana cost]] + Military!$CM$26*TblMili[[#This Row],[Sec. rec. Cost]]</f>
        <v>0</v>
      </c>
      <c r="AW27" s="97">
        <f ca="1">Military!$CM$24*TblMili[[#This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45458.958333333278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45458.999999999942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Row],[Spires]]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 + IF(AND(TblMagic[[#This Row],[Active DnD]]&lt;12,TblMagic[[#This Row],[Active DnD]]&gt;5),1,0))</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 + IF(AND(TblMagic[[#This Row],[Active DnD]]&lt;12,TblMagic[[#This Row],[Active DnD]]&gt;5),1,0))</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Military!$CM$25*TblMili[[#This Row],[Sec. rec. Cost]]</f>
        <v>0</v>
      </c>
      <c r="AV28" s="97">
        <f ca="1">TblMagic[[#This Row],[Mana cost]] + Military!$CM$26*TblMili[[#This Row],[Sec. rec. Cost]]</f>
        <v>0</v>
      </c>
      <c r="AW28" s="97">
        <f ca="1">Military!$CM$24*TblMili[[#This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45458.999999999942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45459.041666666606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Row],[Spires]]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 + IF(AND(TblMagic[[#This Row],[Active DnD]]&lt;12,TblMagic[[#This Row],[Active DnD]]&gt;5),1,0))</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 + IF(AND(TblMagic[[#This Row],[Active DnD]]&lt;12,TblMagic[[#This Row],[Active DnD]]&gt;5),1,0))</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Military!$CM$25*TblMili[[#This Row],[Sec. rec. Cost]]</f>
        <v>0</v>
      </c>
      <c r="AV29" s="97">
        <f ca="1">TblMagic[[#This Row],[Mana cost]] + Military!$CM$26*TblMili[[#This Row],[Sec. rec. Cost]]</f>
        <v>0</v>
      </c>
      <c r="AW29" s="97">
        <f ca="1">Military!$CM$24*TblMili[[#This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45459.041666666606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45459.08333333327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Row],[Spires]]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 + IF(AND(TblMagic[[#This Row],[Active DnD]]&lt;12,TblMagic[[#This Row],[Active DnD]]&gt;5),1,0))</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 + IF(AND(TblMagic[[#This Row],[Active DnD]]&lt;12,TblMagic[[#This Row],[Active DnD]]&gt;5),1,0))</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Military!$CM$25*TblMili[[#This Row],[Sec. rec. Cost]]</f>
        <v>0</v>
      </c>
      <c r="AV30" s="97">
        <f ca="1">TblMagic[[#This Row],[Mana cost]] + Military!$CM$26*TblMili[[#This Row],[Sec. rec. Cost]]</f>
        <v>0</v>
      </c>
      <c r="AW30" s="97">
        <f ca="1">Military!$CM$24*TblMili[[#This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45459.08333333327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45459.124999999935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Row],[Spires]]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 + IF(AND(TblMagic[[#This Row],[Active DnD]]&lt;12,TblMagic[[#This Row],[Active DnD]]&gt;5),1,0))</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 + IF(AND(TblMagic[[#This Row],[Active DnD]]&lt;12,TblMagic[[#This Row],[Active DnD]]&gt;5),1,0))</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Military!$CM$25*TblMili[[#This Row],[Sec. rec. Cost]]</f>
        <v>0</v>
      </c>
      <c r="AV31" s="97">
        <f ca="1">TblMagic[[#This Row],[Mana cost]] + Military!$CM$26*TblMili[[#This Row],[Sec. rec. Cost]]</f>
        <v>0</v>
      </c>
      <c r="AW31" s="97">
        <f ca="1">Military!$CM$24*TblMili[[#This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45459.124999999935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45459.166666666599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Row],[Spires]]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 + IF(AND(TblMagic[[#This Row],[Active DnD]]&lt;12,TblMagic[[#This Row],[Active DnD]]&gt;5),1,0))</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 + IF(AND(TblMagic[[#This Row],[Active DnD]]&lt;12,TblMagic[[#This Row],[Active DnD]]&gt;5),1,0))</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Military!$CM$25*TblMili[[#This Row],[Sec. rec. Cost]]</f>
        <v>0</v>
      </c>
      <c r="AV32" s="97">
        <f ca="1">TblMagic[[#This Row],[Mana cost]] + Military!$CM$26*TblMili[[#This Row],[Sec. rec. Cost]]</f>
        <v>0</v>
      </c>
      <c r="AW32" s="97">
        <f ca="1">Military!$CM$24*TblMili[[#This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45459.166666666599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45459.208333333263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Row],[Spires]]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 + IF(AND(TblMagic[[#This Row],[Active DnD]]&lt;12,TblMagic[[#This Row],[Active DnD]]&gt;5),1,0))</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 + IF(AND(TblMagic[[#This Row],[Active DnD]]&lt;12,TblMagic[[#This Row],[Active DnD]]&gt;5),1,0))</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Military!$CM$25*TblMili[[#This Row],[Sec. rec. Cost]]</f>
        <v>0</v>
      </c>
      <c r="AV33" s="97">
        <f ca="1">TblMagic[[#This Row],[Mana cost]] + Military!$CM$26*TblMili[[#This Row],[Sec. rec. Cost]]</f>
        <v>0</v>
      </c>
      <c r="AW33" s="97">
        <f ca="1">Military!$CM$24*TblMili[[#This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45459.208333333263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45459.249999999927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Row],[Spires]]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 + IF(AND(TblMagic[[#This Row],[Active DnD]]&lt;12,TblMagic[[#This Row],[Active DnD]]&gt;5),1,0))</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 + IF(AND(TblMagic[[#This Row],[Active DnD]]&lt;12,TblMagic[[#This Row],[Active DnD]]&gt;5),1,0))</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Military!$CM$25*TblMili[[#This Row],[Sec. rec. Cost]]</f>
        <v>0</v>
      </c>
      <c r="AV34" s="97">
        <f ca="1">TblMagic[[#This Row],[Mana cost]] + Military!$CM$26*TblMili[[#This Row],[Sec. rec. Cost]]</f>
        <v>0</v>
      </c>
      <c r="AW34" s="97">
        <f ca="1">Military!$CM$24*TblMili[[#This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45459.249999999927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45459.291666666591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Row],[Spires]]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 + IF(AND(TblMagic[[#This Row],[Active DnD]]&lt;12,TblMagic[[#This Row],[Active DnD]]&gt;5),1,0))</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 + IF(AND(TblMagic[[#This Row],[Active DnD]]&lt;12,TblMagic[[#This Row],[Active DnD]]&gt;5),1,0))</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Military!$CM$25*TblMili[[#This Row],[Sec. rec. Cost]]</f>
        <v>0</v>
      </c>
      <c r="AV35" s="97">
        <f ca="1">TblMagic[[#This Row],[Mana cost]] + Military!$CM$26*TblMili[[#This Row],[Sec. rec. Cost]]</f>
        <v>0</v>
      </c>
      <c r="AW35" s="97">
        <f ca="1">Military!$CM$24*TblMili[[#This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45459.291666666591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45459.333333333256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Row],[Spires]]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 + IF(AND(TblMagic[[#This Row],[Active DnD]]&lt;12,TblMagic[[#This Row],[Active DnD]]&gt;5),1,0))</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 + IF(AND(TblMagic[[#This Row],[Active DnD]]&lt;12,TblMagic[[#This Row],[Active DnD]]&gt;5),1,0))</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Military!$CM$25*TblMili[[#This Row],[Sec. rec. Cost]]</f>
        <v>0</v>
      </c>
      <c r="AV36" s="97">
        <f ca="1">TblMagic[[#This Row],[Mana cost]] + Military!$CM$26*TblMili[[#This Row],[Sec. rec. Cost]]</f>
        <v>0</v>
      </c>
      <c r="AW36" s="97">
        <f ca="1">Military!$CM$24*TblMili[[#This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45459.333333333256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45459.37499999992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Row],[Spires]]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 + IF(AND(TblMagic[[#This Row],[Active DnD]]&lt;12,TblMagic[[#This Row],[Active DnD]]&gt;5),1,0))</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 + IF(AND(TblMagic[[#This Row],[Active DnD]]&lt;12,TblMagic[[#This Row],[Active DnD]]&gt;5),1,0))</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Military!$CM$25*TblMili[[#This Row],[Sec. rec. Cost]]</f>
        <v>0</v>
      </c>
      <c r="AV37" s="97">
        <f ca="1">TblMagic[[#This Row],[Mana cost]] + Military!$CM$26*TblMili[[#This Row],[Sec. rec. Cost]]</f>
        <v>0</v>
      </c>
      <c r="AW37" s="97">
        <f ca="1">Military!$CM$24*TblMili[[#This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45459.37499999992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45459.416666666584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Row],[Spires]]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 + IF(AND(TblMagic[[#This Row],[Active DnD]]&lt;12,TblMagic[[#This Row],[Active DnD]]&gt;5),1,0))</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 + IF(AND(TblMagic[[#This Row],[Active DnD]]&lt;12,TblMagic[[#This Row],[Active DnD]]&gt;5),1,0))</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Military!$CM$25*TblMili[[#This Row],[Sec. rec. Cost]]</f>
        <v>0</v>
      </c>
      <c r="AV38" s="97">
        <f ca="1">TblMagic[[#This Row],[Mana cost]] + Military!$CM$26*TblMili[[#This Row],[Sec. rec. Cost]]</f>
        <v>0</v>
      </c>
      <c r="AW38" s="97">
        <f ca="1">Military!$CM$24*TblMili[[#This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45459.416666666584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45459.458333333248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Row],[Spires]]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 + IF(AND(TblMagic[[#This Row],[Active DnD]]&lt;12,TblMagic[[#This Row],[Active DnD]]&gt;5),1,0))</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 + IF(AND(TblMagic[[#This Row],[Active DnD]]&lt;12,TblMagic[[#This Row],[Active DnD]]&gt;5),1,0))</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Military!$CM$25*TblMili[[#This Row],[Sec. rec. Cost]]</f>
        <v>0</v>
      </c>
      <c r="AV39" s="97">
        <f ca="1">TblMagic[[#This Row],[Mana cost]] + Military!$CM$26*TblMili[[#This Row],[Sec. rec. Cost]]</f>
        <v>0</v>
      </c>
      <c r="AW39" s="97">
        <f ca="1">Military!$CM$24*TblMili[[#This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45459.458333333248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45459.499999999913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Row],[Spires]]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 + IF(AND(TblMagic[[#This Row],[Active DnD]]&lt;12,TblMagic[[#This Row],[Active DnD]]&gt;5),1,0))</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 + IF(AND(TblMagic[[#This Row],[Active DnD]]&lt;12,TblMagic[[#This Row],[Active DnD]]&gt;5),1,0))</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Military!$CM$25*TblMili[[#This Row],[Sec. rec. Cost]]</f>
        <v>0</v>
      </c>
      <c r="AV40" s="97">
        <f ca="1">TblMagic[[#This Row],[Mana cost]] + Military!$CM$26*TblMili[[#This Row],[Sec. rec. Cost]]</f>
        <v>0</v>
      </c>
      <c r="AW40" s="97">
        <f ca="1">Military!$CM$24*TblMili[[#This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45459.499999999913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45459.541666666577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Row],[Spires]]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 + IF(AND(TblMagic[[#This Row],[Active DnD]]&lt;12,TblMagic[[#This Row],[Active DnD]]&gt;5),1,0))</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 + IF(AND(TblMagic[[#This Row],[Active DnD]]&lt;12,TblMagic[[#This Row],[Active DnD]]&gt;5),1,0))</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Military!$CM$25*TblMili[[#This Row],[Sec. rec. Cost]]</f>
        <v>0</v>
      </c>
      <c r="AV41" s="97">
        <f ca="1">TblMagic[[#This Row],[Mana cost]] + Military!$CM$26*TblMili[[#This Row],[Sec. rec. Cost]]</f>
        <v>0</v>
      </c>
      <c r="AW41" s="97">
        <f ca="1">Military!$CM$24*TblMili[[#This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45459.541666666577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45459.583333333241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Row],[Spires]]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 + IF(AND(TblMagic[[#This Row],[Active DnD]]&lt;12,TblMagic[[#This Row],[Active DnD]]&gt;5),1,0))</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 + IF(AND(TblMagic[[#This Row],[Active DnD]]&lt;12,TblMagic[[#This Row],[Active DnD]]&gt;5),1,0))</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Military!$CM$25*TblMili[[#This Row],[Sec. rec. Cost]]</f>
        <v>0</v>
      </c>
      <c r="AV42" s="97">
        <f ca="1">TblMagic[[#This Row],[Mana cost]] + Military!$CM$26*TblMili[[#This Row],[Sec. rec. Cost]]</f>
        <v>0</v>
      </c>
      <c r="AW42" s="97">
        <f ca="1">Military!$CM$24*TblMili[[#This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45459.583333333241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45459.624999999905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Row],[Spires]]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 + IF(AND(TblMagic[[#This Row],[Active DnD]]&lt;12,TblMagic[[#This Row],[Active DnD]]&gt;5),1,0))</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 + IF(AND(TblMagic[[#This Row],[Active DnD]]&lt;12,TblMagic[[#This Row],[Active DnD]]&gt;5),1,0))</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Military!$CM$25*TblMili[[#This Row],[Sec. rec. Cost]]</f>
        <v>0</v>
      </c>
      <c r="AV43" s="97">
        <f ca="1">TblMagic[[#This Row],[Mana cost]] + Military!$CM$26*TblMili[[#This Row],[Sec. rec. Cost]]</f>
        <v>0</v>
      </c>
      <c r="AW43" s="97">
        <f ca="1">Military!$CM$24*TblMili[[#This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45459.624999999905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45459.66666666657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Row],[Spires]]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 + IF(AND(TblMagic[[#This Row],[Active DnD]]&lt;12,TblMagic[[#This Row],[Active DnD]]&gt;5),1,0))</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 + IF(AND(TblMagic[[#This Row],[Active DnD]]&lt;12,TblMagic[[#This Row],[Active DnD]]&gt;5),1,0))</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Military!$CM$25*TblMili[[#This Row],[Sec. rec. Cost]]</f>
        <v>0</v>
      </c>
      <c r="AV44" s="97">
        <f ca="1">TblMagic[[#This Row],[Mana cost]] + Military!$CM$26*TblMili[[#This Row],[Sec. rec. Cost]]</f>
        <v>0</v>
      </c>
      <c r="AW44" s="97">
        <f ca="1">Military!$CM$24*TblMili[[#This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45459.66666666657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45459.708333333234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Row],[Spires]]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 + IF(AND(TblMagic[[#This Row],[Active DnD]]&lt;12,TblMagic[[#This Row],[Active DnD]]&gt;5),1,0))</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 + IF(AND(TblMagic[[#This Row],[Active DnD]]&lt;12,TblMagic[[#This Row],[Active DnD]]&gt;5),1,0))</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Military!$CM$25*TblMili[[#This Row],[Sec. rec. Cost]]</f>
        <v>0</v>
      </c>
      <c r="AV45" s="97">
        <f ca="1">TblMagic[[#This Row],[Mana cost]] + Military!$CM$26*TblMili[[#This Row],[Sec. rec. Cost]]</f>
        <v>0</v>
      </c>
      <c r="AW45" s="97">
        <f ca="1">Military!$CM$24*TblMili[[#This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45459.708333333234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45459.749999999898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Row],[Spires]]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 + IF(AND(TblMagic[[#This Row],[Active DnD]]&lt;12,TblMagic[[#This Row],[Active DnD]]&gt;5),1,0))</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 + IF(AND(TblMagic[[#This Row],[Active DnD]]&lt;12,TblMagic[[#This Row],[Active DnD]]&gt;5),1,0))</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Military!$CM$25*TblMili[[#This Row],[Sec. rec. Cost]]</f>
        <v>0</v>
      </c>
      <c r="AV46" s="97">
        <f ca="1">TblMagic[[#This Row],[Mana cost]] + Military!$CM$26*TblMili[[#This Row],[Sec. rec. Cost]]</f>
        <v>0</v>
      </c>
      <c r="AW46" s="97">
        <f ca="1">Military!$CM$24*TblMili[[#This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45459.749999999898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45459.791666666562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Row],[Spires]]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 + IF(AND(TblMagic[[#This Row],[Active DnD]]&lt;12,TblMagic[[#This Row],[Active DnD]]&gt;5),1,0))</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 + IF(AND(TblMagic[[#This Row],[Active DnD]]&lt;12,TblMagic[[#This Row],[Active DnD]]&gt;5),1,0))</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Military!$CM$25*TblMili[[#This Row],[Sec. rec. Cost]]</f>
        <v>0</v>
      </c>
      <c r="AV47" s="97">
        <f ca="1">TblMagic[[#This Row],[Mana cost]] + Military!$CM$26*TblMili[[#This Row],[Sec. rec. Cost]]</f>
        <v>0</v>
      </c>
      <c r="AW47" s="97">
        <f ca="1">Military!$CM$24*TblMili[[#This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45459.791666666562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45459.833333333227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Row],[Spires]]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 + IF(AND(TblMagic[[#This Row],[Active DnD]]&lt;12,TblMagic[[#This Row],[Active DnD]]&gt;5),1,0))</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 + IF(AND(TblMagic[[#This Row],[Active DnD]]&lt;12,TblMagic[[#This Row],[Active DnD]]&gt;5),1,0))</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Military!$CM$25*TblMili[[#This Row],[Sec. rec. Cost]]</f>
        <v>0</v>
      </c>
      <c r="AV48" s="97">
        <f ca="1">TblMagic[[#This Row],[Mana cost]] + Military!$CM$26*TblMili[[#This Row],[Sec. rec. Cost]]</f>
        <v>0</v>
      </c>
      <c r="AW48" s="97">
        <f ca="1">Military!$CM$24*TblMili[[#This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45459.833333333227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45459.874999999891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Row],[Spires]]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 + IF(AND(TblMagic[[#This Row],[Active DnD]]&lt;12,TblMagic[[#This Row],[Active DnD]]&gt;5),1,0))</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 + IF(AND(TblMagic[[#This Row],[Active DnD]]&lt;12,TblMagic[[#This Row],[Active DnD]]&gt;5),1,0))</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Military!$CM$25*TblMili[[#This Row],[Sec. rec. Cost]]</f>
        <v>0</v>
      </c>
      <c r="AV49" s="97">
        <f ca="1">TblMagic[[#This Row],[Mana cost]] + Military!$CM$26*TblMili[[#This Row],[Sec. rec. Cost]]</f>
        <v>0</v>
      </c>
      <c r="AW49" s="97">
        <f ca="1">Military!$CM$24*TblMili[[#This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45459.874999999891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45459.916666666555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Row],[Spires]]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 + IF(AND(TblMagic[[#This Row],[Active DnD]]&lt;12,TblMagic[[#This Row],[Active DnD]]&gt;5),1,0))</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 + IF(AND(TblMagic[[#This Row],[Active DnD]]&lt;12,TblMagic[[#This Row],[Active DnD]]&gt;5),1,0))</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Military!$CM$25*TblMili[[#This Row],[Sec. rec. Cost]]</f>
        <v>0</v>
      </c>
      <c r="AV50" s="97">
        <f ca="1">TblMagic[[#This Row],[Mana cost]] + Military!$CM$26*TblMili[[#This Row],[Sec. rec. Cost]]</f>
        <v>0</v>
      </c>
      <c r="AW50" s="97">
        <f ca="1">Military!$CM$24*TblMili[[#This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45459.916666666555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45459.958333333219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Row],[Spires]]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 + IF(AND(TblMagic[[#This Row],[Active DnD]]&lt;12,TblMagic[[#This Row],[Active DnD]]&gt;5),1,0))</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 + IF(AND(TblMagic[[#This Row],[Active DnD]]&lt;12,TblMagic[[#This Row],[Active DnD]]&gt;5),1,0))</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Military!$CM$25*TblMili[[#This Row],[Sec. rec. Cost]]</f>
        <v>0</v>
      </c>
      <c r="AV51" s="97">
        <f ca="1">TblMagic[[#This Row],[Mana cost]] + Military!$CM$26*TblMili[[#This Row],[Sec. rec. Cost]]</f>
        <v>0</v>
      </c>
      <c r="AW51" s="97">
        <f ca="1">Military!$CM$24*TblMili[[#This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45459.958333333219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45459.999999999884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Row],[Spires]]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 + IF(AND(TblMagic[[#This Row],[Active DnD]]&lt;12,TblMagic[[#This Row],[Active DnD]]&gt;5),1,0))</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 + IF(AND(TblMagic[[#This Row],[Active DnD]]&lt;12,TblMagic[[#This Row],[Active DnD]]&gt;5),1,0))</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Military!$CM$25*TblMili[[#This Row],[Sec. rec. Cost]]</f>
        <v>0</v>
      </c>
      <c r="AV52" s="97">
        <f ca="1">TblMagic[[#This Row],[Mana cost]] + Military!$CM$26*TblMili[[#This Row],[Sec. rec. Cost]]</f>
        <v>0</v>
      </c>
      <c r="AW52" s="97">
        <f ca="1">Military!$CM$24*TblMili[[#This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45459.999999999884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45460.041666666548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Row],[Spires]]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 + IF(AND(TblMagic[[#This Row],[Active DnD]]&lt;12,TblMagic[[#This Row],[Active DnD]]&gt;5),1,0))</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 + IF(AND(TblMagic[[#This Row],[Active DnD]]&lt;12,TblMagic[[#This Row],[Active DnD]]&gt;5),1,0))</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Military!$CM$25*TblMili[[#This Row],[Sec. rec. Cost]]</f>
        <v>0</v>
      </c>
      <c r="AV53" s="97">
        <f ca="1">TblMagic[[#This Row],[Mana cost]] + Military!$CM$26*TblMili[[#This Row],[Sec. rec. Cost]]</f>
        <v>0</v>
      </c>
      <c r="AW53" s="97">
        <f ca="1">Military!$CM$24*TblMili[[#This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45460.041666666548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45460.083333333212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Row],[Spires]]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 + IF(AND(TblMagic[[#This Row],[Active DnD]]&lt;12,TblMagic[[#This Row],[Active DnD]]&gt;5),1,0))</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 + IF(AND(TblMagic[[#This Row],[Active DnD]]&lt;12,TblMagic[[#This Row],[Active DnD]]&gt;5),1,0))</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Military!$CM$25*TblMili[[#This Row],[Sec. rec. Cost]]</f>
        <v>0</v>
      </c>
      <c r="AV54" s="97">
        <f ca="1">TblMagic[[#This Row],[Mana cost]] + Military!$CM$26*TblMili[[#This Row],[Sec. rec. Cost]]</f>
        <v>0</v>
      </c>
      <c r="AW54" s="97">
        <f ca="1">Military!$CM$24*TblMili[[#This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45460.083333333212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45460.124999999876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Row],[Spires]]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 + IF(AND(TblMagic[[#This Row],[Active DnD]]&lt;12,TblMagic[[#This Row],[Active DnD]]&gt;5),1,0))</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 + IF(AND(TblMagic[[#This Row],[Active DnD]]&lt;12,TblMagic[[#This Row],[Active DnD]]&gt;5),1,0))</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Military!$CM$25*TblMili[[#This Row],[Sec. rec. Cost]]</f>
        <v>0</v>
      </c>
      <c r="AV55" s="97">
        <f ca="1">TblMagic[[#This Row],[Mana cost]] + Military!$CM$26*TblMili[[#This Row],[Sec. rec. Cost]]</f>
        <v>0</v>
      </c>
      <c r="AW55" s="97">
        <f ca="1">Military!$CM$24*TblMili[[#This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45460.124999999876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45460.166666666541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Row],[Spires]]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 + IF(AND(TblMagic[[#This Row],[Active DnD]]&lt;12,TblMagic[[#This Row],[Active DnD]]&gt;5),1,0))</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 + IF(AND(TblMagic[[#This Row],[Active DnD]]&lt;12,TblMagic[[#This Row],[Active DnD]]&gt;5),1,0))</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Military!$CM$25*TblMili[[#This Row],[Sec. rec. Cost]]</f>
        <v>0</v>
      </c>
      <c r="AV56" s="97">
        <f ca="1">TblMagic[[#This Row],[Mana cost]] + Military!$CM$26*TblMili[[#This Row],[Sec. rec. Cost]]</f>
        <v>0</v>
      </c>
      <c r="AW56" s="97">
        <f ca="1">Military!$CM$24*TblMili[[#This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45460.166666666541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45460.208333333205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Row],[Spires]]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 + IF(AND(TblMagic[[#This Row],[Active DnD]]&lt;12,TblMagic[[#This Row],[Active DnD]]&gt;5),1,0))</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 + IF(AND(TblMagic[[#This Row],[Active DnD]]&lt;12,TblMagic[[#This Row],[Active DnD]]&gt;5),1,0))</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Military!$CM$25*TblMili[[#This Row],[Sec. rec. Cost]]</f>
        <v>0</v>
      </c>
      <c r="AV57" s="97">
        <f ca="1">TblMagic[[#This Row],[Mana cost]] + Military!$CM$26*TblMili[[#This Row],[Sec. rec. Cost]]</f>
        <v>0</v>
      </c>
      <c r="AW57" s="97">
        <f ca="1">Military!$CM$24*TblMili[[#This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45460.208333333205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45460.249999999869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Row],[Spires]]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 + IF(AND(TblMagic[[#This Row],[Active DnD]]&lt;12,TblMagic[[#This Row],[Active DnD]]&gt;5),1,0))</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 + IF(AND(TblMagic[[#This Row],[Active DnD]]&lt;12,TblMagic[[#This Row],[Active DnD]]&gt;5),1,0))</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Military!$CM$25*TblMili[[#This Row],[Sec. rec. Cost]]</f>
        <v>0</v>
      </c>
      <c r="AV58" s="97">
        <f ca="1">TblMagic[[#This Row],[Mana cost]] + Military!$CM$26*TblMili[[#This Row],[Sec. rec. Cost]]</f>
        <v>0</v>
      </c>
      <c r="AW58" s="97">
        <f ca="1">Military!$CM$24*TblMili[[#This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45460.249999999869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45460.291666666533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Row],[Spires]]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 + IF(AND(TblMagic[[#This Row],[Active DnD]]&lt;12,TblMagic[[#This Row],[Active DnD]]&gt;5),1,0))</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 + IF(AND(TblMagic[[#This Row],[Active DnD]]&lt;12,TblMagic[[#This Row],[Active DnD]]&gt;5),1,0))</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Military!$CM$25*TblMili[[#This Row],[Sec. rec. Cost]]</f>
        <v>0</v>
      </c>
      <c r="AV59" s="97">
        <f ca="1">TblMagic[[#This Row],[Mana cost]] + Military!$CM$26*TblMili[[#This Row],[Sec. rec. Cost]]</f>
        <v>0</v>
      </c>
      <c r="AW59" s="97">
        <f ca="1">Military!$CM$24*TblMili[[#This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45460.291666666533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45460.333333333198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Row],[Spires]]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 + IF(AND(TblMagic[[#This Row],[Active DnD]]&lt;12,TblMagic[[#This Row],[Active DnD]]&gt;5),1,0))</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 + IF(AND(TblMagic[[#This Row],[Active DnD]]&lt;12,TblMagic[[#This Row],[Active DnD]]&gt;5),1,0))</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Military!$CM$25*TblMili[[#This Row],[Sec. rec. Cost]]</f>
        <v>0</v>
      </c>
      <c r="AV60" s="97">
        <f ca="1">TblMagic[[#This Row],[Mana cost]] + Military!$CM$26*TblMili[[#This Row],[Sec. rec. Cost]]</f>
        <v>0</v>
      </c>
      <c r="AW60" s="97">
        <f ca="1">Military!$CM$24*TblMili[[#This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45460.333333333198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45460.374999999862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Row],[Spires]]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 + IF(AND(TblMagic[[#This Row],[Active DnD]]&lt;12,TblMagic[[#This Row],[Active DnD]]&gt;5),1,0))</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 + IF(AND(TblMagic[[#This Row],[Active DnD]]&lt;12,TblMagic[[#This Row],[Active DnD]]&gt;5),1,0))</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Military!$CM$25*TblMili[[#This Row],[Sec. rec. Cost]]</f>
        <v>0</v>
      </c>
      <c r="AV61" s="97">
        <f ca="1">TblMagic[[#This Row],[Mana cost]] + Military!$CM$26*TblMili[[#This Row],[Sec. rec. Cost]]</f>
        <v>0</v>
      </c>
      <c r="AW61" s="97">
        <f ca="1">Military!$CM$24*TblMili[[#This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45460.374999999862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45460.416666666526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Row],[Spires]]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 + IF(AND(TblMagic[[#This Row],[Active DnD]]&lt;12,TblMagic[[#This Row],[Active DnD]]&gt;5),1,0))</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 + IF(AND(TblMagic[[#This Row],[Active DnD]]&lt;12,TblMagic[[#This Row],[Active DnD]]&gt;5),1,0))</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Military!$CM$25*TblMili[[#This Row],[Sec. rec. Cost]]</f>
        <v>0</v>
      </c>
      <c r="AV62" s="97">
        <f ca="1">TblMagic[[#This Row],[Mana cost]] + Military!$CM$26*TblMili[[#This Row],[Sec. rec. Cost]]</f>
        <v>0</v>
      </c>
      <c r="AW62" s="97">
        <f ca="1">Military!$CM$24*TblMili[[#This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45460.416666666526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45460.45833333319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Row],[Spires]]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 + IF(AND(TblMagic[[#This Row],[Active DnD]]&lt;12,TblMagic[[#This Row],[Active DnD]]&gt;5),1,0))</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 + IF(AND(TblMagic[[#This Row],[Active DnD]]&lt;12,TblMagic[[#This Row],[Active DnD]]&gt;5),1,0))</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Military!$CM$25*TblMili[[#This Row],[Sec. rec. Cost]]</f>
        <v>0</v>
      </c>
      <c r="AV63" s="97">
        <f ca="1">TblMagic[[#This Row],[Mana cost]] + Military!$CM$26*TblMili[[#This Row],[Sec. rec. Cost]]</f>
        <v>0</v>
      </c>
      <c r="AW63" s="97">
        <f ca="1">Military!$CM$24*TblMili[[#This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45460.45833333319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45460.499999999854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Row],[Spires]]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 + IF(AND(TblMagic[[#This Row],[Active DnD]]&lt;12,TblMagic[[#This Row],[Active DnD]]&gt;5),1,0))</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 + IF(AND(TblMagic[[#This Row],[Active DnD]]&lt;12,TblMagic[[#This Row],[Active DnD]]&gt;5),1,0))</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Military!$CM$25*TblMili[[#This Row],[Sec. rec. Cost]]</f>
        <v>0</v>
      </c>
      <c r="AV64" s="97">
        <f ca="1">TblMagic[[#This Row],[Mana cost]] + Military!$CM$26*TblMili[[#This Row],[Sec. rec. Cost]]</f>
        <v>0</v>
      </c>
      <c r="AW64" s="97">
        <f ca="1">Military!$CM$24*TblMili[[#This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45460.499999999854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45460.541666666519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Row],[Spires]]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 + IF(AND(TblMagic[[#This Row],[Active DnD]]&lt;12,TblMagic[[#This Row],[Active DnD]]&gt;5),1,0))</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 + IF(AND(TblMagic[[#This Row],[Active DnD]]&lt;12,TblMagic[[#This Row],[Active DnD]]&gt;5),1,0))</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Military!$CM$25*TblMili[[#This Row],[Sec. rec. Cost]]</f>
        <v>0</v>
      </c>
      <c r="AV65" s="97">
        <f ca="1">TblMagic[[#This Row],[Mana cost]] + Military!$CM$26*TblMili[[#This Row],[Sec. rec. Cost]]</f>
        <v>0</v>
      </c>
      <c r="AW65" s="97">
        <f ca="1">Military!$CM$24*TblMili[[#This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45460.541666666519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45460.583333333183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Row],[Spires]]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 + IF(AND(TblMagic[[#This Row],[Active DnD]]&lt;12,TblMagic[[#This Row],[Active DnD]]&gt;5),1,0))</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 + IF(AND(TblMagic[[#This Row],[Active DnD]]&lt;12,TblMagic[[#This Row],[Active DnD]]&gt;5),1,0))</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Military!$CM$25*TblMili[[#This Row],[Sec. rec. Cost]]</f>
        <v>0</v>
      </c>
      <c r="AV66" s="97">
        <f ca="1">TblMagic[[#This Row],[Mana cost]] + Military!$CM$26*TblMili[[#This Row],[Sec. rec. Cost]]</f>
        <v>0</v>
      </c>
      <c r="AW66" s="97">
        <f ca="1">Military!$CM$24*TblMili[[#This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45460.583333333183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45460.624999999847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Row],[Spires]]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 + IF(AND(TblMagic[[#This Row],[Active DnD]]&lt;12,TblMagic[[#This Row],[Active DnD]]&gt;5),1,0))</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 + IF(AND(TblMagic[[#This Row],[Active DnD]]&lt;12,TblMagic[[#This Row],[Active DnD]]&gt;5),1,0))</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Military!$CM$25*TblMili[[#This Row],[Sec. rec. Cost]]</f>
        <v>0</v>
      </c>
      <c r="AV67" s="97">
        <f ca="1">TblMagic[[#This Row],[Mana cost]] + Military!$CM$26*TblMili[[#This Row],[Sec. rec. Cost]]</f>
        <v>0</v>
      </c>
      <c r="AW67" s="97">
        <f ca="1">Military!$CM$24*TblMili[[#This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45460.624999999847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45460.666666666511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Row],[Spires]]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 + IF(AND(TblMagic[[#This Row],[Active DnD]]&lt;12,TblMagic[[#This Row],[Active DnD]]&gt;5),1,0))</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 + IF(AND(TblMagic[[#This Row],[Active DnD]]&lt;12,TblMagic[[#This Row],[Active DnD]]&gt;5),1,0))</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Military!$CM$25*TblMili[[#This Row],[Sec. rec. Cost]]</f>
        <v>0</v>
      </c>
      <c r="AV68" s="97">
        <f ca="1">TblMagic[[#This Row],[Mana cost]] + Military!$CM$26*TblMili[[#This Row],[Sec. rec. Cost]]</f>
        <v>0</v>
      </c>
      <c r="AW68" s="97">
        <f ca="1">Military!$CM$24*TblMili[[#This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45460.666666666511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45460.708333333176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Row],[Spires]]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 + IF(AND(TblMagic[[#This Row],[Active DnD]]&lt;12,TblMagic[[#This Row],[Active DnD]]&gt;5),1,0))</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 + IF(AND(TblMagic[[#This Row],[Active DnD]]&lt;12,TblMagic[[#This Row],[Active DnD]]&gt;5),1,0))</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Military!$CM$25*TblMili[[#This Row],[Sec. rec. Cost]]</f>
        <v>0</v>
      </c>
      <c r="AV69" s="97">
        <f ca="1">TblMagic[[#This Row],[Mana cost]] + Military!$CM$26*TblMili[[#This Row],[Sec. rec. Cost]]</f>
        <v>0</v>
      </c>
      <c r="AW69" s="97">
        <f ca="1">Military!$CM$24*TblMili[[#This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45460.708333333176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45460.74999999984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Row],[Spires]]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 + IF(AND(TblMagic[[#This Row],[Active DnD]]&lt;12,TblMagic[[#This Row],[Active DnD]]&gt;5),1,0))</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 + IF(AND(TblMagic[[#This Row],[Active DnD]]&lt;12,TblMagic[[#This Row],[Active DnD]]&gt;5),1,0))</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Military!$CM$25*TblMili[[#This Row],[Sec. rec. Cost]]</f>
        <v>0</v>
      </c>
      <c r="AV70" s="97">
        <f ca="1">TblMagic[[#This Row],[Mana cost]] + Military!$CM$26*TblMili[[#This Row],[Sec. rec. Cost]]</f>
        <v>0</v>
      </c>
      <c r="AW70" s="97">
        <f ca="1">Military!$CM$24*TblMili[[#This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45460.74999999984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45460.791666666504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Row],[Spires]]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 + IF(AND(TblMagic[[#This Row],[Active DnD]]&lt;12,TblMagic[[#This Row],[Active DnD]]&gt;5),1,0))</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 + IF(AND(TblMagic[[#This Row],[Active DnD]]&lt;12,TblMagic[[#This Row],[Active DnD]]&gt;5),1,0))</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Military!$CM$25*TblMili[[#This Row],[Sec. rec. Cost]]</f>
        <v>0</v>
      </c>
      <c r="AV71" s="97">
        <f ca="1">TblMagic[[#This Row],[Mana cost]] + Military!$CM$26*TblMili[[#This Row],[Sec. rec. Cost]]</f>
        <v>0</v>
      </c>
      <c r="AW71" s="97">
        <f ca="1">Military!$CM$24*TblMili[[#This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45460.791666666504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45460.833333333168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Row],[Spires]]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 + IF(AND(TblMagic[[#This Row],[Active DnD]]&lt;12,TblMagic[[#This Row],[Active DnD]]&gt;5),1,0))</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 + IF(AND(TblMagic[[#This Row],[Active DnD]]&lt;12,TblMagic[[#This Row],[Active DnD]]&gt;5),1,0))</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Military!$CM$25*TblMili[[#This Row],[Sec. rec. Cost]]</f>
        <v>0</v>
      </c>
      <c r="AV72" s="97">
        <f ca="1">TblMagic[[#This Row],[Mana cost]] + Military!$CM$26*TblMili[[#This Row],[Sec. rec. Cost]]</f>
        <v>0</v>
      </c>
      <c r="AW72" s="97">
        <f ca="1">Military!$CM$24*TblMili[[#This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45460.833333333168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45460.874999999833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Row],[Spires]]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 + IF(AND(TblMagic[[#This Row],[Active DnD]]&lt;12,TblMagic[[#This Row],[Active DnD]]&gt;5),1,0))</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 + IF(AND(TblMagic[[#This Row],[Active DnD]]&lt;12,TblMagic[[#This Row],[Active DnD]]&gt;5),1,0))</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Military!$CM$25*TblMili[[#This Row],[Sec. rec. Cost]]</f>
        <v>0</v>
      </c>
      <c r="AV73" s="97">
        <f ca="1">TblMagic[[#This Row],[Mana cost]] + Military!$CM$26*TblMili[[#This Row],[Sec. rec. Cost]]</f>
        <v>0</v>
      </c>
      <c r="AW73" s="97">
        <f ca="1">Military!$CM$24*TblMili[[#This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45460.874999999833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45460.916666666497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Row],[Spires]]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 + IF(AND(TblMagic[[#This Row],[Active DnD]]&lt;12,TblMagic[[#This Row],[Active DnD]]&gt;5),1,0))</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 + IF(AND(TblMagic[[#This Row],[Active DnD]]&lt;12,TblMagic[[#This Row],[Active DnD]]&gt;5),1,0))</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Military!$CM$25*TblMili[[#This Row],[Sec. rec. Cost]]</f>
        <v>0</v>
      </c>
      <c r="AV74" s="97">
        <f ca="1">TblMagic[[#This Row],[Mana cost]] + Military!$CM$26*TblMili[[#This Row],[Sec. rec. Cost]]</f>
        <v>0</v>
      </c>
      <c r="AW74" s="97">
        <f ca="1">Military!$CM$24*TblMili[[#This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45460.916666666497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45460.958333333161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Row],[Spires]]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 + IF(AND(TblMagic[[#This Row],[Active DnD]]&lt;12,TblMagic[[#This Row],[Active DnD]]&gt;5),1,0))</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 + IF(AND(TblMagic[[#This Row],[Active DnD]]&lt;12,TblMagic[[#This Row],[Active DnD]]&gt;5),1,0))</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Military!$CM$25*TblMili[[#This Row],[Sec. rec. Cost]]</f>
        <v>0</v>
      </c>
      <c r="AV75" s="97">
        <f ca="1">TblMagic[[#This Row],[Mana cost]] + Military!$CM$26*TblMili[[#This Row],[Sec. rec. Cost]]</f>
        <v>0</v>
      </c>
      <c r="AW75" s="97">
        <f ca="1">Military!$CM$24*TblMili[[#This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45460.958333333161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230</v>
      </c>
      <c r="B76" s="163">
        <f ca="1">TblImps[[#This Row],[Time]]</f>
        <v>45460.999999999825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Row],[Spires]]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Military!$CM$25*TblMili[[#This Row],[Sec. rec. Cost]]</f>
        <v>0</v>
      </c>
      <c r="AV76" s="35">
        <f ca="1">TblMagic[[#This Row],[Mana cost]] + Military!$CM$26*TblMili[[#This Row],[Sec. rec. Cost]]</f>
        <v>0</v>
      </c>
      <c r="AW76" s="35">
        <f ca="1">Military!$CM$24*TblMili[[#This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45460.999999999825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45461.04166666649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Row],[Spires]]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 + IF(AND(TblMagic[[#This Row],[Active DnD]]&lt;12,TblMagic[[#This Row],[Active DnD]]&gt;5),1,0))</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 + IF(AND(TblMagic[[#This Row],[Active DnD]]&lt;12,TblMagic[[#This Row],[Active DnD]]&gt;5),1,0))</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Military!$CM$25*TblMili[[#This Row],[Sec. rec. Cost]]</f>
        <v>0</v>
      </c>
      <c r="AV77" s="97">
        <f ca="1">TblMagic[[#This Row],[Mana cost]] + Military!$CM$26*TblMili[[#This Row],[Sec. rec. Cost]]</f>
        <v>0</v>
      </c>
      <c r="AW77" s="97">
        <f ca="1">Military!$CM$24*TblMili[[#This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45461.04166666649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45461.083333333154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Row],[Spires]]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 + IF(AND(TblMagic[[#This Row],[Active DnD]]&lt;12,TblMagic[[#This Row],[Active DnD]]&gt;5),1,0))</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 + IF(AND(TblMagic[[#This Row],[Active DnD]]&lt;12,TblMagic[[#This Row],[Active DnD]]&gt;5),1,0))</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Military!$CM$25*TblMili[[#This Row],[Sec. rec. Cost]]</f>
        <v>0</v>
      </c>
      <c r="AV78" s="97">
        <f ca="1">TblMagic[[#This Row],[Mana cost]] + Military!$CM$26*TblMili[[#This Row],[Sec. rec. Cost]]</f>
        <v>0</v>
      </c>
      <c r="AW78" s="97">
        <f ca="1">Military!$CM$24*TblMili[[#This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45461.083333333154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45461.124999999818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Row],[Spires]]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 + IF(AND(TblMagic[[#This Row],[Active DnD]]&lt;12,TblMagic[[#This Row],[Active DnD]]&gt;5),1,0))</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 + IF(AND(TblMagic[[#This Row],[Active DnD]]&lt;12,TblMagic[[#This Row],[Active DnD]]&gt;5),1,0))</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Military!$CM$25*TblMili[[#This Row],[Sec. rec. Cost]]</f>
        <v>0</v>
      </c>
      <c r="AV79" s="97">
        <f ca="1">TblMagic[[#This Row],[Mana cost]] + Military!$CM$26*TblMili[[#This Row],[Sec. rec. Cost]]</f>
        <v>0</v>
      </c>
      <c r="AW79" s="97">
        <f ca="1">Military!$CM$24*TblMili[[#This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45461.124999999818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45461.166666666482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Row],[Spires]]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 + IF(AND(TblMagic[[#This Row],[Active DnD]]&lt;12,TblMagic[[#This Row],[Active DnD]]&gt;5),1,0))</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 + IF(AND(TblMagic[[#This Row],[Active DnD]]&lt;12,TblMagic[[#This Row],[Active DnD]]&gt;5),1,0))</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Military!$CM$25*TblMili[[#This Row],[Sec. rec. Cost]]</f>
        <v>0</v>
      </c>
      <c r="AV80" s="97">
        <f ca="1">TblMagic[[#This Row],[Mana cost]] + Military!$CM$26*TblMili[[#This Row],[Sec. rec. Cost]]</f>
        <v>0</v>
      </c>
      <c r="AW80" s="97">
        <f ca="1">Military!$CM$24*TblMili[[#This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45461.166666666482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45461.208333333147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Row],[Spires]]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 + IF(AND(TblMagic[[#This Row],[Active DnD]]&lt;12,TblMagic[[#This Row],[Active DnD]]&gt;5),1,0))</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 + IF(AND(TblMagic[[#This Row],[Active DnD]]&lt;12,TblMagic[[#This Row],[Active DnD]]&gt;5),1,0))</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Military!$CM$25*TblMili[[#This Row],[Sec. rec. Cost]]</f>
        <v>0</v>
      </c>
      <c r="AV81" s="97">
        <f ca="1">TblMagic[[#This Row],[Mana cost]] + Military!$CM$26*TblMili[[#This Row],[Sec. rec. Cost]]</f>
        <v>0</v>
      </c>
      <c r="AW81" s="97">
        <f ca="1">Military!$CM$24*TblMili[[#This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45461.208333333147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45461.249999999811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Row],[Spires]]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 + IF(AND(TblMagic[[#This Row],[Active DnD]]&lt;12,TblMagic[[#This Row],[Active DnD]]&gt;5),1,0))</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 + IF(AND(TblMagic[[#This Row],[Active DnD]]&lt;12,TblMagic[[#This Row],[Active DnD]]&gt;5),1,0))</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Military!$CM$25*TblMili[[#This Row],[Sec. rec. Cost]]</f>
        <v>0</v>
      </c>
      <c r="AV82" s="97">
        <f ca="1">TblMagic[[#This Row],[Mana cost]] + Military!$CM$26*TblMili[[#This Row],[Sec. rec. Cost]]</f>
        <v>0</v>
      </c>
      <c r="AW82" s="97">
        <f ca="1">Military!$CM$24*TblMili[[#This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45461.249999999811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45461.291666666475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Row],[Spires]]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 + IF(AND(TblMagic[[#This Row],[Active DnD]]&lt;12,TblMagic[[#This Row],[Active DnD]]&gt;5),1,0))</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 + IF(AND(TblMagic[[#This Row],[Active DnD]]&lt;12,TblMagic[[#This Row],[Active DnD]]&gt;5),1,0))</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Military!$CM$25*TblMili[[#This Row],[Sec. rec. Cost]]</f>
        <v>0</v>
      </c>
      <c r="AV83" s="97">
        <f ca="1">TblMagic[[#This Row],[Mana cost]] + Military!$CM$26*TblMili[[#This Row],[Sec. rec. Cost]]</f>
        <v>0</v>
      </c>
      <c r="AW83" s="97">
        <f ca="1">Military!$CM$24*TblMili[[#This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45461.291666666475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45461.333333333139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Row],[Spires]]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 + IF(AND(TblMagic[[#This Row],[Active DnD]]&lt;12,TblMagic[[#This Row],[Active DnD]]&gt;5),1,0))</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 + IF(AND(TblMagic[[#This Row],[Active DnD]]&lt;12,TblMagic[[#This Row],[Active DnD]]&gt;5),1,0))</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Military!$CM$25*TblMili[[#This Row],[Sec. rec. Cost]]</f>
        <v>0</v>
      </c>
      <c r="AV84" s="97">
        <f ca="1">TblMagic[[#This Row],[Mana cost]] + Military!$CM$26*TblMili[[#This Row],[Sec. rec. Cost]]</f>
        <v>0</v>
      </c>
      <c r="AW84" s="97">
        <f ca="1">Military!$CM$24*TblMili[[#This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45461.333333333139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45461.374999999804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Row],[Spires]]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 + IF(AND(TblMagic[[#This Row],[Active DnD]]&lt;12,TblMagic[[#This Row],[Active DnD]]&gt;5),1,0))</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 + IF(AND(TblMagic[[#This Row],[Active DnD]]&lt;12,TblMagic[[#This Row],[Active DnD]]&gt;5),1,0))</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Military!$CM$25*TblMili[[#This Row],[Sec. rec. Cost]]</f>
        <v>0</v>
      </c>
      <c r="AV85" s="97">
        <f ca="1">TblMagic[[#This Row],[Mana cost]] + Military!$CM$26*TblMili[[#This Row],[Sec. rec. Cost]]</f>
        <v>0</v>
      </c>
      <c r="AW85" s="97">
        <f ca="1">Military!$CM$24*TblMili[[#This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45461.374999999804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45461.416666666468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Row],[Spires]]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 + IF(AND(TblMagic[[#This Row],[Active DnD]]&lt;12,TblMagic[[#This Row],[Active DnD]]&gt;5),1,0))</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 + IF(AND(TblMagic[[#This Row],[Active DnD]]&lt;12,TblMagic[[#This Row],[Active DnD]]&gt;5),1,0))</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Military!$CM$25*TblMili[[#This Row],[Sec. rec. Cost]]</f>
        <v>0</v>
      </c>
      <c r="AV86" s="97">
        <f ca="1">TblMagic[[#This Row],[Mana cost]] + Military!$CM$26*TblMili[[#This Row],[Sec. rec. Cost]]</f>
        <v>0</v>
      </c>
      <c r="AW86" s="97">
        <f ca="1">Military!$CM$24*TblMili[[#This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45461.416666666468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45461.458333333132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Row],[Spires]]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 + IF(AND(TblMagic[[#This Row],[Active DnD]]&lt;12,TblMagic[[#This Row],[Active DnD]]&gt;5),1,0))</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 + IF(AND(TblMagic[[#This Row],[Active DnD]]&lt;12,TblMagic[[#This Row],[Active DnD]]&gt;5),1,0))</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Military!$CM$25*TblMili[[#This Row],[Sec. rec. Cost]]</f>
        <v>0</v>
      </c>
      <c r="AV87" s="97">
        <f ca="1">TblMagic[[#This Row],[Mana cost]] + Military!$CM$26*TblMili[[#This Row],[Sec. rec. Cost]]</f>
        <v>0</v>
      </c>
      <c r="AW87" s="97">
        <f ca="1">Military!$CM$24*TblMili[[#This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45461.458333333132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45461.499999999796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Row],[Spires]]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 + IF(AND(TblMagic[[#This Row],[Active DnD]]&lt;12,TblMagic[[#This Row],[Active DnD]]&gt;5),1,0))</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 + IF(AND(TblMagic[[#This Row],[Active DnD]]&lt;12,TblMagic[[#This Row],[Active DnD]]&gt;5),1,0))</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Military!$CM$25*TblMili[[#This Row],[Sec. rec. Cost]]</f>
        <v>0</v>
      </c>
      <c r="AV88" s="97">
        <f ca="1">TblMagic[[#This Row],[Mana cost]] + Military!$CM$26*TblMili[[#This Row],[Sec. rec. Cost]]</f>
        <v>0</v>
      </c>
      <c r="AW88" s="97">
        <f ca="1">Military!$CM$24*TblMili[[#This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45461.499999999796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45461.541666666461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Row],[Spires]]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 + IF(AND(TblMagic[[#This Row],[Active DnD]]&lt;12,TblMagic[[#This Row],[Active DnD]]&gt;5),1,0))</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 + IF(AND(TblMagic[[#This Row],[Active DnD]]&lt;12,TblMagic[[#This Row],[Active DnD]]&gt;5),1,0))</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Military!$CM$25*TblMili[[#This Row],[Sec. rec. Cost]]</f>
        <v>0</v>
      </c>
      <c r="AV89" s="97">
        <f ca="1">TblMagic[[#This Row],[Mana cost]] + Military!$CM$26*TblMili[[#This Row],[Sec. rec. Cost]]</f>
        <v>0</v>
      </c>
      <c r="AW89" s="97">
        <f ca="1">Military!$CM$24*TblMili[[#This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45461.541666666461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45461.583333333125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Row],[Spires]]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 + IF(AND(TblMagic[[#This Row],[Active DnD]]&lt;12,TblMagic[[#This Row],[Active DnD]]&gt;5),1,0))</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 + IF(AND(TblMagic[[#This Row],[Active DnD]]&lt;12,TblMagic[[#This Row],[Active DnD]]&gt;5),1,0))</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Military!$CM$25*TblMili[[#This Row],[Sec. rec. Cost]]</f>
        <v>0</v>
      </c>
      <c r="AV90" s="97">
        <f ca="1">TblMagic[[#This Row],[Mana cost]] + Military!$CM$26*TblMili[[#This Row],[Sec. rec. Cost]]</f>
        <v>0</v>
      </c>
      <c r="AW90" s="97">
        <f ca="1">Military!$CM$24*TblMili[[#This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45461.583333333125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45461.624999999789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Row],[Spires]]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 + IF(AND(TblMagic[[#This Row],[Active DnD]]&lt;12,TblMagic[[#This Row],[Active DnD]]&gt;5),1,0))</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 + IF(AND(TblMagic[[#This Row],[Active DnD]]&lt;12,TblMagic[[#This Row],[Active DnD]]&gt;5),1,0))</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Military!$CM$25*TblMili[[#This Row],[Sec. rec. Cost]]</f>
        <v>0</v>
      </c>
      <c r="AV91" s="97">
        <f ca="1">TblMagic[[#This Row],[Mana cost]] + Military!$CM$26*TblMili[[#This Row],[Sec. rec. Cost]]</f>
        <v>0</v>
      </c>
      <c r="AW91" s="97">
        <f ca="1">Military!$CM$24*TblMili[[#This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45461.624999999789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45461.666666666453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Row],[Spires]]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 + IF(AND(TblMagic[[#This Row],[Active DnD]]&lt;12,TblMagic[[#This Row],[Active DnD]]&gt;5),1,0))</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 + IF(AND(TblMagic[[#This Row],[Active DnD]]&lt;12,TblMagic[[#This Row],[Active DnD]]&gt;5),1,0))</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Military!$CM$25*TblMili[[#This Row],[Sec. rec. Cost]]</f>
        <v>0</v>
      </c>
      <c r="AV92" s="97">
        <f ca="1">TblMagic[[#This Row],[Mana cost]] + Military!$CM$26*TblMili[[#This Row],[Sec. rec. Cost]]</f>
        <v>0</v>
      </c>
      <c r="AW92" s="97">
        <f ca="1">Military!$CM$24*TblMili[[#This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45461.666666666453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45461.708333333117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Row],[Spires]]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 + IF(AND(TblMagic[[#This Row],[Active DnD]]&lt;12,TblMagic[[#This Row],[Active DnD]]&gt;5),1,0))</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 + IF(AND(TblMagic[[#This Row],[Active DnD]]&lt;12,TblMagic[[#This Row],[Active DnD]]&gt;5),1,0))</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Military!$CM$25*TblMili[[#This Row],[Sec. rec. Cost]]</f>
        <v>0</v>
      </c>
      <c r="AV93" s="97">
        <f ca="1">TblMagic[[#This Row],[Mana cost]] + Military!$CM$26*TblMili[[#This Row],[Sec. rec. Cost]]</f>
        <v>0</v>
      </c>
      <c r="AW93" s="97">
        <f ca="1">Military!$CM$24*TblMili[[#This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45461.708333333117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45461.749999999782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Row],[Spires]]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 + IF(AND(TblMagic[[#This Row],[Active DnD]]&lt;12,TblMagic[[#This Row],[Active DnD]]&gt;5),1,0))</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 + IF(AND(TblMagic[[#This Row],[Active DnD]]&lt;12,TblMagic[[#This Row],[Active DnD]]&gt;5),1,0))</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Military!$CM$25*TblMili[[#This Row],[Sec. rec. Cost]]</f>
        <v>0</v>
      </c>
      <c r="AV94" s="97">
        <f ca="1">TblMagic[[#This Row],[Mana cost]] + Military!$CM$26*TblMili[[#This Row],[Sec. rec. Cost]]</f>
        <v>0</v>
      </c>
      <c r="AW94" s="97">
        <f ca="1">Military!$CM$24*TblMili[[#This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45461.749999999782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45461.791666666446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Row],[Spires]]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 + IF(AND(TblMagic[[#This Row],[Active DnD]]&lt;12,TblMagic[[#This Row],[Active DnD]]&gt;5),1,0))</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 + IF(AND(TblMagic[[#This Row],[Active DnD]]&lt;12,TblMagic[[#This Row],[Active DnD]]&gt;5),1,0))</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Military!$CM$25*TblMili[[#This Row],[Sec. rec. Cost]]</f>
        <v>0</v>
      </c>
      <c r="AV95" s="97">
        <f ca="1">TblMagic[[#This Row],[Mana cost]] + Military!$CM$26*TblMili[[#This Row],[Sec. rec. Cost]]</f>
        <v>0</v>
      </c>
      <c r="AW95" s="97">
        <f ca="1">Military!$CM$24*TblMili[[#This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45461.791666666446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45461.83333333311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Row],[Spires]]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 + IF(AND(TblMagic[[#This Row],[Active DnD]]&lt;12,TblMagic[[#This Row],[Active DnD]]&gt;5),1,0))</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 + IF(AND(TblMagic[[#This Row],[Active DnD]]&lt;12,TblMagic[[#This Row],[Active DnD]]&gt;5),1,0))</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Military!$CM$25*TblMili[[#This Row],[Sec. rec. Cost]]</f>
        <v>0</v>
      </c>
      <c r="AV96" s="97">
        <f ca="1">TblMagic[[#This Row],[Mana cost]] + Military!$CM$26*TblMili[[#This Row],[Sec. rec. Cost]]</f>
        <v>0</v>
      </c>
      <c r="AW96" s="97">
        <f ca="1">Military!$CM$24*TblMili[[#This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45461.83333333311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45461.874999999774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Row],[Spires]]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 + IF(AND(TblMagic[[#This Row],[Active DnD]]&lt;12,TblMagic[[#This Row],[Active DnD]]&gt;5),1,0))</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 + IF(AND(TblMagic[[#This Row],[Active DnD]]&lt;12,TblMagic[[#This Row],[Active DnD]]&gt;5),1,0))</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Military!$CM$25*TblMili[[#This Row],[Sec. rec. Cost]]</f>
        <v>0</v>
      </c>
      <c r="AV97" s="97">
        <f ca="1">TblMagic[[#This Row],[Mana cost]] + Military!$CM$26*TblMili[[#This Row],[Sec. rec. Cost]]</f>
        <v>0</v>
      </c>
      <c r="AW97" s="97">
        <f ca="1">Military!$CM$24*TblMili[[#This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45461.874999999774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45461.916666666439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Row],[Spires]]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 + IF(AND(TblMagic[[#This Row],[Active DnD]]&lt;12,TblMagic[[#This Row],[Active DnD]]&gt;5),1,0))</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 + IF(AND(TblMagic[[#This Row],[Active DnD]]&lt;12,TblMagic[[#This Row],[Active DnD]]&gt;5),1,0))</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Military!$CM$25*TblMili[[#This Row],[Sec. rec. Cost]]</f>
        <v>0</v>
      </c>
      <c r="AV98" s="97">
        <f ca="1">TblMagic[[#This Row],[Mana cost]] + Military!$CM$26*TblMili[[#This Row],[Sec. rec. Cost]]</f>
        <v>0</v>
      </c>
      <c r="AW98" s="97">
        <f ca="1">Military!$CM$24*TblMili[[#This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45461.916666666439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45461.958333333103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Row],[Spires]]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 + IF(AND(TblMagic[[#This Row],[Active DnD]]&lt;12,TblMagic[[#This Row],[Active DnD]]&gt;5),1,0))</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 + IF(AND(TblMagic[[#This Row],[Active DnD]]&lt;12,TblMagic[[#This Row],[Active DnD]]&gt;5),1,0))</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Military!$CM$25*TblMili[[#This Row],[Sec. rec. Cost]]</f>
        <v>0</v>
      </c>
      <c r="AV99" s="97">
        <f ca="1">TblMagic[[#This Row],[Mana cost]] + Military!$CM$26*TblMili[[#This Row],[Sec. rec. Cost]]</f>
        <v>0</v>
      </c>
      <c r="AW99" s="97">
        <f ca="1">Military!$CM$24*TblMili[[#This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45461.958333333103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45461.999999999767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Row],[Spires]]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 + IF(AND(TblMagic[[#This Row],[Active DnD]]&lt;12,TblMagic[[#This Row],[Active DnD]]&gt;5),1,0))</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 + IF(AND(TblMagic[[#This Row],[Active DnD]]&lt;12,TblMagic[[#This Row],[Active DnD]]&gt;5),1,0))</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Military!$CM$25*TblMili[[#This Row],[Sec. rec. Cost]]</f>
        <v>0</v>
      </c>
      <c r="AV100" s="97">
        <f ca="1">TblMagic[[#This Row],[Mana cost]] + Military!$CM$26*TblMili[[#This Row],[Sec. rec. Cost]]</f>
        <v>0</v>
      </c>
      <c r="AW100" s="97">
        <f ca="1">Military!$CM$24*TblMili[[#This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45461.999999999767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45462.041666666431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Row],[Spires]]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 + IF(AND(TblMagic[[#This Row],[Active DnD]]&lt;12,TblMagic[[#This Row],[Active DnD]]&gt;5),1,0))</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 + IF(AND(TblMagic[[#This Row],[Active DnD]]&lt;12,TblMagic[[#This Row],[Active DnD]]&gt;5),1,0))</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Military!$CM$25*TblMili[[#This Row],[Sec. rec. Cost]]</f>
        <v>0</v>
      </c>
      <c r="AV101" s="97">
        <f ca="1">TblMagic[[#This Row],[Mana cost]] + Military!$CM$26*TblMili[[#This Row],[Sec. rec. Cost]]</f>
        <v>0</v>
      </c>
      <c r="AW101" s="97">
        <f ca="1">Military!$CM$24*TblMili[[#This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45462.041666666431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45462.083333333096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Row],[Spires]]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 + IF(AND(TblMagic[[#This Row],[Active DnD]]&lt;12,TblMagic[[#This Row],[Active DnD]]&gt;5),1,0))</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 + IF(AND(TblMagic[[#This Row],[Active DnD]]&lt;12,TblMagic[[#This Row],[Active DnD]]&gt;5),1,0))</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Military!$CM$25*TblMili[[#This Row],[Sec. rec. Cost]]</f>
        <v>0</v>
      </c>
      <c r="AV102" s="97">
        <f ca="1">TblMagic[[#This Row],[Mana cost]] + Military!$CM$26*TblMili[[#This Row],[Sec. rec. Cost]]</f>
        <v>0</v>
      </c>
      <c r="AW102" s="97">
        <f ca="1">Military!$CM$24*TblMili[[#This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45462.083333333096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45462.12499999976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Row],[Spires]]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 + IF(AND(TblMagic[[#This Row],[Active DnD]]&lt;12,TblMagic[[#This Row],[Active DnD]]&gt;5),1,0))</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 + IF(AND(TblMagic[[#This Row],[Active DnD]]&lt;12,TblMagic[[#This Row],[Active DnD]]&gt;5),1,0))</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Military!$CM$25*TblMili[[#This Row],[Sec. rec. Cost]]</f>
        <v>0</v>
      </c>
      <c r="AV103" s="97">
        <f ca="1">TblMagic[[#This Row],[Mana cost]] + Military!$CM$26*TblMili[[#This Row],[Sec. rec. Cost]]</f>
        <v>0</v>
      </c>
      <c r="AW103" s="97">
        <f ca="1">Military!$CM$24*TblMili[[#This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45462.12499999976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45462.166666666424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Row],[Spires]]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 + IF(AND(TblMagic[[#This Row],[Active DnD]]&lt;12,TblMagic[[#This Row],[Active DnD]]&gt;5),1,0))</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 + IF(AND(TblMagic[[#This Row],[Active DnD]]&lt;12,TblMagic[[#This Row],[Active DnD]]&gt;5),1,0))</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Military!$CM$25*TblMili[[#This Row],[Sec. rec. Cost]]</f>
        <v>0</v>
      </c>
      <c r="AV104" s="97">
        <f ca="1">TblMagic[[#This Row],[Mana cost]] + Military!$CM$26*TblMili[[#This Row],[Sec. rec. Cost]]</f>
        <v>0</v>
      </c>
      <c r="AW104" s="97">
        <f ca="1">Military!$CM$24*TblMili[[#This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45462.166666666424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45462.208333333088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Row],[Spires]]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 + IF(AND(TblMagic[[#This Row],[Active DnD]]&lt;12,TblMagic[[#This Row],[Active DnD]]&gt;5),1,0))</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 + IF(AND(TblMagic[[#This Row],[Active DnD]]&lt;12,TblMagic[[#This Row],[Active DnD]]&gt;5),1,0))</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Military!$CM$25*TblMili[[#This Row],[Sec. rec. Cost]]</f>
        <v>0</v>
      </c>
      <c r="AV105" s="97">
        <f ca="1">TblMagic[[#This Row],[Mana cost]] + Military!$CM$26*TblMili[[#This Row],[Sec. rec. Cost]]</f>
        <v>0</v>
      </c>
      <c r="AW105" s="97">
        <f ca="1">Military!$CM$24*TblMili[[#This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45462.208333333088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45462.249999999753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Row],[Spires]]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 + IF(AND(TblMagic[[#This Row],[Active DnD]]&lt;12,TblMagic[[#This Row],[Active DnD]]&gt;5),1,0))</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 + IF(AND(TblMagic[[#This Row],[Active DnD]]&lt;12,TblMagic[[#This Row],[Active DnD]]&gt;5),1,0))</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Military!$CM$25*TblMili[[#This Row],[Sec. rec. Cost]]</f>
        <v>0</v>
      </c>
      <c r="AV106" s="97">
        <f ca="1">TblMagic[[#This Row],[Mana cost]] + Military!$CM$26*TblMili[[#This Row],[Sec. rec. Cost]]</f>
        <v>0</v>
      </c>
      <c r="AW106" s="97">
        <f ca="1">Military!$CM$24*TblMili[[#This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45462.249999999753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45462.291666666417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Row],[Spires]]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 + IF(AND(TblMagic[[#This Row],[Active DnD]]&lt;12,TblMagic[[#This Row],[Active DnD]]&gt;5),1,0))</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 + IF(AND(TblMagic[[#This Row],[Active DnD]]&lt;12,TblMagic[[#This Row],[Active DnD]]&gt;5),1,0))</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Military!$CM$25*TblMili[[#This Row],[Sec. rec. Cost]]</f>
        <v>0</v>
      </c>
      <c r="AV107" s="97">
        <f ca="1">TblMagic[[#This Row],[Mana cost]] + Military!$CM$26*TblMili[[#This Row],[Sec. rec. Cost]]</f>
        <v>0</v>
      </c>
      <c r="AW107" s="97">
        <f ca="1">Military!$CM$24*TblMili[[#This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45462.291666666417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45462.333333333081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Row],[Spires]]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 + IF(AND(TblMagic[[#This Row],[Active DnD]]&lt;12,TblMagic[[#This Row],[Active DnD]]&gt;5),1,0))</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 + IF(AND(TblMagic[[#This Row],[Active DnD]]&lt;12,TblMagic[[#This Row],[Active DnD]]&gt;5),1,0))</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Military!$CM$25*TblMili[[#This Row],[Sec. rec. Cost]]</f>
        <v>0</v>
      </c>
      <c r="AV108" s="97">
        <f ca="1">TblMagic[[#This Row],[Mana cost]] + Military!$CM$26*TblMili[[#This Row],[Sec. rec. Cost]]</f>
        <v>0</v>
      </c>
      <c r="AW108" s="97">
        <f ca="1">Military!$CM$24*TblMili[[#This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45462.333333333081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45462.374999999745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Row],[Spires]]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 + IF(AND(TblMagic[[#This Row],[Active DnD]]&lt;12,TblMagic[[#This Row],[Active DnD]]&gt;5),1,0))</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 + IF(AND(TblMagic[[#This Row],[Active DnD]]&lt;12,TblMagic[[#This Row],[Active DnD]]&gt;5),1,0))</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Military!$CM$25*TblMili[[#This Row],[Sec. rec. Cost]]</f>
        <v>0</v>
      </c>
      <c r="AV109" s="97">
        <f ca="1">TblMagic[[#This Row],[Mana cost]] + Military!$CM$26*TblMili[[#This Row],[Sec. rec. Cost]]</f>
        <v>0</v>
      </c>
      <c r="AW109" s="97">
        <f ca="1">Military!$CM$24*TblMili[[#This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45462.374999999745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45462.41666666641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Row],[Spires]]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 + IF(AND(TblMagic[[#This Row],[Active DnD]]&lt;12,TblMagic[[#This Row],[Active DnD]]&gt;5),1,0))</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 + IF(AND(TblMagic[[#This Row],[Active DnD]]&lt;12,TblMagic[[#This Row],[Active DnD]]&gt;5),1,0))</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Military!$CM$25*TblMili[[#This Row],[Sec. rec. Cost]]</f>
        <v>0</v>
      </c>
      <c r="AV110" s="97">
        <f ca="1">TblMagic[[#This Row],[Mana cost]] + Military!$CM$26*TblMili[[#This Row],[Sec. rec. Cost]]</f>
        <v>0</v>
      </c>
      <c r="AW110" s="97">
        <f ca="1">Military!$CM$24*TblMili[[#This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45462.41666666641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45462.458333333074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Row],[Spires]]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 + IF(AND(TblMagic[[#This Row],[Active DnD]]&lt;12,TblMagic[[#This Row],[Active DnD]]&gt;5),1,0))</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 + IF(AND(TblMagic[[#This Row],[Active DnD]]&lt;12,TblMagic[[#This Row],[Active DnD]]&gt;5),1,0))</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Military!$CM$25*TblMili[[#This Row],[Sec. rec. Cost]]</f>
        <v>0</v>
      </c>
      <c r="AV111" s="97">
        <f ca="1">TblMagic[[#This Row],[Mana cost]] + Military!$CM$26*TblMili[[#This Row],[Sec. rec. Cost]]</f>
        <v>0</v>
      </c>
      <c r="AW111" s="97">
        <f ca="1">Military!$CM$24*TblMili[[#This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45462.458333333074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45462.499999999738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Row],[Spires]]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 + IF(AND(TblMagic[[#This Row],[Active DnD]]&lt;12,TblMagic[[#This Row],[Active DnD]]&gt;5),1,0))</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 + IF(AND(TblMagic[[#This Row],[Active DnD]]&lt;12,TblMagic[[#This Row],[Active DnD]]&gt;5),1,0))</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Military!$CM$25*TblMili[[#This Row],[Sec. rec. Cost]]</f>
        <v>0</v>
      </c>
      <c r="AV112" s="97">
        <f ca="1">TblMagic[[#This Row],[Mana cost]] + Military!$CM$26*TblMili[[#This Row],[Sec. rec. Cost]]</f>
        <v>0</v>
      </c>
      <c r="AW112" s="97">
        <f ca="1">Military!$CM$24*TblMili[[#This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45462.499999999738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45462.541666666402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Row],[Spires]]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 + IF(AND(TblMagic[[#This Row],[Active DnD]]&lt;12,TblMagic[[#This Row],[Active DnD]]&gt;5),1,0))</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 + IF(AND(TblMagic[[#This Row],[Active DnD]]&lt;12,TblMagic[[#This Row],[Active DnD]]&gt;5),1,0))</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Military!$CM$25*TblMili[[#This Row],[Sec. rec. Cost]]</f>
        <v>0</v>
      </c>
      <c r="AV113" s="97">
        <f ca="1">TblMagic[[#This Row],[Mana cost]] + Military!$CM$26*TblMili[[#This Row],[Sec. rec. Cost]]</f>
        <v>0</v>
      </c>
      <c r="AW113" s="97">
        <f ca="1">Military!$CM$24*TblMili[[#This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45462.541666666402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45462.583333333067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Row],[Spires]]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 + IF(AND(TblMagic[[#This Row],[Active DnD]]&lt;12,TblMagic[[#This Row],[Active DnD]]&gt;5),1,0))</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 + IF(AND(TblMagic[[#This Row],[Active DnD]]&lt;12,TblMagic[[#This Row],[Active DnD]]&gt;5),1,0))</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Military!$CM$25*TblMili[[#This Row],[Sec. rec. Cost]]</f>
        <v>0</v>
      </c>
      <c r="AV114" s="97">
        <f ca="1">TblMagic[[#This Row],[Mana cost]] + Military!$CM$26*TblMili[[#This Row],[Sec. rec. Cost]]</f>
        <v>0</v>
      </c>
      <c r="AW114" s="97">
        <f ca="1">Military!$CM$24*TblMili[[#This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45462.583333333067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45462.624999999731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Row],[Spires]]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 + IF(AND(TblMagic[[#This Row],[Active DnD]]&lt;12,TblMagic[[#This Row],[Active DnD]]&gt;5),1,0))</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 + IF(AND(TblMagic[[#This Row],[Active DnD]]&lt;12,TblMagic[[#This Row],[Active DnD]]&gt;5),1,0))</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Military!$CM$25*TblMili[[#This Row],[Sec. rec. Cost]]</f>
        <v>0</v>
      </c>
      <c r="AV115" s="97">
        <f ca="1">TblMagic[[#This Row],[Mana cost]] + Military!$CM$26*TblMili[[#This Row],[Sec. rec. Cost]]</f>
        <v>0</v>
      </c>
      <c r="AW115" s="97">
        <f ca="1">Military!$CM$24*TblMili[[#This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45462.624999999731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45462.666666666395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Row],[Spires]]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 + IF(AND(TblMagic[[#This Row],[Active DnD]]&lt;12,TblMagic[[#This Row],[Active DnD]]&gt;5),1,0))</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 + IF(AND(TblMagic[[#This Row],[Active DnD]]&lt;12,TblMagic[[#This Row],[Active DnD]]&gt;5),1,0))</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Military!$CM$25*TblMili[[#This Row],[Sec. rec. Cost]]</f>
        <v>0</v>
      </c>
      <c r="AV116" s="97">
        <f ca="1">TblMagic[[#This Row],[Mana cost]] + Military!$CM$26*TblMili[[#This Row],[Sec. rec. Cost]]</f>
        <v>0</v>
      </c>
      <c r="AW116" s="97">
        <f ca="1">Military!$CM$24*TblMili[[#This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45462.666666666395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45462.708333333059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Row],[Spires]]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 + IF(AND(TblMagic[[#This Row],[Active DnD]]&lt;12,TblMagic[[#This Row],[Active DnD]]&gt;5),1,0))</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 + IF(AND(TblMagic[[#This Row],[Active DnD]]&lt;12,TblMagic[[#This Row],[Active DnD]]&gt;5),1,0))</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Military!$CM$25*TblMili[[#This Row],[Sec. rec. Cost]]</f>
        <v>0</v>
      </c>
      <c r="AV117" s="97">
        <f ca="1">TblMagic[[#This Row],[Mana cost]] + Military!$CM$26*TblMili[[#This Row],[Sec. rec. Cost]]</f>
        <v>0</v>
      </c>
      <c r="AW117" s="97">
        <f ca="1">Military!$CM$24*TblMili[[#This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45462.708333333059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45462.749999999724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Row],[Spires]]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 + IF(AND(TblMagic[[#This Row],[Active DnD]]&lt;12,TblMagic[[#This Row],[Active DnD]]&gt;5),1,0))</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 + IF(AND(TblMagic[[#This Row],[Active DnD]]&lt;12,TblMagic[[#This Row],[Active DnD]]&gt;5),1,0))</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Military!$CM$25*TblMili[[#This Row],[Sec. rec. Cost]]</f>
        <v>0</v>
      </c>
      <c r="AV118" s="97">
        <f ca="1">TblMagic[[#This Row],[Mana cost]] + Military!$CM$26*TblMili[[#This Row],[Sec. rec. Cost]]</f>
        <v>0</v>
      </c>
      <c r="AW118" s="97">
        <f ca="1">Military!$CM$24*TblMili[[#This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45462.749999999724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45462.791666666388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Row],[Spires]]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 + IF(AND(TblMagic[[#This Row],[Active DnD]]&lt;12,TblMagic[[#This Row],[Active DnD]]&gt;5),1,0))</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 + IF(AND(TblMagic[[#This Row],[Active DnD]]&lt;12,TblMagic[[#This Row],[Active DnD]]&gt;5),1,0))</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Military!$CM$25*TblMili[[#This Row],[Sec. rec. Cost]]</f>
        <v>0</v>
      </c>
      <c r="AV119" s="97">
        <f ca="1">TblMagic[[#This Row],[Mana cost]] + Military!$CM$26*TblMili[[#This Row],[Sec. rec. Cost]]</f>
        <v>0</v>
      </c>
      <c r="AW119" s="97">
        <f ca="1">Military!$CM$24*TblMili[[#This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45462.791666666388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45462.833333333052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Row],[Spires]]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 + IF(AND(TblMagic[[#This Row],[Active DnD]]&lt;12,TblMagic[[#This Row],[Active DnD]]&gt;5),1,0))</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 + IF(AND(TblMagic[[#This Row],[Active DnD]]&lt;12,TblMagic[[#This Row],[Active DnD]]&gt;5),1,0))</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Military!$CM$25*TblMili[[#This Row],[Sec. rec. Cost]]</f>
        <v>0</v>
      </c>
      <c r="AV120" s="97">
        <f ca="1">TblMagic[[#This Row],[Mana cost]] + Military!$CM$26*TblMili[[#This Row],[Sec. rec. Cost]]</f>
        <v>0</v>
      </c>
      <c r="AW120" s="97">
        <f ca="1">Military!$CM$24*TblMili[[#This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45462.833333333052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45462.874999999716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Row],[Spires]]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 + IF(AND(TblMagic[[#This Row],[Active DnD]]&lt;12,TblMagic[[#This Row],[Active DnD]]&gt;5),1,0))</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 + IF(AND(TblMagic[[#This Row],[Active DnD]]&lt;12,TblMagic[[#This Row],[Active DnD]]&gt;5),1,0))</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Military!$CM$25*TblMili[[#This Row],[Sec. rec. Cost]]</f>
        <v>0</v>
      </c>
      <c r="AV121" s="97">
        <f ca="1">TblMagic[[#This Row],[Mana cost]] + Military!$CM$26*TblMili[[#This Row],[Sec. rec. Cost]]</f>
        <v>0</v>
      </c>
      <c r="AW121" s="97">
        <f ca="1">Military!$CM$24*TblMili[[#This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45462.874999999716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45462.91666666638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Row],[Spires]]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 + IF(AND(TblMagic[[#This Row],[Active DnD]]&lt;12,TblMagic[[#This Row],[Active DnD]]&gt;5),1,0))</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 + IF(AND(TblMagic[[#This Row],[Active DnD]]&lt;12,TblMagic[[#This Row],[Active DnD]]&gt;5),1,0))</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Military!$CM$25*TblMili[[#This Row],[Sec. rec. Cost]]</f>
        <v>0</v>
      </c>
      <c r="AV122" s="97">
        <f ca="1">TblMagic[[#This Row],[Mana cost]] + Military!$CM$26*TblMili[[#This Row],[Sec. rec. Cost]]</f>
        <v>0</v>
      </c>
      <c r="AW122" s="97">
        <f ca="1">Military!$CM$24*TblMili[[#This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45462.91666666638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45462.958333333045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Row],[Spires]]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 + IF(AND(TblMagic[[#This Row],[Active DnD]]&lt;12,TblMagic[[#This Row],[Active DnD]]&gt;5),1,0))</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 + IF(AND(TblMagic[[#This Row],[Active DnD]]&lt;12,TblMagic[[#This Row],[Active DnD]]&gt;5),1,0))</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Military!$CM$25*TblMili[[#This Row],[Sec. rec. Cost]]</f>
        <v>0</v>
      </c>
      <c r="AV123" s="97">
        <f ca="1">TblMagic[[#This Row],[Mana cost]] + Military!$CM$26*TblMili[[#This Row],[Sec. rec. Cost]]</f>
        <v>0</v>
      </c>
      <c r="AW123" s="97">
        <f ca="1">Military!$CM$24*TblMili[[#This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45462.958333333045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45462.999999999709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Row],[Spires]]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 + IF(AND(TblMagic[[#This Row],[Active DnD]]&lt;12,TblMagic[[#This Row],[Active DnD]]&gt;5),1,0))</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 + IF(AND(TblMagic[[#This Row],[Active DnD]]&lt;12,TblMagic[[#This Row],[Active DnD]]&gt;5),1,0))</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Military!$CM$25*TblMili[[#This Row],[Sec. rec. Cost]]</f>
        <v>0</v>
      </c>
      <c r="AV124" s="97">
        <f ca="1">TblMagic[[#This Row],[Mana cost]] + Military!$CM$26*TblMili[[#This Row],[Sec. rec. Cost]]</f>
        <v>0</v>
      </c>
      <c r="AW124" s="97">
        <f ca="1">Military!$CM$24*TblMili[[#This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45462.999999999709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45463.041666666373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Row],[Spires]]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 + IF(AND(TblMagic[[#This Row],[Active DnD]]&lt;12,TblMagic[[#This Row],[Active DnD]]&gt;5),1,0))</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 + IF(AND(TblMagic[[#This Row],[Active DnD]]&lt;12,TblMagic[[#This Row],[Active DnD]]&gt;5),1,0))</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Military!$CM$25*TblMili[[#This Row],[Sec. rec. Cost]]</f>
        <v>0</v>
      </c>
      <c r="AV125" s="97">
        <f ca="1">TblMagic[[#This Row],[Mana cost]] + Military!$CM$26*TblMili[[#This Row],[Sec. rec. Cost]]</f>
        <v>0</v>
      </c>
      <c r="AW125" s="97">
        <f ca="1">Military!$CM$24*TblMili[[#This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45463.041666666373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45463.083333333037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Row],[Spires]]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 + IF(AND(TblMagic[[#This Row],[Active DnD]]&lt;12,TblMagic[[#This Row],[Active DnD]]&gt;5),1,0))</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 + IF(AND(TblMagic[[#This Row],[Active DnD]]&lt;12,TblMagic[[#This Row],[Active DnD]]&gt;5),1,0))</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Military!$CM$25*TblMili[[#This Row],[Sec. rec. Cost]]</f>
        <v>0</v>
      </c>
      <c r="AV126" s="97">
        <f ca="1">TblMagic[[#This Row],[Mana cost]] + Military!$CM$26*TblMili[[#This Row],[Sec. rec. Cost]]</f>
        <v>0</v>
      </c>
      <c r="AW126" s="97">
        <f ca="1">Military!$CM$24*TblMili[[#This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45463.083333333037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45463.124999999702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Row],[Spires]]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 + IF(AND(TblMagic[[#This Row],[Active DnD]]&lt;12,TblMagic[[#This Row],[Active DnD]]&gt;5),1,0))</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 + IF(AND(TblMagic[[#This Row],[Active DnD]]&lt;12,TblMagic[[#This Row],[Active DnD]]&gt;5),1,0))</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Military!$CM$25*TblMili[[#This Row],[Sec. rec. Cost]]</f>
        <v>0</v>
      </c>
      <c r="AV127" s="97">
        <f ca="1">TblMagic[[#This Row],[Mana cost]] + Military!$CM$26*TblMili[[#This Row],[Sec. rec. Cost]]</f>
        <v>0</v>
      </c>
      <c r="AW127" s="97">
        <f ca="1">Military!$CM$24*TblMili[[#This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45463.124999999702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45463.166666666366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Row],[Spires]]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 + IF(AND(TblMagic[[#This Row],[Active DnD]]&lt;12,TblMagic[[#This Row],[Active DnD]]&gt;5),1,0))</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 + IF(AND(TblMagic[[#This Row],[Active DnD]]&lt;12,TblMagic[[#This Row],[Active DnD]]&gt;5),1,0))</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Military!$CM$25*TblMili[[#This Row],[Sec. rec. Cost]]</f>
        <v>0</v>
      </c>
      <c r="AV128" s="97">
        <f ca="1">TblMagic[[#This Row],[Mana cost]] + Military!$CM$26*TblMili[[#This Row],[Sec. rec. Cost]]</f>
        <v>0</v>
      </c>
      <c r="AW128" s="97">
        <f ca="1">Military!$CM$24*TblMili[[#This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45463.166666666366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45463.20833333303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Row],[Spires]]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 + IF(AND(TblMagic[[#This Row],[Active DnD]]&lt;12,TblMagic[[#This Row],[Active DnD]]&gt;5),1,0))</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 + IF(AND(TblMagic[[#This Row],[Active DnD]]&lt;12,TblMagic[[#This Row],[Active DnD]]&gt;5),1,0))</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Military!$CM$25*TblMili[[#This Row],[Sec. rec. Cost]]</f>
        <v>0</v>
      </c>
      <c r="AV129" s="97">
        <f ca="1">TblMagic[[#This Row],[Mana cost]] + Military!$CM$26*TblMili[[#This Row],[Sec. rec. Cost]]</f>
        <v>0</v>
      </c>
      <c r="AW129" s="97">
        <f ca="1">Military!$CM$24*TblMili[[#This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45463.20833333303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45463.249999999694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Row],[Spires]]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 + IF(AND(TblMagic[[#This Row],[Active DnD]]&lt;12,TblMagic[[#This Row],[Active DnD]]&gt;5),1,0))</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 + IF(AND(TblMagic[[#This Row],[Active DnD]]&lt;12,TblMagic[[#This Row],[Active DnD]]&gt;5),1,0))</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Military!$CM$25*TblMili[[#This Row],[Sec. rec. Cost]]</f>
        <v>0</v>
      </c>
      <c r="AV130" s="97">
        <f ca="1">TblMagic[[#This Row],[Mana cost]] + Military!$CM$26*TblMili[[#This Row],[Sec. rec. Cost]]</f>
        <v>0</v>
      </c>
      <c r="AW130" s="97">
        <f ca="1">Military!$CM$24*TblMili[[#This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45463.249999999694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45463.291666666359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Row],[Spires]]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 + IF(AND(TblMagic[[#This Row],[Active DnD]]&lt;12,TblMagic[[#This Row],[Active DnD]]&gt;5),1,0))</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 + IF(AND(TblMagic[[#This Row],[Active DnD]]&lt;12,TblMagic[[#This Row],[Active DnD]]&gt;5),1,0))</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Military!$CM$25*TblMili[[#This Row],[Sec. rec. Cost]]</f>
        <v>0</v>
      </c>
      <c r="AV131" s="97">
        <f ca="1">TblMagic[[#This Row],[Mana cost]] + Military!$CM$26*TblMili[[#This Row],[Sec. rec. Cost]]</f>
        <v>0</v>
      </c>
      <c r="AW131" s="97">
        <f ca="1">Military!$CM$24*TblMili[[#This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45463.291666666359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45463.333333333023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Row],[Spires]]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 + IF(AND(TblMagic[[#This Row],[Active DnD]]&lt;12,TblMagic[[#This Row],[Active DnD]]&gt;5),1,0))</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 + IF(AND(TblMagic[[#This Row],[Active DnD]]&lt;12,TblMagic[[#This Row],[Active DnD]]&gt;5),1,0))</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Military!$CM$25*TblMili[[#This Row],[Sec. rec. Cost]]</f>
        <v>0</v>
      </c>
      <c r="AV132" s="97">
        <f ca="1">TblMagic[[#This Row],[Mana cost]] + Military!$CM$26*TblMili[[#This Row],[Sec. rec. Cost]]</f>
        <v>0</v>
      </c>
      <c r="AW132" s="97">
        <f ca="1">Military!$CM$24*TblMili[[#This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45463.333333333023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45463.374999999687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Row],[Spires]]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 + IF(AND(TblMagic[[#This Row],[Active DnD]]&lt;12,TblMagic[[#This Row],[Active DnD]]&gt;5),1,0))</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 + IF(AND(TblMagic[[#This Row],[Active DnD]]&lt;12,TblMagic[[#This Row],[Active DnD]]&gt;5),1,0))</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Military!$CM$25*TblMili[[#This Row],[Sec. rec. Cost]]</f>
        <v>0</v>
      </c>
      <c r="AV133" s="97">
        <f ca="1">TblMagic[[#This Row],[Mana cost]] + Military!$CM$26*TblMili[[#This Row],[Sec. rec. Cost]]</f>
        <v>0</v>
      </c>
      <c r="AW133" s="97">
        <f ca="1">Military!$CM$24*TblMili[[#This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45463.374999999687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45463.416666666351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Row],[Spires]]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 + IF(AND(TblMagic[[#This Row],[Active DnD]]&lt;12,TblMagic[[#This Row],[Active DnD]]&gt;5),1,0))</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 + IF(AND(TblMagic[[#This Row],[Active DnD]]&lt;12,TblMagic[[#This Row],[Active DnD]]&gt;5),1,0))</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Military!$CM$25*TblMili[[#This Row],[Sec. rec. Cost]]</f>
        <v>0</v>
      </c>
      <c r="AV134" s="97">
        <f ca="1">TblMagic[[#This Row],[Mana cost]] + Military!$CM$26*TblMili[[#This Row],[Sec. rec. Cost]]</f>
        <v>0</v>
      </c>
      <c r="AW134" s="97">
        <f ca="1">Military!$CM$24*TblMili[[#This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45463.416666666351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45463.458333333016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Row],[Spires]]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 + IF(AND(TblMagic[[#This Row],[Active DnD]]&lt;12,TblMagic[[#This Row],[Active DnD]]&gt;5),1,0))</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 + IF(AND(TblMagic[[#This Row],[Active DnD]]&lt;12,TblMagic[[#This Row],[Active DnD]]&gt;5),1,0))</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Military!$CM$25*TblMili[[#This Row],[Sec. rec. Cost]]</f>
        <v>0</v>
      </c>
      <c r="AV135" s="97">
        <f ca="1">TblMagic[[#This Row],[Mana cost]] + Military!$CM$26*TblMili[[#This Row],[Sec. rec. Cost]]</f>
        <v>0</v>
      </c>
      <c r="AW135" s="97">
        <f ca="1">Military!$CM$24*TblMili[[#This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45463.458333333016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45463.49999999968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Row],[Spires]]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 + IF(AND(TblMagic[[#This Row],[Active DnD]]&lt;12,TblMagic[[#This Row],[Active DnD]]&gt;5),1,0))</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 + IF(AND(TblMagic[[#This Row],[Active DnD]]&lt;12,TblMagic[[#This Row],[Active DnD]]&gt;5),1,0))</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Military!$CM$25*TblMili[[#This Row],[Sec. rec. Cost]]</f>
        <v>0</v>
      </c>
      <c r="AV136" s="97">
        <f ca="1">TblMagic[[#This Row],[Mana cost]] + Military!$CM$26*TblMili[[#This Row],[Sec. rec. Cost]]</f>
        <v>0</v>
      </c>
      <c r="AW136" s="97">
        <f ca="1">Military!$CM$24*TblMili[[#This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45463.49999999968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9" t="s">
        <v>315</v>
      </c>
      <c r="D1269" s="456"/>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1" priority="58" stopIfTrue="1">
      <formula>ROW()-2=#REF!</formula>
    </cfRule>
  </conditionalFormatting>
  <conditionalFormatting sqref="A1269:XFD1270">
    <cfRule type="expression" dxfId="810" priority="59" stopIfTrue="1">
      <formula>$C$1270&gt;144</formula>
    </cfRule>
  </conditionalFormatting>
  <conditionalFormatting sqref="E4:Q136">
    <cfRule type="expression" dxfId="809" priority="39" stopIfTrue="1">
      <formula>OR(ROW()-3=$C$1270,E4&lt;0)</formula>
    </cfRule>
  </conditionalFormatting>
  <conditionalFormatting sqref="BH4:BH136">
    <cfRule type="cellIs" dxfId="808" priority="61" stopIfTrue="1" operator="equal">
      <formula>"Nope"</formula>
    </cfRule>
  </conditionalFormatting>
  <conditionalFormatting sqref="A4:BM136">
    <cfRule type="expression" dxfId="807" priority="1" stopIfTrue="1">
      <formula>ROW()-3=$C$1270</formula>
    </cfRule>
    <cfRule type="expression" dxfId="806" priority="56">
      <formula>$A4="OOP"</formula>
    </cfRule>
    <cfRule type="expression" dxfId="805" priority="57">
      <formula>ROUND(($A4-1)/12,0)=INT($A4-1)/12</formula>
    </cfRule>
  </conditionalFormatting>
  <conditionalFormatting sqref="A1:XFD3">
    <cfRule type="expression" dxfId="804"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502" t="s">
        <v>56</v>
      </c>
      <c r="P1" s="502"/>
      <c r="Q1" s="456"/>
      <c r="R1" s="5"/>
      <c r="S1" s="5"/>
      <c r="T1" s="5"/>
      <c r="U1" s="5"/>
      <c r="V1" s="5"/>
      <c r="W1" s="5"/>
      <c r="X1" s="5"/>
      <c r="Y1" s="5"/>
      <c r="Z1" s="5"/>
      <c r="AA1" s="5"/>
      <c r="AB1" s="5"/>
      <c r="AC1" s="5"/>
      <c r="AD1" s="5"/>
      <c r="AE1" s="5"/>
      <c r="AF1" s="5"/>
      <c r="AG1" s="5"/>
      <c r="AH1" s="5"/>
      <c r="AI1" s="177" t="s">
        <v>514</v>
      </c>
      <c r="AJ1" s="177" t="s">
        <v>517</v>
      </c>
      <c r="AK1" s="502" t="s">
        <v>77</v>
      </c>
      <c r="AL1" s="502"/>
      <c r="AM1" s="500" t="s">
        <v>515</v>
      </c>
      <c r="AN1" s="500"/>
      <c r="AO1" s="500" t="s">
        <v>516</v>
      </c>
      <c r="AP1" s="500"/>
      <c r="AQ1" s="500" t="s">
        <v>513</v>
      </c>
      <c r="AR1" s="500"/>
      <c r="AS1" s="5"/>
      <c r="AT1" s="5"/>
      <c r="AU1" s="5"/>
      <c r="AV1" s="5" t="s">
        <v>512</v>
      </c>
      <c r="AW1" s="5"/>
      <c r="AX1" s="5"/>
      <c r="AY1" s="500" t="s">
        <v>53</v>
      </c>
      <c r="AZ1" s="500"/>
      <c r="BA1" s="500"/>
      <c r="BB1" s="28"/>
      <c r="BC1" s="28"/>
      <c r="BD1" s="28"/>
      <c r="BE1" s="28"/>
      <c r="BF1" s="28"/>
      <c r="BG1" s="28"/>
      <c r="BH1" s="28"/>
      <c r="BI1" s="28"/>
      <c r="BJ1" s="28"/>
      <c r="BK1" s="28"/>
      <c r="BL1" s="28"/>
      <c r="BM1" s="28"/>
      <c r="BN1" s="28"/>
      <c r="BO1" s="28"/>
      <c r="BP1" s="28"/>
      <c r="BQ1" s="28"/>
      <c r="BR1" s="5"/>
      <c r="BS1" s="5"/>
      <c r="BT1" s="5"/>
      <c r="BU1" s="5"/>
      <c r="BV1" s="5"/>
      <c r="BW1" s="502" t="s">
        <v>84</v>
      </c>
      <c r="BX1" s="502"/>
      <c r="BY1" s="5"/>
      <c r="BZ1" s="5"/>
      <c r="CA1" s="5"/>
      <c r="CB1" s="5"/>
      <c r="CC1" s="5"/>
      <c r="CD1" s="5"/>
      <c r="CE1" s="5"/>
      <c r="CF1" s="5"/>
      <c r="CG1" s="5"/>
      <c r="CH1" s="5"/>
      <c r="CI1" s="5"/>
      <c r="CJ1" s="5"/>
      <c r="CK1" s="5"/>
      <c r="CL1" s="5"/>
      <c r="CM1" s="5"/>
      <c r="CN1" s="5"/>
      <c r="CO1" s="5"/>
      <c r="CP1" s="5"/>
      <c r="CQ1" s="500" t="s">
        <v>18</v>
      </c>
      <c r="CR1" s="500"/>
      <c r="CS1" s="28"/>
      <c r="CT1" s="28"/>
      <c r="CU1" s="28"/>
      <c r="CV1" s="28"/>
      <c r="CW1" s="28"/>
      <c r="CX1" s="5"/>
      <c r="CY1" s="5"/>
      <c r="CZ1" s="502" t="s">
        <v>294</v>
      </c>
      <c r="DA1" s="502"/>
      <c r="DB1" s="502"/>
      <c r="DC1" s="502"/>
      <c r="DD1" s="502"/>
      <c r="DE1" s="5"/>
      <c r="DF1" s="5"/>
      <c r="DG1" s="502" t="s">
        <v>258</v>
      </c>
      <c r="DH1" s="502"/>
      <c r="DI1" s="5" t="s">
        <v>532</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1003</v>
      </c>
      <c r="E3" s="138" t="s">
        <v>773</v>
      </c>
      <c r="F3" s="138" t="s">
        <v>1</v>
      </c>
      <c r="G3" s="173" t="s">
        <v>244</v>
      </c>
      <c r="H3" s="138" t="s">
        <v>58</v>
      </c>
      <c r="I3" s="138" t="s">
        <v>246</v>
      </c>
      <c r="J3" s="138" t="s">
        <v>245</v>
      </c>
      <c r="K3" s="138" t="s">
        <v>60</v>
      </c>
      <c r="L3" s="138" t="s">
        <v>243</v>
      </c>
      <c r="M3" s="138" t="s">
        <v>62</v>
      </c>
      <c r="N3" s="138" t="s">
        <v>1047</v>
      </c>
      <c r="O3" s="174" t="s">
        <v>72</v>
      </c>
      <c r="P3" s="174" t="s">
        <v>71</v>
      </c>
      <c r="Q3" s="174" t="s">
        <v>70</v>
      </c>
      <c r="R3" s="174" t="s">
        <v>69</v>
      </c>
      <c r="S3" s="174" t="s">
        <v>68</v>
      </c>
      <c r="T3" s="174" t="s">
        <v>63</v>
      </c>
      <c r="U3" s="174" t="s">
        <v>347</v>
      </c>
      <c r="V3" s="174" t="s">
        <v>64</v>
      </c>
      <c r="W3" s="174" t="s">
        <v>65</v>
      </c>
      <c r="X3" s="174" t="s">
        <v>66</v>
      </c>
      <c r="Y3" s="174" t="s">
        <v>67</v>
      </c>
      <c r="Z3" s="174" t="s">
        <v>349</v>
      </c>
      <c r="AA3" s="174" t="s">
        <v>352</v>
      </c>
      <c r="AB3" s="174" t="s">
        <v>74</v>
      </c>
      <c r="AC3" s="174" t="s">
        <v>350</v>
      </c>
      <c r="AD3" s="174" t="s">
        <v>296</v>
      </c>
      <c r="AE3" s="174" t="s">
        <v>75</v>
      </c>
      <c r="AF3" s="174" t="s">
        <v>370</v>
      </c>
      <c r="AG3" s="174" t="s">
        <v>76</v>
      </c>
      <c r="AH3" s="138" t="s">
        <v>362</v>
      </c>
      <c r="AI3" s="138" t="s">
        <v>815</v>
      </c>
      <c r="AJ3" s="138" t="s">
        <v>816</v>
      </c>
      <c r="AK3" s="138" t="s">
        <v>2</v>
      </c>
      <c r="AL3" s="138" t="s">
        <v>7</v>
      </c>
      <c r="AM3" s="138" t="s">
        <v>811</v>
      </c>
      <c r="AN3" s="138" t="s">
        <v>812</v>
      </c>
      <c r="AO3" s="138" t="s">
        <v>813</v>
      </c>
      <c r="AP3" s="138" t="s">
        <v>814</v>
      </c>
      <c r="AQ3" s="138" t="s">
        <v>1035</v>
      </c>
      <c r="AR3" s="138" t="s">
        <v>1036</v>
      </c>
      <c r="AS3" s="138" t="s">
        <v>518</v>
      </c>
      <c r="AT3" s="138" t="s">
        <v>519</v>
      </c>
      <c r="AU3" s="138" t="s">
        <v>774</v>
      </c>
      <c r="AV3" s="138" t="s">
        <v>817</v>
      </c>
      <c r="AW3" s="138" t="s">
        <v>818</v>
      </c>
      <c r="AX3" s="138" t="s">
        <v>775</v>
      </c>
      <c r="AY3" s="173" t="s">
        <v>819</v>
      </c>
      <c r="AZ3" s="138" t="s">
        <v>820</v>
      </c>
      <c r="BA3" s="138" t="s">
        <v>821</v>
      </c>
      <c r="BB3" s="138" t="s">
        <v>822</v>
      </c>
      <c r="BC3" s="138" t="s">
        <v>823</v>
      </c>
      <c r="BD3" s="138" t="s">
        <v>824</v>
      </c>
      <c r="BE3" s="138" t="s">
        <v>825</v>
      </c>
      <c r="BF3" s="138" t="s">
        <v>826</v>
      </c>
      <c r="BG3" s="138" t="s">
        <v>827</v>
      </c>
      <c r="BH3" s="138" t="s">
        <v>828</v>
      </c>
      <c r="BI3" s="138" t="s">
        <v>829</v>
      </c>
      <c r="BJ3" s="138" t="s">
        <v>830</v>
      </c>
      <c r="BK3" s="138" t="s">
        <v>831</v>
      </c>
      <c r="BL3" s="138" t="s">
        <v>832</v>
      </c>
      <c r="BM3" s="138" t="s">
        <v>833</v>
      </c>
      <c r="BN3" s="138" t="s">
        <v>834</v>
      </c>
      <c r="BO3" s="138" t="s">
        <v>835</v>
      </c>
      <c r="BP3" s="138" t="s">
        <v>836</v>
      </c>
      <c r="BQ3" s="175" t="s">
        <v>837</v>
      </c>
      <c r="BR3" s="138" t="s">
        <v>790</v>
      </c>
      <c r="BS3" s="138" t="s">
        <v>791</v>
      </c>
      <c r="BT3" s="138" t="s">
        <v>882</v>
      </c>
      <c r="BU3" s="138" t="s">
        <v>860</v>
      </c>
      <c r="BV3" s="138" t="s">
        <v>792</v>
      </c>
      <c r="BW3" s="138" t="s">
        <v>1018</v>
      </c>
      <c r="BX3" s="138" t="s">
        <v>903</v>
      </c>
      <c r="BY3" s="138" t="s">
        <v>904</v>
      </c>
      <c r="BZ3" s="138" t="s">
        <v>905</v>
      </c>
      <c r="CA3" s="138" t="s">
        <v>906</v>
      </c>
      <c r="CB3" s="138" t="s">
        <v>907</v>
      </c>
      <c r="CC3" s="138" t="s">
        <v>908</v>
      </c>
      <c r="CD3" s="138" t="s">
        <v>909</v>
      </c>
      <c r="CE3" s="138" t="s">
        <v>910</v>
      </c>
      <c r="CF3" s="138" t="s">
        <v>911</v>
      </c>
      <c r="CG3" s="138" t="s">
        <v>912</v>
      </c>
      <c r="CH3" s="138" t="s">
        <v>913</v>
      </c>
      <c r="CI3" s="138" t="s">
        <v>914</v>
      </c>
      <c r="CJ3" s="138" t="s">
        <v>915</v>
      </c>
      <c r="CK3" s="138" t="s">
        <v>916</v>
      </c>
      <c r="CL3" s="138" t="s">
        <v>917</v>
      </c>
      <c r="CM3" s="138" t="s">
        <v>918</v>
      </c>
      <c r="CN3" s="138" t="s">
        <v>919</v>
      </c>
      <c r="CO3" s="138" t="s">
        <v>920</v>
      </c>
      <c r="CP3" s="138" t="s">
        <v>866</v>
      </c>
      <c r="CQ3" s="138" t="s">
        <v>803</v>
      </c>
      <c r="CR3" s="138" t="s">
        <v>804</v>
      </c>
      <c r="CS3" s="138" t="s">
        <v>805</v>
      </c>
      <c r="CT3" s="138" t="s">
        <v>806</v>
      </c>
      <c r="CU3" s="138" t="s">
        <v>807</v>
      </c>
      <c r="CV3" s="138" t="s">
        <v>808</v>
      </c>
      <c r="CW3" s="138" t="s">
        <v>809</v>
      </c>
      <c r="CX3" s="138" t="s">
        <v>258</v>
      </c>
      <c r="CY3" s="138" t="s">
        <v>867</v>
      </c>
      <c r="CZ3" s="138" t="s">
        <v>871</v>
      </c>
      <c r="DA3" s="138" t="s">
        <v>872</v>
      </c>
      <c r="DB3" s="138" t="s">
        <v>873</v>
      </c>
      <c r="DC3" s="138" t="s">
        <v>874</v>
      </c>
      <c r="DD3" s="138" t="s">
        <v>875</v>
      </c>
      <c r="DE3" s="138" t="s">
        <v>876</v>
      </c>
      <c r="DF3" s="138" t="s">
        <v>877</v>
      </c>
      <c r="DG3" s="138" t="s">
        <v>810</v>
      </c>
      <c r="DH3" s="138" t="s">
        <v>295</v>
      </c>
      <c r="DI3" s="138" t="s">
        <v>533</v>
      </c>
      <c r="DJ3" s="138" t="s">
        <v>534</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45458</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45458</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45458.041666666664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45458.041666666664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45458.083333333328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45458.083333333328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45458.124999999993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45458.124999999993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45458.166666666657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45458.166666666657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45458.208333333321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45458.208333333321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45458.249999999985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45458.249999999985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45458.29166666665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45458.29166666665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45458.333333333314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45458.333333333314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45458.374999999978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45458.374999999978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45458.416666666642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45458.416666666642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45458.458333333307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45458.458333333307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45458.499999999971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45458.499999999971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45458.541666666635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45458.541666666635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45458.583333333299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45458.583333333299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45458.624999999964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45458.624999999964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45458.666666666628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45458.666666666628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45458.708333333292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45458.708333333292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45458.749999999956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45458.749999999956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45458.791666666621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45458.791666666621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45458.833333333285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45458.833333333285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45458.874999999949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45458.874999999949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45458.916666666613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45458.916666666613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45458.958333333278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45458.958333333278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45458.999999999942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45458.999999999942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45459.041666666606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45459.041666666606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45459.08333333327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45459.08333333327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45459.124999999935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45459.124999999935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45459.166666666599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45459.166666666599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45459.208333333263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45459.208333333263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45459.249999999927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45459.249999999927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45459.291666666591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45459.291666666591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45459.333333333256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45459.333333333256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45459.37499999992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45459.37499999992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45459.416666666584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45459.416666666584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45459.458333333248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45459.458333333248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45459.499999999913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45459.499999999913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45459.541666666577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45459.541666666577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45459.583333333241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45459.583333333241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45459.624999999905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45459.624999999905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45459.66666666657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45459.66666666657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45459.708333333234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45459.708333333234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45459.749999999898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45459.749999999898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45459.791666666562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45459.791666666562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45459.833333333227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45459.833333333227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45459.874999999891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45459.874999999891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45459.916666666555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45459.916666666555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45459.958333333219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45459.958333333219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45459.999999999884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45459.999999999884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45460.041666666548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45460.041666666548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45460.083333333212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45460.083333333212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45460.124999999876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45460.124999999876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45460.166666666541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45460.166666666541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45460.208333333205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45460.208333333205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45460.249999999869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45460.249999999869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45460.291666666533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45460.291666666533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45460.333333333198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45460.333333333198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45460.374999999862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45460.374999999862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45460.416666666526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45460.416666666526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45460.45833333319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45460.45833333319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45460.499999999854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45460.499999999854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45460.541666666519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45460.541666666519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45460.583333333183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45460.583333333183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45460.624999999847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45460.624999999847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45460.666666666511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45460.666666666511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45460.708333333176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45460.708333333176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45460.74999999984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45460.74999999984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45460.791666666504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45460.791666666504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45460.833333333168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45460.833333333168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45460.874999999833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45460.874999999833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45460.916666666497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45460.916666666497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45460.958333333161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45460.958333333161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45460.999999999825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45460.999999999825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45461.04166666649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45461.04166666649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45461.083333333154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45461.083333333154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45461.124999999818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45461.124999999818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45461.166666666482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45461.166666666482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45461.208333333147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45461.208333333147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45461.249999999811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45461.249999999811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45461.291666666475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45461.291666666475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45461.333333333139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45461.333333333139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45461.374999999804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45461.374999999804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45461.416666666468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45461.416666666468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45461.458333333132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45461.458333333132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45461.499999999796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45461.499999999796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45461.541666666461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45461.541666666461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45461.583333333125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45461.583333333125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45461.624999999789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45461.624999999789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45461.666666666453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45461.666666666453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45461.708333333117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45461.708333333117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45461.749999999782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45461.749999999782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45461.791666666446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45461.791666666446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45461.83333333311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45461.83333333311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45461.874999999774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45461.874999999774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45461.916666666439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45461.916666666439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45461.958333333103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45461.958333333103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45461.999999999767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45461.999999999767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45462.041666666431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45462.041666666431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45462.083333333096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45462.083333333096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45462.12499999976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45462.12499999976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45462.166666666424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45462.166666666424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45462.208333333088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45462.208333333088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45462.249999999753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45462.249999999753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45462.291666666417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45462.291666666417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45462.333333333081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45462.333333333081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45462.374999999745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45462.374999999745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45462.41666666641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45462.41666666641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45462.458333333074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45462.458333333074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45462.499999999738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45462.499999999738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45462.541666666402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45462.541666666402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45462.583333333067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45462.583333333067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45462.624999999731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45462.624999999731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45462.666666666395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45462.666666666395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45462.708333333059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45462.708333333059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45462.749999999724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45462.749999999724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45462.791666666388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45462.791666666388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45462.833333333052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45462.833333333052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45462.874999999716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45462.874999999716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45462.91666666638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45462.91666666638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45462.958333333045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45462.958333333045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45462.999999999709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45462.999999999709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45463.041666666373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45463.041666666373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45463.083333333037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45463.083333333037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45463.124999999702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45463.124999999702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45463.166666666366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45463.166666666366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45463.20833333303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45463.20833333303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45463.249999999694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45463.249999999694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45463.291666666359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45463.291666666359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45463.333333333023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45463.333333333023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45463.374999999687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45463.374999999687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45463.416666666351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45463.416666666351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45463.458333333016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45463.458333333016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45463.49999999968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45463.49999999968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9" t="s">
        <v>315</v>
      </c>
      <c r="B1269" s="45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6" priority="73" stopIfTrue="1">
      <formula>XEZ137&lt;0</formula>
    </cfRule>
  </conditionalFormatting>
  <conditionalFormatting sqref="A137:D1268 A1271:D65537 F1271:H65537 F137:H1268">
    <cfRule type="expression" dxfId="735" priority="74" stopIfTrue="1">
      <formula>XEV137&lt;0</formula>
    </cfRule>
  </conditionalFormatting>
  <conditionalFormatting sqref="E1271:E65537 E137:E1268">
    <cfRule type="expression" dxfId="734" priority="75" stopIfTrue="1">
      <formula>XEU137&lt;0</formula>
    </cfRule>
  </conditionalFormatting>
  <conditionalFormatting sqref="DI1271:DJ52023 O1271:AG52052 O137:AG1268 BV1271:DH52052 BV137:DJ1268">
    <cfRule type="expression" dxfId="733" priority="76" stopIfTrue="1">
      <formula>ROW()-2=#REF!</formula>
    </cfRule>
  </conditionalFormatting>
  <conditionalFormatting sqref="A1269:AG1270 BV1269:DJ1270">
    <cfRule type="expression" dxfId="732" priority="77" stopIfTrue="1">
      <formula>$A$1270&gt;144</formula>
    </cfRule>
  </conditionalFormatting>
  <conditionalFormatting sqref="K1271:L65537 K137:L1268">
    <cfRule type="expression" dxfId="731" priority="95" stopIfTrue="1">
      <formula>A137&lt;0</formula>
    </cfRule>
  </conditionalFormatting>
  <conditionalFormatting sqref="AY4:BQ136">
    <cfRule type="expression" dxfId="730" priority="7" stopIfTrue="1">
      <formula>OR(AY4&lt;0,ROW()-3=$A$1270)</formula>
    </cfRule>
  </conditionalFormatting>
  <conditionalFormatting sqref="I1271:J65537 I137:J1268">
    <cfRule type="expression" dxfId="729" priority="98" stopIfTrue="1">
      <formula>A137&lt;0</formula>
    </cfRule>
  </conditionalFormatting>
  <conditionalFormatting sqref="A4:DJ35 A36:O38 Q36:W38 A39:W39 Y36:DJ39 A40:DJ52 A60:DJ136 A53:Q59 S53:X59 Z53:DJ59">
    <cfRule type="expression" dxfId="728" priority="13" stopIfTrue="1">
      <formula>ROW()-3=$A$1270</formula>
    </cfRule>
    <cfRule type="expression" dxfId="727" priority="136">
      <formula>$A4=73</formula>
    </cfRule>
    <cfRule type="expression" dxfId="726" priority="137">
      <formula>ROUND(($A4-1)/12,0)=INT($A4-1)/12</formula>
    </cfRule>
  </conditionalFormatting>
  <conditionalFormatting sqref="A1:XFD3">
    <cfRule type="expression" dxfId="725" priority="138">
      <formula>$A$1270&lt;0</formula>
    </cfRule>
  </conditionalFormatting>
  <conditionalFormatting sqref="P36:P38">
    <cfRule type="expression" dxfId="724" priority="4" stopIfTrue="1">
      <formula>ROW()-3=$B$1270</formula>
    </cfRule>
  </conditionalFormatting>
  <conditionalFormatting sqref="P36:P38">
    <cfRule type="expression" dxfId="723" priority="5">
      <formula>$A36=73</formula>
    </cfRule>
    <cfRule type="expression" dxfId="722" priority="6">
      <formula>ROUND(($A36-1)/12,0)=INT($A36-1)/12</formula>
    </cfRule>
  </conditionalFormatting>
  <conditionalFormatting sqref="X36:X39">
    <cfRule type="expression" dxfId="721" priority="1" stopIfTrue="1">
      <formula>ROW()-3=$B$1270</formula>
    </cfRule>
  </conditionalFormatting>
  <conditionalFormatting sqref="X36:X39">
    <cfRule type="expression" dxfId="720" priority="2">
      <formula>$A36=73</formula>
    </cfRule>
    <cfRule type="expression" dxfId="719"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3" t="s">
        <v>300</v>
      </c>
      <c r="M1" s="456"/>
      <c r="N1" s="456"/>
      <c r="O1" s="456"/>
      <c r="P1" s="456"/>
      <c r="Q1" s="456"/>
      <c r="R1" s="28"/>
      <c r="S1" s="5" t="s">
        <v>354</v>
      </c>
      <c r="T1" s="5" t="s">
        <v>176</v>
      </c>
      <c r="AB1" s="502" t="s">
        <v>77</v>
      </c>
      <c r="AC1" s="502"/>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773</v>
      </c>
      <c r="D3" s="138" t="s">
        <v>55</v>
      </c>
      <c r="E3" s="138" t="s">
        <v>58</v>
      </c>
      <c r="F3" s="138" t="s">
        <v>1026</v>
      </c>
      <c r="G3" s="138" t="s">
        <v>59</v>
      </c>
      <c r="H3" s="138" t="s">
        <v>60</v>
      </c>
      <c r="I3" s="138" t="s">
        <v>61</v>
      </c>
      <c r="J3" s="138" t="s">
        <v>62</v>
      </c>
      <c r="K3" s="222" t="s">
        <v>878</v>
      </c>
      <c r="L3" s="222" t="s">
        <v>879</v>
      </c>
      <c r="M3" s="222" t="s">
        <v>880</v>
      </c>
      <c r="N3" s="223" t="s">
        <v>184</v>
      </c>
      <c r="O3" s="223" t="s">
        <v>364</v>
      </c>
      <c r="P3" s="223" t="s">
        <v>363</v>
      </c>
      <c r="Q3" s="138" t="s">
        <v>882</v>
      </c>
      <c r="R3" s="138" t="s">
        <v>855</v>
      </c>
      <c r="S3" s="138" t="s">
        <v>883</v>
      </c>
      <c r="T3" s="138" t="s">
        <v>1019</v>
      </c>
      <c r="U3" s="138" t="s">
        <v>1020</v>
      </c>
      <c r="V3" s="138" t="s">
        <v>1021</v>
      </c>
      <c r="W3" s="138" t="s">
        <v>1022</v>
      </c>
      <c r="X3" s="138" t="s">
        <v>1023</v>
      </c>
      <c r="Y3" s="138" t="s">
        <v>1024</v>
      </c>
      <c r="Z3" s="138" t="s">
        <v>1025</v>
      </c>
      <c r="AA3" s="138" t="s">
        <v>310</v>
      </c>
      <c r="AB3" s="138" t="s">
        <v>24</v>
      </c>
      <c r="AC3" s="138" t="s">
        <v>2</v>
      </c>
      <c r="AD3" s="138" t="s">
        <v>774</v>
      </c>
      <c r="AE3" s="138" t="s">
        <v>509</v>
      </c>
      <c r="AF3" s="138" t="s">
        <v>57</v>
      </c>
      <c r="AG3" s="138" t="s">
        <v>178</v>
      </c>
      <c r="AH3" s="138" t="s">
        <v>881</v>
      </c>
      <c r="AI3" s="138" t="s">
        <v>868</v>
      </c>
      <c r="AJ3" s="224" t="s">
        <v>761</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45458</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45458.041666666664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45458.083333333328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45458.124999999993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45458.166666666657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45458.208333333321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45458.249999999985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45458.29166666665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45458.333333333314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45458.374999999978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45458.416666666642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45458.458333333307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380</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45458.499999999971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368</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45458.541666666635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367</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45458.583333333299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365</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45458.624999999964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366</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45458.666666666628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45458.708333333292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45458.749999999956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45458.791666666621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45458.833333333285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381</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45458.874999999949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368</v>
      </c>
      <c r="M26" s="236">
        <f ca="1">Military!AQ67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45458.916666666613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367</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45458.958333333278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365</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45458.999999999942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366</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45459.041666666606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45459.08333333327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45459.124999999935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45459.166666666599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45459.208333333263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45459.249999999927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45459.291666666591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45459.333333333256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45459.37499999992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45459.416666666584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45459.458333333248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45459.499999999913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45459.541666666577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45459.583333333241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45459.624999999905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45459.66666666657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45459.708333333234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45459.749999999898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45459.791666666562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45459.833333333227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45459.874999999891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45459.916666666555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45459.958333333219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45459.999999999884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45460.041666666548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1045</v>
      </c>
      <c r="M54" s="398" t="s">
        <v>302</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45460.083333333212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45460.124999999876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45460.166666666541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45460.208333333205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45460.249999999869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45460.291666666533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45460.333333333198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45460.374999999862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45460.416666666526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45460.45833333319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45460.499999999854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45460.541666666519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45460.583333333183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45460.624999999847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45460.666666666511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45460.708333333176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45460.74999999984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45460.791666666504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45460.833333333168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45460.874999999833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45460.916666666497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45460.958333333161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45460.999999999825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45461.04166666649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45461.083333333154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45461.124999999818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45461.166666666482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45461.208333333147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45461.249999999811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45461.291666666475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45461.333333333139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45461.374999999804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45461.416666666468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45461.458333333132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45461.499999999796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45461.541666666461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45461.583333333125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45461.624999999789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45461.666666666453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45461.708333333117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45461.749999999782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45461.791666666446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45461.83333333311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45461.874999999774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45461.916666666439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45461.958333333103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45461.999999999767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45462.041666666431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45462.083333333096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45462.12499999976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45462.166666666424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45462.208333333088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45462.249999999753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45462.291666666417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45462.333333333081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45462.374999999745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45462.41666666641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45462.458333333074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45462.499999999738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45462.541666666402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45462.583333333067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45462.624999999731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45462.666666666395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45462.708333333059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45462.749999999724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45462.791666666388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45462.833333333052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45462.874999999716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45462.91666666638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45462.958333333045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299</v>
      </c>
      <c r="M124" s="240" t="s">
        <v>302</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45462.999999999709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45463.041666666373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45463.083333333037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45463.124999999702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45463.166666666366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45463.20833333303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45463.249999999694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45463.291666666359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45463.333333333023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45463.374999999687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45463.416666666351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45463.458333333016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45463.49999999968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9" t="s">
        <v>315</v>
      </c>
      <c r="C1269" s="499"/>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6" priority="19" stopIfTrue="1">
      <formula>$M26&lt;$M17</formula>
    </cfRule>
    <cfRule type="expression" dxfId="485" priority="20" stopIfTrue="1">
      <formula>$M17&lt;$M26</formula>
    </cfRule>
  </conditionalFormatting>
  <conditionalFormatting sqref="C1270 D1269:AJ1270 A1269:B1270">
    <cfRule type="expression" dxfId="484" priority="17" stopIfTrue="1">
      <formula>$B$1270&gt;144</formula>
    </cfRule>
  </conditionalFormatting>
  <conditionalFormatting sqref="A4:J136 N4:AJ12 N49:AJ136 N41:S48 U41:AJ48 N16:AJ23 N13:V15 X13:AJ15 N27:AJ40 N24:V26 X24:AJ26">
    <cfRule type="expression" dxfId="483" priority="7" stopIfTrue="1">
      <formula>ROW()-3=$B$1270</formula>
    </cfRule>
  </conditionalFormatting>
  <conditionalFormatting sqref="D4:J136">
    <cfRule type="expression" dxfId="482" priority="8" stopIfTrue="1">
      <formula>OR(ROW()-3=$B$1270,D4&lt;0)</formula>
    </cfRule>
  </conditionalFormatting>
  <conditionalFormatting sqref="A1:XFD3">
    <cfRule type="expression" dxfId="481" priority="22" stopIfTrue="1">
      <formula>$B$1270&lt;0</formula>
    </cfRule>
  </conditionalFormatting>
  <conditionalFormatting sqref="A4:AJ12 A49:AJ136 A41:S48 U41:AJ48 A16:AJ23 A13:V15 X13:AJ15 A27:AJ40 A24:V26 X24:AJ26">
    <cfRule type="expression" dxfId="480" priority="9">
      <formula>$A4=73</formula>
    </cfRule>
    <cfRule type="expression" dxfId="479" priority="16">
      <formula>ROUND(($A4-1)/12,0)=INT($A4-1)/12</formula>
    </cfRule>
  </conditionalFormatting>
  <conditionalFormatting sqref="W13:W15">
    <cfRule type="expression" dxfId="478" priority="4" stopIfTrue="1">
      <formula>ROW()-3=$A$1270</formula>
    </cfRule>
    <cfRule type="expression" dxfId="477" priority="5">
      <formula>$A13=73</formula>
    </cfRule>
    <cfRule type="expression" dxfId="476" priority="6">
      <formula>ROUND(($A13-1)/12,0)=INT($A13-1)/12</formula>
    </cfRule>
  </conditionalFormatting>
  <conditionalFormatting sqref="W24:W26">
    <cfRule type="expression" dxfId="475" priority="1" stopIfTrue="1">
      <formula>ROW()-3=$B$1270</formula>
    </cfRule>
  </conditionalFormatting>
  <conditionalFormatting sqref="W24:W26">
    <cfRule type="expression" dxfId="474" priority="2">
      <formula>$A24=73</formula>
    </cfRule>
    <cfRule type="expression" dxfId="473"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303</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773</v>
      </c>
      <c r="J3" s="138" t="s">
        <v>0</v>
      </c>
      <c r="K3" s="138" t="s">
        <v>310</v>
      </c>
      <c r="L3" s="138" t="s">
        <v>1027</v>
      </c>
      <c r="M3" s="138" t="s">
        <v>1028</v>
      </c>
      <c r="N3" s="138" t="s">
        <v>1029</v>
      </c>
      <c r="O3" s="138" t="s">
        <v>1030</v>
      </c>
      <c r="P3" s="138" t="s">
        <v>1031</v>
      </c>
      <c r="Q3" s="138" t="s">
        <v>1032</v>
      </c>
      <c r="R3" s="138" t="s">
        <v>1033</v>
      </c>
      <c r="S3" s="138" t="s">
        <v>301</v>
      </c>
      <c r="T3" s="138" t="s">
        <v>194</v>
      </c>
      <c r="U3" s="138" t="s">
        <v>774</v>
      </c>
      <c r="V3" s="138" t="s">
        <v>2</v>
      </c>
      <c r="W3" s="138" t="s">
        <v>775</v>
      </c>
      <c r="X3" s="138" t="s">
        <v>57</v>
      </c>
      <c r="Y3" s="138" t="s">
        <v>902</v>
      </c>
      <c r="Z3" s="138" t="s">
        <v>790</v>
      </c>
      <c r="AA3" s="138" t="s">
        <v>260</v>
      </c>
      <c r="AB3" s="138" t="s">
        <v>791</v>
      </c>
      <c r="AC3" s="138" t="s">
        <v>190</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45458</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45458.041666666664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45458.083333333328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45458.124999999993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45458.166666666657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45458.208333333321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45458.249999999985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45458.29166666665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45458.333333333314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45458.374999999978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45458.416666666642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45458.458333333307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45458.499999999971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45458.541666666635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45458.583333333299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45458.624999999964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45458.666666666628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45458.708333333292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45458.749999999956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45458.791666666621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45458.833333333285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45458.874999999949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45458.916666666613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45458.958333333278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45458.999999999942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45459.041666666606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45459.08333333327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45459.124999999935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45459.166666666599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45459.208333333263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45459.249999999927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45459.291666666591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45459.333333333256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45459.37499999992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45459.416666666584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45459.458333333248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45459.499999999913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45459.541666666577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45459.583333333241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45459.624999999905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45459.66666666657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45459.708333333234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45459.749999999898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45459.791666666562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45459.833333333227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45459.874999999891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45459.916666666555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45459.958333333219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45459.999999999884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45460.041666666548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45460.083333333212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45460.124999999876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45460.166666666541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45460.208333333205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45460.249999999869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45460.291666666533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45460.333333333198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45460.374999999862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45460.416666666526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45460.45833333319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45460.499999999854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45460.541666666519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45460.583333333183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45460.624999999847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45460.666666666511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45460.708333333176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45460.74999999984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45460.791666666504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45460.833333333168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45460.874999999833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45460.916666666497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45460.958333333161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45460.999999999825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45461.04166666649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45461.083333333154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45461.124999999818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45461.166666666482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45461.208333333147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45461.249999999811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45461.291666666475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45461.333333333139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45461.374999999804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45461.416666666468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45461.458333333132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45461.499999999796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45461.541666666461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45461.583333333125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45461.624999999789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45461.666666666453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45461.708333333117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45461.749999999782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45461.791666666446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45461.83333333311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45461.874999999774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45461.916666666439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45461.958333333103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45461.999999999767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45462.041666666431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45462.083333333096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45462.12499999976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45462.166666666424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45462.208333333088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45462.249999999753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45462.291666666417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45462.333333333081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45462.374999999745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45462.41666666641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45462.458333333074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45462.499999999738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45462.541666666402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45462.583333333067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45462.624999999731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45462.666666666395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45462.708333333059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45462.749999999724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45462.791666666388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45462.833333333052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45462.874999999716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45462.91666666638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45462.958333333045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45462.999999999709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45463.041666666373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45463.083333333037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45463.124999999702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45463.166666666366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45463.20833333303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45463.249999999694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45463.291666666359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45463.333333333023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45463.374999999687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45463.416666666351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45463.458333333016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45463.49999999968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9" t="s">
        <v>315</v>
      </c>
      <c r="B1269" s="499"/>
      <c r="I1269" s="253" t="s">
        <v>305</v>
      </c>
      <c r="L1269" s="254"/>
      <c r="M1269" s="254">
        <v>-10</v>
      </c>
      <c r="N1269" s="254">
        <v>10</v>
      </c>
      <c r="O1269" s="254"/>
      <c r="P1269" s="254"/>
      <c r="Q1269" s="254"/>
      <c r="R1269" s="254"/>
    </row>
    <row r="1270" spans="1:18" x14ac:dyDescent="0.2">
      <c r="A1270" s="28">
        <f>Overview!E17</f>
        <v>0</v>
      </c>
      <c r="B1270" s="28"/>
      <c r="L1270" s="504" t="s">
        <v>304</v>
      </c>
      <c r="M1270" s="456"/>
      <c r="N1270" s="456"/>
      <c r="O1270" s="456"/>
      <c r="P1270" s="456"/>
      <c r="Q1270" s="456"/>
      <c r="R1270" s="456"/>
    </row>
  </sheetData>
  <mergeCells count="2">
    <mergeCell ref="L1270:R1270"/>
    <mergeCell ref="A1269:B1269"/>
  </mergeCells>
  <phoneticPr fontId="0" type="noConversion"/>
  <conditionalFormatting sqref="A1271:AC60158 A137:AC1268">
    <cfRule type="expression" dxfId="433" priority="14" stopIfTrue="1">
      <formula>ROW()-2=#REF!</formula>
    </cfRule>
  </conditionalFormatting>
  <conditionalFormatting sqref="A1269:AC1270">
    <cfRule type="expression" dxfId="432" priority="15" stopIfTrue="1">
      <formula>$A$1270&gt;144</formula>
    </cfRule>
  </conditionalFormatting>
  <conditionalFormatting sqref="A1:AC3">
    <cfRule type="expression" dxfId="431" priority="19" stopIfTrue="1">
      <formula>$A$1270&lt;0</formula>
    </cfRule>
  </conditionalFormatting>
  <conditionalFormatting sqref="A4:AC136">
    <cfRule type="expression" dxfId="430" priority="1" stopIfTrue="1">
      <formula>ROW()-3=$A$1270</formula>
    </cfRule>
    <cfRule type="expression" dxfId="429" priority="2" stopIfTrue="1">
      <formula>OR(AND(ROW()-3=$A$1270,A4="Ok",XFD4&lt;&gt;0),A4="Nope")</formula>
    </cfRule>
    <cfRule type="expression" dxfId="428" priority="4">
      <formula>$J4=73</formula>
    </cfRule>
    <cfRule type="expression" dxfId="427" priority="7">
      <formula>ROUND(($J4-1)/12,0)=INT($J4-1)/12</formula>
    </cfRule>
  </conditionalFormatting>
  <conditionalFormatting sqref="T76">
    <cfRule type="expression" dxfId="426" priority="13" stopIfTrue="1">
      <formula>S76=0</formula>
    </cfRule>
  </conditionalFormatting>
  <conditionalFormatting sqref="B4:H136">
    <cfRule type="cellIs" dxfId="425"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G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107" width="12.85546875" style="45" customWidth="1"/>
    <col min="108" max="108" width="3" style="45" customWidth="1"/>
    <col min="109" max="110" width="12.85546875" style="45" customWidth="1"/>
    <col min="111" max="16384" width="9.140625" style="45"/>
  </cols>
  <sheetData>
    <row r="1" spans="1:111" x14ac:dyDescent="0.2">
      <c r="A1" s="5"/>
      <c r="B1" s="5"/>
      <c r="C1" s="5"/>
      <c r="D1" s="5"/>
      <c r="E1" s="5"/>
      <c r="F1" s="5"/>
      <c r="G1" s="5"/>
      <c r="H1" s="5"/>
      <c r="I1" s="5"/>
      <c r="J1" s="5"/>
      <c r="K1" s="5"/>
      <c r="L1" s="5"/>
      <c r="M1" s="5"/>
      <c r="N1" s="5"/>
      <c r="O1" s="5"/>
      <c r="P1" s="500" t="s">
        <v>31</v>
      </c>
      <c r="Q1" s="500"/>
      <c r="R1" s="500"/>
      <c r="S1" s="505" t="s">
        <v>473</v>
      </c>
      <c r="T1" s="500"/>
      <c r="U1" s="176"/>
      <c r="V1" s="500" t="s">
        <v>474</v>
      </c>
      <c r="W1" s="500"/>
      <c r="X1" s="5"/>
      <c r="Y1" s="500" t="s">
        <v>24</v>
      </c>
      <c r="Z1" s="500"/>
      <c r="AA1" s="500"/>
      <c r="AB1" s="28"/>
      <c r="AC1" s="5"/>
      <c r="AD1" s="5"/>
      <c r="AE1" s="5"/>
      <c r="AF1" s="5"/>
      <c r="AG1" s="5" t="s">
        <v>181</v>
      </c>
      <c r="AH1" s="5"/>
      <c r="AI1" s="5"/>
      <c r="AJ1" s="5"/>
      <c r="AK1" s="5"/>
      <c r="AL1" s="5"/>
      <c r="AM1" s="5"/>
      <c r="AN1" s="5"/>
      <c r="AO1" s="5"/>
      <c r="AP1" s="5" t="s">
        <v>77</v>
      </c>
      <c r="AQ1" s="5"/>
      <c r="AR1" s="5" t="s">
        <v>33</v>
      </c>
      <c r="AS1" s="5"/>
      <c r="AT1" s="5"/>
      <c r="AU1" s="5"/>
      <c r="AV1" s="5"/>
      <c r="AW1" s="5" t="s">
        <v>186</v>
      </c>
      <c r="AX1" s="5"/>
      <c r="AY1" s="5"/>
      <c r="AZ1" s="5"/>
      <c r="BA1" s="5"/>
      <c r="BB1" s="5"/>
      <c r="BC1" s="5"/>
      <c r="BD1" s="5"/>
      <c r="BE1" s="5"/>
      <c r="BF1" s="5"/>
      <c r="BG1" s="5"/>
      <c r="BH1" s="5"/>
      <c r="BI1" s="500" t="s">
        <v>489</v>
      </c>
      <c r="BJ1" s="500"/>
      <c r="BK1" s="500"/>
      <c r="BL1" s="500"/>
      <c r="BM1" s="500"/>
      <c r="BN1" s="500"/>
      <c r="BO1" s="500"/>
      <c r="BP1" s="500"/>
      <c r="BQ1" s="501"/>
      <c r="BR1" s="501"/>
      <c r="BS1" s="501"/>
      <c r="BT1" s="501"/>
      <c r="BU1" s="5"/>
      <c r="BV1" s="502" t="s">
        <v>297</v>
      </c>
      <c r="BW1" s="456"/>
      <c r="BX1" s="456"/>
      <c r="BY1" s="28"/>
      <c r="BZ1" s="28"/>
      <c r="CA1" s="5"/>
      <c r="CB1" s="5"/>
      <c r="CC1" s="28"/>
      <c r="CD1" s="28"/>
      <c r="CE1" s="28"/>
      <c r="CF1" s="28"/>
      <c r="CG1" s="28"/>
      <c r="CH1" s="28"/>
      <c r="CI1" s="28"/>
      <c r="CJ1" s="28"/>
      <c r="CK1" s="5"/>
      <c r="CL1" s="5"/>
      <c r="CM1" s="5"/>
      <c r="CN1" s="500" t="s">
        <v>311</v>
      </c>
      <c r="CO1" s="500"/>
      <c r="CP1" s="500"/>
      <c r="CQ1" s="501"/>
      <c r="CR1" s="501"/>
      <c r="CS1" s="501"/>
      <c r="CT1" s="501"/>
      <c r="CU1" s="501"/>
      <c r="CV1" s="501"/>
      <c r="CW1" s="57"/>
      <c r="CX1" s="57"/>
      <c r="CY1" s="57"/>
      <c r="CZ1" s="57"/>
      <c r="DA1" s="57"/>
      <c r="DB1" s="57"/>
      <c r="DC1" s="5"/>
      <c r="DD1" s="5"/>
      <c r="DE1" s="5" t="s">
        <v>254</v>
      </c>
      <c r="DF1" s="5"/>
    </row>
    <row r="2" spans="1:111" x14ac:dyDescent="0.2">
      <c r="A2" s="5"/>
      <c r="B2" s="5"/>
      <c r="C2" s="5"/>
      <c r="D2" s="5"/>
      <c r="E2" s="255" t="str">
        <f>Overview!$A$22</f>
        <v>Spearman</v>
      </c>
      <c r="F2" s="255" t="str">
        <f>Overview!$A$23</f>
        <v>Archer</v>
      </c>
      <c r="G2" s="255" t="str">
        <f>Overview!$A$24</f>
        <v>Knight</v>
      </c>
      <c r="H2" s="255" t="str">
        <f>Overview!$A$25</f>
        <v>Cavalry</v>
      </c>
      <c r="I2" s="255" t="s">
        <v>25</v>
      </c>
      <c r="J2" s="255" t="s">
        <v>1090</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1090</v>
      </c>
      <c r="AM2" s="255" t="s">
        <v>26</v>
      </c>
      <c r="AN2" s="255" t="s">
        <v>27</v>
      </c>
      <c r="AO2" s="5"/>
      <c r="AP2" s="5"/>
      <c r="AQ2" s="257" t="str">
        <f>INDEX(Constants!A133:B153,MATCH(race,Constants!A133:A153,0),2)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1090</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1" ht="30" customHeight="1" x14ac:dyDescent="0.2">
      <c r="A3" s="138" t="s">
        <v>0</v>
      </c>
      <c r="B3" s="138" t="s">
        <v>22</v>
      </c>
      <c r="C3" s="138" t="s">
        <v>188</v>
      </c>
      <c r="D3" s="138" t="s">
        <v>773</v>
      </c>
      <c r="E3" s="138" t="s">
        <v>769</v>
      </c>
      <c r="F3" s="138" t="s">
        <v>770</v>
      </c>
      <c r="G3" s="138" t="s">
        <v>771</v>
      </c>
      <c r="H3" s="138" t="s">
        <v>772</v>
      </c>
      <c r="I3" s="138" t="s">
        <v>25</v>
      </c>
      <c r="J3" s="138" t="s">
        <v>1090</v>
      </c>
      <c r="K3" s="138" t="s">
        <v>26</v>
      </c>
      <c r="L3" s="138" t="s">
        <v>27</v>
      </c>
      <c r="M3" s="138" t="s">
        <v>774</v>
      </c>
      <c r="N3" s="138" t="s">
        <v>231</v>
      </c>
      <c r="O3" s="138" t="s">
        <v>775</v>
      </c>
      <c r="P3" s="138" t="s">
        <v>189</v>
      </c>
      <c r="Q3" s="138" t="s">
        <v>800</v>
      </c>
      <c r="R3" s="138" t="s">
        <v>228</v>
      </c>
      <c r="S3" s="258" t="s">
        <v>475</v>
      </c>
      <c r="T3" s="138" t="s">
        <v>472</v>
      </c>
      <c r="U3" s="138" t="s">
        <v>801</v>
      </c>
      <c r="V3" s="259" t="s">
        <v>869</v>
      </c>
      <c r="W3" s="138" t="s">
        <v>870</v>
      </c>
      <c r="X3" s="138" t="s">
        <v>1</v>
      </c>
      <c r="Y3" s="138" t="s">
        <v>180</v>
      </c>
      <c r="Z3" s="138" t="s">
        <v>179</v>
      </c>
      <c r="AA3" s="138" t="s">
        <v>24</v>
      </c>
      <c r="AB3" s="138" t="s">
        <v>790</v>
      </c>
      <c r="AC3" s="138" t="s">
        <v>184</v>
      </c>
      <c r="AD3" s="138" t="s">
        <v>791</v>
      </c>
      <c r="AE3" s="138" t="s">
        <v>855</v>
      </c>
      <c r="AF3" s="138" t="s">
        <v>310</v>
      </c>
      <c r="AG3" s="138" t="s">
        <v>784</v>
      </c>
      <c r="AH3" s="138" t="s">
        <v>785</v>
      </c>
      <c r="AI3" s="138" t="s">
        <v>786</v>
      </c>
      <c r="AJ3" s="138" t="s">
        <v>787</v>
      </c>
      <c r="AK3" s="138" t="s">
        <v>788</v>
      </c>
      <c r="AL3" s="138" t="s">
        <v>1089</v>
      </c>
      <c r="AM3" s="138" t="s">
        <v>789</v>
      </c>
      <c r="AN3" s="138" t="s">
        <v>1088</v>
      </c>
      <c r="AO3" s="138" t="s">
        <v>1127</v>
      </c>
      <c r="AP3" s="138" t="s">
        <v>792</v>
      </c>
      <c r="AQ3" s="138" t="s">
        <v>2</v>
      </c>
      <c r="AR3" s="258" t="s">
        <v>1008</v>
      </c>
      <c r="AS3" s="138" t="s">
        <v>802</v>
      </c>
      <c r="AT3" s="258" t="s">
        <v>1009</v>
      </c>
      <c r="AU3" s="138" t="s">
        <v>1046</v>
      </c>
      <c r="AV3" s="138" t="s">
        <v>1048</v>
      </c>
      <c r="AW3" s="138" t="s">
        <v>777</v>
      </c>
      <c r="AX3" s="138" t="s">
        <v>793</v>
      </c>
      <c r="AY3" s="138" t="s">
        <v>794</v>
      </c>
      <c r="AZ3" s="138" t="s">
        <v>795</v>
      </c>
      <c r="BA3" s="138" t="s">
        <v>796</v>
      </c>
      <c r="BB3" s="138" t="s">
        <v>797</v>
      </c>
      <c r="BC3" s="138" t="s">
        <v>798</v>
      </c>
      <c r="BD3" s="138" t="s">
        <v>1091</v>
      </c>
      <c r="BE3" s="138" t="s">
        <v>799</v>
      </c>
      <c r="BF3" s="138" t="s">
        <v>1092</v>
      </c>
      <c r="BG3" s="138" t="s">
        <v>778</v>
      </c>
      <c r="BH3" s="138" t="s">
        <v>232</v>
      </c>
      <c r="BI3" s="138" t="s">
        <v>353</v>
      </c>
      <c r="BJ3" s="138" t="s">
        <v>490</v>
      </c>
      <c r="BK3" s="138" t="s">
        <v>491</v>
      </c>
      <c r="BL3" s="138" t="s">
        <v>492</v>
      </c>
      <c r="BM3" s="138" t="s">
        <v>493</v>
      </c>
      <c r="BN3" s="138" t="s">
        <v>494</v>
      </c>
      <c r="BO3" s="138" t="s">
        <v>495</v>
      </c>
      <c r="BP3" s="138" t="s">
        <v>496</v>
      </c>
      <c r="BQ3" s="138" t="s">
        <v>497</v>
      </c>
      <c r="BR3" s="138" t="s">
        <v>898</v>
      </c>
      <c r="BS3" s="138" t="s">
        <v>1093</v>
      </c>
      <c r="BT3" s="138" t="s">
        <v>899</v>
      </c>
      <c r="BU3" s="138" t="s">
        <v>900</v>
      </c>
      <c r="BV3" s="138" t="s">
        <v>901</v>
      </c>
      <c r="BW3" s="138" t="s">
        <v>245</v>
      </c>
      <c r="BX3" s="138" t="s">
        <v>296</v>
      </c>
      <c r="BY3" s="138" t="s">
        <v>125</v>
      </c>
      <c r="BZ3" s="138" t="s">
        <v>1011</v>
      </c>
      <c r="CA3" s="138" t="s">
        <v>1010</v>
      </c>
      <c r="CB3" s="138" t="s">
        <v>140</v>
      </c>
      <c r="CC3" s="138" t="s">
        <v>133</v>
      </c>
      <c r="CD3" s="138" t="s">
        <v>1072</v>
      </c>
      <c r="CE3" s="138" t="s">
        <v>1076</v>
      </c>
      <c r="CF3" s="138" t="s">
        <v>327</v>
      </c>
      <c r="CG3" s="138" t="s">
        <v>328</v>
      </c>
      <c r="CH3" s="138" t="s">
        <v>332</v>
      </c>
      <c r="CI3" s="138" t="s">
        <v>333</v>
      </c>
      <c r="CJ3" s="138" t="s">
        <v>144</v>
      </c>
      <c r="CK3" s="138" t="s">
        <v>499</v>
      </c>
      <c r="CL3" s="260" t="s">
        <v>779</v>
      </c>
      <c r="CM3" s="260" t="s">
        <v>780</v>
      </c>
      <c r="CN3" s="260" t="s">
        <v>781</v>
      </c>
      <c r="CO3" s="138" t="s">
        <v>1012</v>
      </c>
      <c r="CP3" s="138" t="s">
        <v>884</v>
      </c>
      <c r="CQ3" s="138" t="s">
        <v>885</v>
      </c>
      <c r="CR3" s="138" t="s">
        <v>886</v>
      </c>
      <c r="CS3" s="138" t="s">
        <v>887</v>
      </c>
      <c r="CT3" s="138" t="s">
        <v>888</v>
      </c>
      <c r="CU3" s="138" t="s">
        <v>889</v>
      </c>
      <c r="CV3" s="138" t="s">
        <v>890</v>
      </c>
      <c r="CW3" s="138" t="s">
        <v>891</v>
      </c>
      <c r="CX3" s="138" t="s">
        <v>892</v>
      </c>
      <c r="CY3" s="138" t="s">
        <v>893</v>
      </c>
      <c r="CZ3" s="138" t="s">
        <v>894</v>
      </c>
      <c r="DA3" s="260" t="s">
        <v>782</v>
      </c>
      <c r="DB3" s="138" t="s">
        <v>1083</v>
      </c>
      <c r="DC3" s="260" t="s">
        <v>783</v>
      </c>
      <c r="DD3" s="138" t="s">
        <v>895</v>
      </c>
      <c r="DE3" s="138" t="s">
        <v>1049</v>
      </c>
      <c r="DF3" s="138" t="s">
        <v>896</v>
      </c>
      <c r="DG3" s="138" t="s">
        <v>897</v>
      </c>
    </row>
    <row r="4" spans="1:111"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45458</v>
      </c>
      <c r="AG4" s="182"/>
      <c r="AH4" s="182"/>
      <c r="AI4" s="182"/>
      <c r="AJ4" s="182"/>
      <c r="AK4" s="182"/>
      <c r="AL4" s="182"/>
      <c r="AM4" s="182"/>
      <c r="AN4" s="182"/>
      <c r="AO4" s="449">
        <f ca="1">IF(AND(TblMagic[[#This Row],[Active DnD]]&lt;12,TblMagic[[#This Row],[Active DnD]]&gt;5),OFFSET(TblPop[[#This Row],[Draft Growth]],-1,0)/2,0)</f>
        <v>0</v>
      </c>
      <c r="AP4" s="145"/>
      <c r="AQ4" s="97">
        <f ca="1">TblProd[[#This Row],[Platinum]]</f>
        <v>120000</v>
      </c>
      <c r="AR4" s="97">
        <f ca="1">INDEX(TblProd[[#Headers],[Lumber]]:TblProd[[#This Row],[Ore]],COUNTA(TblProd[[#Headers],[Lumber]]:TblProd[[#This Row],[Lumber]]),MATCH(Military!$AQ$2,TblProd[[#Headers],[Lumber]:[Ore]],0))</f>
        <v>0</v>
      </c>
      <c r="AS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7">
        <f ca="1">TblMili[[#This Row],[Train Unit 1]]*TblMili[[#This Row],[OP Ore]]+TblMili[[#This Row],[Train Unit 2]]*TblMili[[#This Row],[DP Ore]]+TblMili[[#This Row],[Train Unit 3]]*TblMili[[#This Row],[E1 Ore]]+TblMili[[#This Row],[Train Unit 4]]*TblMili[[#This Row],[E2 Ore]]</f>
        <v>0</v>
      </c>
      <c r="AU4" s="145">
        <f>TblMili[[#This Row],[Hour]]</f>
        <v>1</v>
      </c>
      <c r="AV4" s="155">
        <f>TblMili[[#This Row],[Time]]</f>
        <v>45458</v>
      </c>
      <c r="AW4" s="97">
        <f ca="1">TblMili[[#This Row],[Draftees]]</f>
        <v>100</v>
      </c>
      <c r="AX4" s="182"/>
      <c r="AY4" s="182"/>
      <c r="AZ4" s="182"/>
      <c r="BA4" s="182"/>
      <c r="BB4" s="182"/>
      <c r="BC4" s="182"/>
      <c r="BD4" s="182"/>
      <c r="BE4" s="182"/>
      <c r="BF4" s="182"/>
      <c r="BG4" s="145"/>
      <c r="BH4" s="160">
        <f ca="1">TblConstr[[#This Row],[Tot WG]]/TblConstr[[#This Row],[Land]]</f>
        <v>0</v>
      </c>
      <c r="BI4" s="160">
        <f ca="1">TblConstr[[#This Row],[Tot Hav]]/TblConstr[[#This Row],[Land]]</f>
        <v>0</v>
      </c>
      <c r="BJ4" s="97">
        <f ca="1">ROUNDUP((1-MIN(TblMili[[#This Row],[Smithies]]*smithy_bonus,smithy_bonus_cap) + tech_3_5*TblTech[[#This Row],[3-5]] + tech_5_3*TblTech[[#This Row],[5-3]] + tech_5_5*TblTech[[#This Row],[5-5]])*spec_op_plat,0)</f>
        <v>275</v>
      </c>
      <c r="BK4" s="97">
        <f ca="1">ROUNDUP(IF(race="Gnome",1,(1-MIN(TblMili[[#This Row],[Smithies]]*smithy_bonus,smithy_bonus_cap) + tech_3_5*TblTech[[#This Row],[3-5]] + tech_5_3*TblTech[[#This Row],[5-3]] + tech_5_5*TblTech[[#This Row],[5-5]]))*spec_op_ore,0)</f>
        <v>25</v>
      </c>
      <c r="BL4" s="97">
        <f ca="1">ROUNDUP((1-MIN(TblMili[[#This Row],[Smithies]]*smithy_bonus,smithy_bonus_cap) + tech_3_5*TblTech[[#This Row],[3-5]] + tech_5_3*TblTech[[#This Row],[5-3]] + tech_5_5*TblTech[[#This Row],[5-5]])*spec_dp_plat,0)</f>
        <v>275</v>
      </c>
      <c r="BM4" s="97">
        <f ca="1">ROUNDUP(IF(race="Gnome",1,(1-MIN(TblMili[[#This Row],[Smithies]]*smithy_bonus,smithy_bonus_cap) + tech_3_5*TblTech[[#This Row],[3-5]] + tech_5_3*TblTech[[#This Row],[5-3]] + tech_5_5*TblTech[[#This Row],[5-5]]))*spec_dp_ore,0)</f>
        <v>15</v>
      </c>
      <c r="BN4" s="97">
        <f ca="1">ROUNDUP((1-MIN(TblMili[[#This Row],[Smithies]]*smithy_bonus,smithy_bonus_cap) + tech_3_5*TblTech[[#This Row],[3-5]] + tech_5_3*TblTech[[#This Row],[5-3]] + tech_5_5*TblTech[[#This Row],[5-5]])*elite1_plat,0)</f>
        <v>1000</v>
      </c>
      <c r="BO4" s="97">
        <f ca="1">ROUNDUP(IF(race="Gnome",1,(1-MIN(TblMili[[#This Row],[Smithies]]*smithy_bonus,smithy_bonus_cap) + tech_3_5*TblTech[[#This Row],[3-5]] + tech_5_3*TblTech[[#This Row],[5-3]] + tech_5_5*TblTech[[#This Row],[5-5]]))*elite1_ore,0)</f>
        <v>75</v>
      </c>
      <c r="BP4" s="97">
        <f ca="1">ROUNDUP((1-MIN(TblMili[[#This Row],[Smithies]]*smithy_bonus,smithy_bonus_cap) + tech_3_5*TblTech[[#This Row],[3-5]] + tech_5_3*TblTech[[#This Row],[5-3]] + tech_5_5*TblTech[[#This Row],[5-5]])*elite2_plat,0)</f>
        <v>1250</v>
      </c>
      <c r="BQ4" s="97">
        <f ca="1">ROUNDUP(IF(race="Gnome",1,(1-MIN(TblMili[[#This Row],[Smithies]]*smithy_bonus,smithy_bonus_cap) + tech_3_5*TblTech[[#This Row],[3-5]] + tech_5_3*TblTech[[#This Row],[5-3]] + tech_5_5*TblTech[[#This Row],[5-5]]))*elite2_ore,0)</f>
        <v>100</v>
      </c>
      <c r="BR4" s="97">
        <f ca="1">ROUNDUP((1-MIN(ROUND(fh_spy_cost_red*TblMili[[#This Row],[FH''s]],4),fh_spy_cost_cap)+ tech_1_9*TblTech[[#This Row],[1-9]] + tech_9_1*TblTech[[#This Row],[9-1]])*spy_plat,0)</f>
        <v>500</v>
      </c>
      <c r="BS4" s="97">
        <f ca="1">ROUNDUP((1-MIN(ROUND(fh_spy_cost_red*TblMili[[#This Row],[FH''s]],4),fh_spy_cost_cap)+ tech_1_9*TblTech[[#This Row],[1-9]] + tech_9_1*TblTech[[#This Row],[9-1]])*archspy_plat,0)</f>
        <v>1000</v>
      </c>
      <c r="BT4" s="97">
        <f ca="1">ROUNDUP((1-MIN(ROUND(wg_wiz_cost_bonus*TblMili[[#This Row],[WG''s]],4),wg_wiz_cost_cap) + tech_1_9_2*TblTech[[#This Row],[1-9]] + tech_9_1_2*TblTech[[#This Row],[9-1]])*wizard_plat,0)</f>
        <v>500</v>
      </c>
      <c r="BU4" s="97">
        <f ca="1">ROUNDUP((1-MIN(ROUND(wg_wiz_cost_bonus*TblMili[[#This Row],[WG''s]],4),wg_wiz_cost_cap) + tech_1_9_2*TblTech[[#This Row],[1-9]] + tech_9_1_2*TblTech[[#This Row],[9-1]])*archmage_plat,0)</f>
        <v>1000</v>
      </c>
      <c r="BV4" s="145"/>
      <c r="BW4" s="160">
        <f ca="1">TblConstr[[#This Row],[Homeland]]/TblConstr[[#This Row],[Land]]</f>
        <v>0.44</v>
      </c>
      <c r="BX4" s="160">
        <f ca="1">TblMili[[#This Row],[WG''s]]</f>
        <v>0</v>
      </c>
      <c r="BY4" s="266">
        <f ca="1">IF(mystic_cap="none",TblMili[[#This Row],[Hill]]/mystic_bonus,MIN(mystic_cap,TblMili[[#This Row],[Hill]]/mystic_bonus))</f>
        <v>2.1999999999999997</v>
      </c>
      <c r="BZ4" s="266">
        <f ca="1">IF(druid_op_cap="none",TblMili[[#This Row],[Hill]]/druid_op_bonus,MIN(druid_op_cap,TblMili[[#This Row],[Hill]]/druid_op_bonus))</f>
        <v>2.1999999999999997</v>
      </c>
      <c r="CA4" s="266">
        <f ca="1">IF(druid_dp_cap="none",TblMili[[#This Row],[Hill]]/druid_dp_bonus,MIN(druid_dp_cap,TblMili[[#This Row],[Hill]]/druid_dp_bonus))</f>
        <v>2.1999999999999997</v>
      </c>
      <c r="CB4" s="266">
        <f ca="1">MIN(dryad_cap,TblMili[[#This Row],[Hill]]/dryad_bonus)</f>
        <v>2.1999999999999997</v>
      </c>
      <c r="CC4" s="266">
        <f ca="1">MIN(rocka_cap,TblMili[[#This Row],[Hill]]/rocka_bonus)</f>
        <v>2</v>
      </c>
      <c r="CD4" s="266">
        <f ca="1">MIN(adept_op_cap,TblMili[[#This Row],[WG]]/adept_op_bonus)</f>
        <v>0</v>
      </c>
      <c r="CE4" s="266">
        <f ca="1">MIN(adept_dp_cap,TblMili[[#This Row],[WG]]/adept_dp_bonus)</f>
        <v>0</v>
      </c>
      <c r="CF4" s="97">
        <f>MIN(TblMili[[#This Row],[Unit 3]],TblMili[[#This Row],[Unit 2]])*2</f>
        <v>0</v>
      </c>
      <c r="CG4" s="97">
        <f>MIN(TblMili[[#This Row],[Unit 1]],TblMili[[#This Row],[Unit 4]])*2</f>
        <v>0</v>
      </c>
      <c r="CH4" s="266">
        <f ca="1">MIN(frost_mage_cap,TblMili[[#This Row],[Hill]]/frost_mage_bonus)</f>
        <v>2.1999999999999997</v>
      </c>
      <c r="CI4" s="45">
        <f ca="1">MIN(ice_elem_cap,TblMili[[#This Row],[Raw (2)]]*ice_elem_bonus)</f>
        <v>0.1</v>
      </c>
      <c r="CJ4" s="266">
        <f t="shared" ref="CJ4:CJ35" si="0">MIN(bone_breaker_cap,250/bone_breaker_bonus)</f>
        <v>0.83333333333333337</v>
      </c>
      <c r="CK4" s="266">
        <f ca="1">MIN(nox_nightshade_cap,TblConstr[[#This Row],[Homeland]]/TblConstr[[#This Row],[Land]]/nox_nightshade_swamp_bonus)</f>
        <v>4</v>
      </c>
      <c r="CL4" s="267"/>
      <c r="CM4" s="267"/>
      <c r="CN4" s="267"/>
      <c r="CO4" s="266">
        <f ca="1">MIN(6,TblMili[[#This Row],[Mystic]]+Races!$F$19)*1.8 +  IF(TblMili[[#This Row],[Mystic]]+Races!$F$19&gt;6,(TblMili[[#This Row],[Mystic]]+Races!$F$19-6)*0.2,0) - Races!$I$19</f>
        <v>3.6399999999999997</v>
      </c>
      <c r="CP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 s="97">
        <f ca="1">TblMili[[#This Row],[Mystic bonus]]*TblMili[[#This Row],[Unit 3]]+TblMili[[#This Row],[Druid bonus]]*TblMili[[#This Row],[Unit 4]]</f>
        <v>0</v>
      </c>
      <c r="CR4" s="158">
        <f ca="1">MIN(6,TblMili[[#This Row],[Dryad]]+Races!$F$35)*1.8 +  IF(TblMili[[#This Row],[Dryad]]+Races!$F$35&gt;6,(TblMili[[#This Row],[Dryad]]+Races!$F$35-6)*0.2,0) - Races!$I$19</f>
        <v>2.1599999999999993</v>
      </c>
      <c r="CS4" s="97">
        <f ca="1">sylvan*(TblMili[[#This Row],[Mystic bonus]]*TblMili[[#This Row],[Unit 3]])</f>
        <v>0</v>
      </c>
      <c r="CT4" s="158">
        <f ca="1">1.8 * MIN(MAX(Races!$E$27,TblMili[[#This Row],[Rockapult]]+Races!$F$27),6)  +  0.45 * MIN(MIN(Races!$E$27,TblMili[[#This Row],[Rockapult]]+Races!$F$27),6)  +  0.2 * ( MAX(Races!$E$27-6,0) + MAX(TblMili[[#This Row],[Rockapult]]+Races!$F$27-6,0) )  -  Races!$I$20</f>
        <v>5.8500000000000005</v>
      </c>
      <c r="CU4" s="97">
        <f ca="1">gnome*(TblMili[[#This Row],[Rockapult bonus]]*TblMili[[#This Row],[Unit 3]])</f>
        <v>0</v>
      </c>
      <c r="CV4" s="158">
        <f ca="1">1.8 * MIN(MAX(TblMili[[#This Row],[Spellblade]]+Races!$E$47,TblMili[[#This Row],[Adept-DP]]+Races!$F$47),6)  +  0.45 * MIN(MIN(TblMili[[#This Row],[Spellblade]]+Races!$E$47,TblMili[[#This Row],[Adept-DP]]+Races!$F$47),6)  +  0.2 * ( MAX(TblMili[[#This Row],[Spellblade]]+Races!$E$47-6,0) + MAX(TblMili[[#This Row],[Adept-DP]]+Races!$F$47-6,0) )  -  Races!$I$47</f>
        <v>0</v>
      </c>
      <c r="CW4" s="97">
        <f ca="1">dark_elf*(TblMili[[#This Row],[Adept bonus]]*TblMili[[#This Row],[Unit 3]])</f>
        <v>0</v>
      </c>
      <c r="CX4" s="266">
        <f ca="1">1.8 * MIN(MAX(TblMili[[#This Row],[Frost Mage]]+Races!$F$71,Races!$E$71),6)  +  0.45 * MIN(MIN(TblMili[[#This Row],[Frost Mage]]+Races!$F$71,Races!$E$71),6)  +  0.2 * ( MAX(TblMili[[#This Row],[Frost Mage]]+Races!$F$71-6,0) + MAX(Races!$E$71-6,0) )  -  Races!$I$71</f>
        <v>3.9599999999999991</v>
      </c>
      <c r="CY4" s="266">
        <f ca="1">1.8 * MIN(MAX(TblMili[[#This Row],[Ice Elemental]]+Races!$E$71,Races!$F$71),6)  +  0.45 * MIN(MIN(TblMili[[#This Row],[Ice Elemental]]+Races!$E$71,Races!$F$71),6)  +  0.2 * ( MAX(TblMili[[#This Row],[Ice Elemental]]+Races!$E$71-6,0) + MAX(Races!$F$71-6,0) )  -  Races!$I$71</f>
        <v>0.17999999999999972</v>
      </c>
      <c r="CZ4" s="97">
        <f ca="1">TblMili[[#This Row],[Frost Mage bonus]]*TblMili[[#This Row],[Unit 3]]+TblMili[[#This Row],[Ice Elemental bonus]]*TblMili[[#This Row],[Unit 4]]</f>
        <v>0</v>
      </c>
      <c r="DA4" s="268"/>
      <c r="DB4" s="146">
        <f ca="1">MIN(SUM(TblConstr[[#This Row],[Plain]:[Water]])/TblMili[[#This Row],[Land]]/favorable_terrain_bonus/100,favorable_terrain_max)</f>
        <v>0.1</v>
      </c>
      <c r="DC4" s="268"/>
      <c r="DD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 s="145"/>
      <c r="DF4" s="269">
        <f ca="1">(TblMili[[#This Row],[Wizards]]+2*TblMili[[#This Row],[Archmages]])/TblConstr[[#This Row],[Land]]</f>
        <v>0.1</v>
      </c>
      <c r="DG4" s="269">
        <f ca="1">TblMili[[#This Row],[Raw (2)]]*(1+race_wizard_strength+IF(TblMili[[#This Row],[Hour]]&gt;72,tech_magical_weaponry_wiz*TblTech[[#This Row],[3-5]],0))</f>
        <v>0.1</v>
      </c>
    </row>
    <row r="5" spans="1:111"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45458.041666666664</v>
      </c>
      <c r="AG5" s="182"/>
      <c r="AH5" s="182"/>
      <c r="AI5" s="182"/>
      <c r="AJ5" s="182"/>
      <c r="AK5" s="182"/>
      <c r="AL5" s="182"/>
      <c r="AM5" s="182"/>
      <c r="AN5" s="182"/>
      <c r="AO5" s="449">
        <f ca="1">IF(AND(TblMagic[[#This Row],[Active DnD]]&lt;12,TblMagic[[#This Row],[Active DnD]]&gt;5),OFFSET(TblPop[[#This Row],[Draft Growth]],-1,0)/2,0)</f>
        <v>0</v>
      </c>
      <c r="AP5" s="145"/>
      <c r="AQ5" s="97">
        <f ca="1">TblProd[[#This Row],[Platinum]]</f>
        <v>124860</v>
      </c>
      <c r="AR5" s="97">
        <f ca="1">INDEX(TblProd[[#Headers],[Lumber]]:TblProd[[#This Row],[Ore]],COUNTA(TblProd[[#Headers],[Lumber]]:TblProd[[#This Row],[Lumber]]),MATCH(Military!$AQ$2,TblProd[[#Headers],[Lumber]:[Ore]],0))</f>
        <v>0</v>
      </c>
      <c r="AS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7">
        <f ca="1">TblMili[[#This Row],[Train Unit 1]]*TblMili[[#This Row],[OP Ore]]+TblMili[[#This Row],[Train Unit 2]]*TblMili[[#This Row],[DP Ore]]+TblMili[[#This Row],[Train Unit 3]]*TblMili[[#This Row],[E1 Ore]]+TblMili[[#This Row],[Train Unit 4]]*TblMili[[#This Row],[E2 Ore]]</f>
        <v>0</v>
      </c>
      <c r="AU5" s="145">
        <f>TblMili[[#This Row],[Hour]]</f>
        <v>2</v>
      </c>
      <c r="AV5" s="155">
        <f ca="1">TblMili[[#This Row],[Time]]</f>
        <v>45458.041666666664</v>
      </c>
      <c r="AW5" s="97">
        <f ca="1">TblMili[[#This Row],[Draftees]]</f>
        <v>113</v>
      </c>
      <c r="AX5" s="161"/>
      <c r="AY5" s="182"/>
      <c r="AZ5" s="182"/>
      <c r="BA5" s="182"/>
      <c r="BB5" s="182"/>
      <c r="BC5" s="182"/>
      <c r="BD5" s="182"/>
      <c r="BE5" s="182"/>
      <c r="BF5" s="182"/>
      <c r="BG5" s="145"/>
      <c r="BH5" s="160">
        <f ca="1">TblConstr[[#This Row],[Tot WG]]/TblConstr[[#This Row],[Land]]</f>
        <v>0</v>
      </c>
      <c r="BI5" s="160">
        <f ca="1">TblConstr[[#This Row],[Tot Hav]]/TblConstr[[#This Row],[Land]]</f>
        <v>0</v>
      </c>
      <c r="BJ5" s="97">
        <f ca="1">ROUNDUP((1-MIN(TblMili[[#This Row],[Smithies]]*smithy_bonus,smithy_bonus_cap) + tech_3_5*TblTech[[#This Row],[3-5]] + tech_5_3*TblTech[[#This Row],[5-3]] + tech_5_5*TblTech[[#This Row],[5-5]])*spec_op_plat,0)</f>
        <v>275</v>
      </c>
      <c r="BK5" s="97">
        <f ca="1">ROUNDUP(IF(race="Gnome",1,(1-MIN(TblMili[[#This Row],[Smithies]]*smithy_bonus,smithy_bonus_cap) + tech_3_5*TblTech[[#This Row],[3-5]] + tech_5_3*TblTech[[#This Row],[5-3]] + tech_5_5*TblTech[[#This Row],[5-5]]))*spec_op_ore,0)</f>
        <v>25</v>
      </c>
      <c r="BL5" s="97">
        <f ca="1">ROUNDUP((1-MIN(TblMili[[#This Row],[Smithies]]*smithy_bonus,smithy_bonus_cap) + tech_3_5*TblTech[[#This Row],[3-5]] + tech_5_3*TblTech[[#This Row],[5-3]] + tech_5_5*TblTech[[#This Row],[5-5]])*spec_dp_plat,0)</f>
        <v>275</v>
      </c>
      <c r="BM5" s="97">
        <f ca="1">ROUNDUP(IF(race="Gnome",1,(1-MIN(TblMili[[#This Row],[Smithies]]*smithy_bonus,smithy_bonus_cap) + tech_3_5*TblTech[[#This Row],[3-5]] + tech_5_3*TblTech[[#This Row],[5-3]] + tech_5_5*TblTech[[#This Row],[5-5]]))*spec_dp_ore,0)</f>
        <v>15</v>
      </c>
      <c r="BN5" s="97">
        <f ca="1">ROUNDUP((1-MIN(TblMili[[#This Row],[Smithies]]*smithy_bonus,smithy_bonus_cap) + tech_3_5*TblTech[[#This Row],[3-5]] + tech_5_3*TblTech[[#This Row],[5-3]] + tech_5_5*TblTech[[#This Row],[5-5]])*elite1_plat,0)</f>
        <v>1000</v>
      </c>
      <c r="BO5" s="97">
        <f ca="1">ROUNDUP(IF(race="Gnome",1,(1-MIN(TblMili[[#This Row],[Smithies]]*smithy_bonus,smithy_bonus_cap) + tech_3_5*TblTech[[#This Row],[3-5]] + tech_5_3*TblTech[[#This Row],[5-3]] + tech_5_5*TblTech[[#This Row],[5-5]]))*elite1_ore,0)</f>
        <v>75</v>
      </c>
      <c r="BP5" s="97">
        <f ca="1">ROUNDUP((1-MIN(TblMili[[#This Row],[Smithies]]*smithy_bonus,smithy_bonus_cap) + tech_3_5*TblTech[[#This Row],[3-5]] + tech_5_3*TblTech[[#This Row],[5-3]] + tech_5_5*TblTech[[#This Row],[5-5]])*elite2_plat,0)</f>
        <v>1250</v>
      </c>
      <c r="BQ5" s="97">
        <f ca="1">ROUNDUP(IF(race="Gnome",1,(1-MIN(TblMili[[#This Row],[Smithies]]*smithy_bonus,smithy_bonus_cap) + tech_3_5*TblTech[[#This Row],[3-5]] + tech_5_3*TblTech[[#This Row],[5-3]] + tech_5_5*TblTech[[#This Row],[5-5]]))*elite2_ore,0)</f>
        <v>100</v>
      </c>
      <c r="BR5" s="97">
        <f ca="1">ROUNDUP((1-MIN(ROUND(fh_spy_cost_red*TblMili[[#This Row],[FH''s]],4),fh_spy_cost_cap)+ tech_1_9*TblTech[[#This Row],[1-9]] + tech_9_1*TblTech[[#This Row],[9-1]])*spy_plat,0)</f>
        <v>500</v>
      </c>
      <c r="BS5" s="97">
        <f ca="1">ROUNDUP((1-MIN(ROUND(fh_spy_cost_red*TblMili[[#This Row],[FH''s]],4),fh_spy_cost_cap)+ tech_1_9*TblTech[[#This Row],[1-9]] + tech_9_1*TblTech[[#This Row],[9-1]])*archspy_plat,0)</f>
        <v>1000</v>
      </c>
      <c r="BT5" s="97">
        <f ca="1">ROUNDUP((1-MIN(ROUND(wg_wiz_cost_bonus*TblMili[[#This Row],[WG''s]],4),wg_wiz_cost_cap) + tech_1_9_2*TblTech[[#This Row],[1-9]] + tech_9_1_2*TblTech[[#This Row],[9-1]])*wizard_plat,0)</f>
        <v>500</v>
      </c>
      <c r="BU5" s="97">
        <f ca="1">ROUNDUP((1-MIN(ROUND(wg_wiz_cost_bonus*TblMili[[#This Row],[WG''s]],4),wg_wiz_cost_cap) + tech_1_9_2*TblTech[[#This Row],[1-9]] + tech_9_1_2*TblTech[[#This Row],[9-1]])*archmage_plat,0)</f>
        <v>1000</v>
      </c>
      <c r="BV5" s="145"/>
      <c r="BW5" s="160">
        <f ca="1">TblConstr[[#This Row],[Homeland]]/TblConstr[[#This Row],[Land]]</f>
        <v>0.44</v>
      </c>
      <c r="BX5" s="160">
        <f ca="1">TblMili[[#This Row],[WG''s]]</f>
        <v>0</v>
      </c>
      <c r="BY5" s="266">
        <f ca="1">IF(mystic_cap="none",TblMili[[#This Row],[Hill]]/mystic_bonus,MIN(mystic_cap,TblMili[[#This Row],[Hill]]/mystic_bonus))</f>
        <v>2.1999999999999997</v>
      </c>
      <c r="BZ5" s="266">
        <f ca="1">IF(druid_op_cap="none",TblMili[[#This Row],[Hill]]/druid_op_bonus,MIN(druid_op_cap,TblMili[[#This Row],[Hill]]/druid_op_bonus))</f>
        <v>2.1999999999999997</v>
      </c>
      <c r="CA5" s="266">
        <f ca="1">IF(druid_dp_cap="none",TblMili[[#This Row],[Hill]]/druid_dp_bonus,MIN(druid_dp_cap,TblMili[[#This Row],[Hill]]/druid_dp_bonus))</f>
        <v>2.1999999999999997</v>
      </c>
      <c r="CB5" s="266">
        <f ca="1">MIN(dryad_cap,TblMili[[#This Row],[Hill]]/dryad_bonus)</f>
        <v>2.1999999999999997</v>
      </c>
      <c r="CC5" s="266">
        <f ca="1">MIN(rocka_cap,TblMili[[#This Row],[Hill]]/rocka_bonus)</f>
        <v>2</v>
      </c>
      <c r="CD5" s="266">
        <f ca="1">MIN(adept_op_cap,TblMili[[#This Row],[WG]]/adept_op_bonus)</f>
        <v>0</v>
      </c>
      <c r="CE5" s="266">
        <f ca="1">MIN(adept_dp_cap,TblMili[[#This Row],[WG]]/adept_dp_bonus)</f>
        <v>0</v>
      </c>
      <c r="CF5" s="97">
        <f ca="1">MIN(TblMili[[#This Row],[Unit 3]],TblMili[[#This Row],[Unit 2]])*2</f>
        <v>0</v>
      </c>
      <c r="CG5" s="97">
        <f ca="1">MIN(TblMili[[#This Row],[Unit 1]],TblMili[[#This Row],[Unit 4]])*2</f>
        <v>0</v>
      </c>
      <c r="CH5" s="266">
        <f ca="1">MIN(frost_mage_cap,TblMili[[#This Row],[Hill]]/frost_mage_bonus)</f>
        <v>2.1999999999999997</v>
      </c>
      <c r="CI5" s="45">
        <f ca="1">MIN(ice_elem_cap,TblMili[[#This Row],[Raw (2)]]*ice_elem_bonus)</f>
        <v>0.1</v>
      </c>
      <c r="CJ5" s="266">
        <f t="shared" si="0"/>
        <v>0.83333333333333337</v>
      </c>
      <c r="CK5" s="266">
        <f ca="1">MIN(nox_nightshade_cap,TblConstr[[#This Row],[Homeland]]/TblConstr[[#This Row],[Land]]/nox_nightshade_swamp_bonus)</f>
        <v>4</v>
      </c>
      <c r="CL5" s="267" t="s">
        <v>92</v>
      </c>
      <c r="CM5" s="267" t="b">
        <f t="shared" ref="CM5:CM12" si="1">race=CL5</f>
        <v>0</v>
      </c>
      <c r="CN5" s="267"/>
      <c r="CO5" s="266">
        <f ca="1">MIN(6,TblMili[[#This Row],[Mystic]]+Races!$F$19)*1.8 +  IF(TblMili[[#This Row],[Mystic]]+Races!$F$19&gt;6,(TblMili[[#This Row],[Mystic]]+Races!$F$19-6)*0.2,0) - Races!$I$19</f>
        <v>3.6399999999999997</v>
      </c>
      <c r="CP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 s="97">
        <f ca="1">TblMili[[#This Row],[Mystic bonus]]*TblMili[[#This Row],[Unit 3]]+TblMili[[#This Row],[Druid bonus]]*TblMili[[#This Row],[Unit 4]]</f>
        <v>0</v>
      </c>
      <c r="CR5" s="158">
        <f ca="1">MIN(6,TblMili[[#This Row],[Dryad]]+Races!$F$35)*1.8 +  IF(TblMili[[#This Row],[Dryad]]+Races!$F$35&gt;6,(TblMili[[#This Row],[Dryad]]+Races!$F$35-6)*0.2,0) - Races!$I$19</f>
        <v>2.1599999999999993</v>
      </c>
      <c r="CS5" s="97">
        <f ca="1">sylvan*(TblMili[[#This Row],[Mystic bonus]]*TblMili[[#This Row],[Unit 3]])</f>
        <v>0</v>
      </c>
      <c r="CT5" s="158">
        <f ca="1">1.8 * MIN(MAX(Races!$E$27,TblMili[[#This Row],[Rockapult]]+Races!$F$27),6)  +  0.45 * MIN(MIN(Races!$E$27,TblMili[[#This Row],[Rockapult]]+Races!$F$27),6)  +  0.2 * ( MAX(Races!$E$27-6,0) + MAX(TblMili[[#This Row],[Rockapult]]+Races!$F$27-6,0) )  -  Races!$I$20</f>
        <v>5.8500000000000005</v>
      </c>
      <c r="CU5" s="97">
        <f ca="1">gnome*(TblMili[[#This Row],[Rockapult bonus]]*TblMili[[#This Row],[Unit 3]])</f>
        <v>0</v>
      </c>
      <c r="CV5" s="158">
        <f ca="1">1.8 * MIN(MAX(TblMili[[#This Row],[Spellblade]]+Races!$E$47,TblMili[[#This Row],[Adept-DP]]+Races!$F$47),6)  +  0.45 * MIN(MIN(TblMili[[#This Row],[Spellblade]]+Races!$E$47,TblMili[[#This Row],[Adept-DP]]+Races!$F$47),6)  +  0.2 * ( MAX(TblMili[[#This Row],[Spellblade]]+Races!$E$47-6,0) + MAX(TblMili[[#This Row],[Adept-DP]]+Races!$F$47-6,0) )  -  Races!$I$47</f>
        <v>0</v>
      </c>
      <c r="CW5" s="97">
        <f ca="1">dark_elf*(TblMili[[#This Row],[Adept bonus]]*TblMili[[#This Row],[Unit 3]])</f>
        <v>0</v>
      </c>
      <c r="CX5" s="158">
        <f ca="1">1.8 * MIN(MAX(TblMili[[#This Row],[Frost Mage]]+Races!$F$71,Races!$E$71),6)  +  0.45 * MIN(MIN(TblMili[[#This Row],[Frost Mage]]+Races!$F$71,Races!$E$71),6)  +  0.2 * ( MAX(TblMili[[#This Row],[Frost Mage]]+Races!$F$71-6,0) + MAX(Races!$E$71-6,0) )  -  Races!$I$71</f>
        <v>3.9599999999999991</v>
      </c>
      <c r="CY5" s="158">
        <f ca="1">1.8 * MIN(MAX(TblMili[[#This Row],[Ice Elemental]]+Races!$E$71,Races!$F$71),6)  +  0.45 * MIN(MIN(TblMili[[#This Row],[Ice Elemental]]+Races!$E$71,Races!$F$71),6)  +  0.2 * ( MAX(TblMili[[#This Row],[Ice Elemental]]+Races!$E$71-6,0) + MAX(Races!$F$71-6,0) )  -  Races!$I$71</f>
        <v>0.17999999999999972</v>
      </c>
      <c r="CZ5" s="97">
        <f ca="1">TblMili[[#This Row],[Frost Mage bonus]]*TblMili[[#This Row],[Unit 3]]+TblMili[[#This Row],[Ice Elemental bonus]]*TblMili[[#This Row],[Unit 4]]</f>
        <v>0</v>
      </c>
      <c r="DA5" s="268"/>
      <c r="DB5" s="146">
        <f ca="1">MIN(SUM(TblConstr[[#This Row],[Plain]:[Water]])/TblMili[[#This Row],[Land]]/favorable_terrain_bonus/100,favorable_terrain_max)</f>
        <v>0.1</v>
      </c>
      <c r="DC5" s="268"/>
      <c r="DD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 s="145"/>
      <c r="DF5" s="269">
        <f ca="1">(TblMili[[#This Row],[Wizards]]+2*TblMili[[#This Row],[Archmages]])/TblConstr[[#This Row],[Land]]</f>
        <v>0.1</v>
      </c>
      <c r="DG5" s="269">
        <f ca="1">TblMili[[#This Row],[Raw (2)]]*(1+race_wizard_strength+IF(TblMili[[#This Row],[Hour]]&gt;72,tech_magical_weaponry_wiz*TblTech[[#This Row],[3-5]],0))</f>
        <v>0.1</v>
      </c>
    </row>
    <row r="6" spans="1:111"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45458.083333333328</v>
      </c>
      <c r="AG6" s="182"/>
      <c r="AH6" s="182"/>
      <c r="AI6" s="182"/>
      <c r="AJ6" s="182"/>
      <c r="AK6" s="182"/>
      <c r="AL6" s="182"/>
      <c r="AM6" s="182"/>
      <c r="AN6" s="182"/>
      <c r="AO6" s="449">
        <f ca="1">IF(AND(TblMagic[[#This Row],[Active DnD]]&lt;12,TblMagic[[#This Row],[Active DnD]]&gt;5),OFFSET(TblPop[[#This Row],[Draft Growth]],-1,0)/2,0)</f>
        <v>0</v>
      </c>
      <c r="AP6" s="145"/>
      <c r="AQ6" s="97">
        <f ca="1">TblProd[[#This Row],[Platinum]]</f>
        <v>129790</v>
      </c>
      <c r="AR6" s="97">
        <f ca="1">INDEX(TblProd[[#Headers],[Lumber]]:TblProd[[#This Row],[Ore]],COUNTA(TblProd[[#Headers],[Lumber]]:TblProd[[#This Row],[Lumber]]),MATCH(Military!$AQ$2,TblProd[[#Headers],[Lumber]:[Ore]],0))</f>
        <v>0</v>
      </c>
      <c r="AS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7">
        <f ca="1">TblMili[[#This Row],[Train Unit 1]]*TblMili[[#This Row],[OP Ore]]+TblMili[[#This Row],[Train Unit 2]]*TblMili[[#This Row],[DP Ore]]+TblMili[[#This Row],[Train Unit 3]]*TblMili[[#This Row],[E1 Ore]]+TblMili[[#This Row],[Train Unit 4]]*TblMili[[#This Row],[E2 Ore]]</f>
        <v>0</v>
      </c>
      <c r="AU6" s="145">
        <f>TblMili[[#This Row],[Hour]]</f>
        <v>3</v>
      </c>
      <c r="AV6" s="155">
        <f ca="1">TblMili[[#This Row],[Time]]</f>
        <v>45458.083333333328</v>
      </c>
      <c r="AW6" s="97">
        <f ca="1">TblMili[[#This Row],[Draftees]]</f>
        <v>126</v>
      </c>
      <c r="AX6" s="182"/>
      <c r="AY6" s="182"/>
      <c r="AZ6" s="182"/>
      <c r="BA6" s="182"/>
      <c r="BB6" s="182"/>
      <c r="BC6" s="182"/>
      <c r="BD6" s="182"/>
      <c r="BE6" s="182"/>
      <c r="BF6" s="182"/>
      <c r="BG6" s="145"/>
      <c r="BH6" s="160">
        <f ca="1">TblConstr[[#This Row],[Tot WG]]/TblConstr[[#This Row],[Land]]</f>
        <v>0</v>
      </c>
      <c r="BI6" s="160">
        <f ca="1">TblConstr[[#This Row],[Tot Hav]]/TblConstr[[#This Row],[Land]]</f>
        <v>0</v>
      </c>
      <c r="BJ6" s="97">
        <f ca="1">ROUNDUP((1-MIN(TblMili[[#This Row],[Smithies]]*smithy_bonus,smithy_bonus_cap) + tech_3_5*TblTech[[#This Row],[3-5]] + tech_5_3*TblTech[[#This Row],[5-3]] + tech_5_5*TblTech[[#This Row],[5-5]])*spec_op_plat,0)</f>
        <v>275</v>
      </c>
      <c r="BK6" s="97">
        <f ca="1">ROUNDUP(IF(race="Gnome",1,(1-MIN(TblMili[[#This Row],[Smithies]]*smithy_bonus,smithy_bonus_cap) + tech_3_5*TblTech[[#This Row],[3-5]] + tech_5_3*TblTech[[#This Row],[5-3]] + tech_5_5*TblTech[[#This Row],[5-5]]))*spec_op_ore,0)</f>
        <v>25</v>
      </c>
      <c r="BL6" s="97">
        <f ca="1">ROUNDUP((1-MIN(TblMili[[#This Row],[Smithies]]*smithy_bonus,smithy_bonus_cap) + tech_3_5*TblTech[[#This Row],[3-5]] + tech_5_3*TblTech[[#This Row],[5-3]] + tech_5_5*TblTech[[#This Row],[5-5]])*spec_dp_plat,0)</f>
        <v>275</v>
      </c>
      <c r="BM6" s="97">
        <f ca="1">ROUNDUP(IF(race="Gnome",1,(1-MIN(TblMili[[#This Row],[Smithies]]*smithy_bonus,smithy_bonus_cap) + tech_3_5*TblTech[[#This Row],[3-5]] + tech_5_3*TblTech[[#This Row],[5-3]] + tech_5_5*TblTech[[#This Row],[5-5]]))*spec_dp_ore,0)</f>
        <v>15</v>
      </c>
      <c r="BN6" s="97">
        <f ca="1">ROUNDUP((1-MIN(TblMili[[#This Row],[Smithies]]*smithy_bonus,smithy_bonus_cap) + tech_3_5*TblTech[[#This Row],[3-5]] + tech_5_3*TblTech[[#This Row],[5-3]] + tech_5_5*TblTech[[#This Row],[5-5]])*elite1_plat,0)</f>
        <v>1000</v>
      </c>
      <c r="BO6" s="97">
        <f ca="1">ROUNDUP(IF(race="Gnome",1,(1-MIN(TblMili[[#This Row],[Smithies]]*smithy_bonus,smithy_bonus_cap) + tech_3_5*TblTech[[#This Row],[3-5]] + tech_5_3*TblTech[[#This Row],[5-3]] + tech_5_5*TblTech[[#This Row],[5-5]]))*elite1_ore,0)</f>
        <v>75</v>
      </c>
      <c r="BP6" s="97">
        <f ca="1">ROUNDUP((1-MIN(TblMili[[#This Row],[Smithies]]*smithy_bonus,smithy_bonus_cap) + tech_3_5*TblTech[[#This Row],[3-5]] + tech_5_3*TblTech[[#This Row],[5-3]] + tech_5_5*TblTech[[#This Row],[5-5]])*elite2_plat,0)</f>
        <v>1250</v>
      </c>
      <c r="BQ6" s="97">
        <f ca="1">ROUNDUP(IF(race="Gnome",1,(1-MIN(TblMili[[#This Row],[Smithies]]*smithy_bonus,smithy_bonus_cap) + tech_3_5*TblTech[[#This Row],[3-5]] + tech_5_3*TblTech[[#This Row],[5-3]] + tech_5_5*TblTech[[#This Row],[5-5]]))*elite2_ore,0)</f>
        <v>100</v>
      </c>
      <c r="BR6" s="97">
        <f ca="1">ROUNDUP((1-MIN(ROUND(fh_spy_cost_red*TblMili[[#This Row],[FH''s]],4),fh_spy_cost_cap)+ tech_1_9*TblTech[[#This Row],[1-9]] + tech_9_1*TblTech[[#This Row],[9-1]])*spy_plat,0)</f>
        <v>500</v>
      </c>
      <c r="BS6" s="97">
        <f ca="1">ROUNDUP((1-MIN(ROUND(fh_spy_cost_red*TblMili[[#This Row],[FH''s]],4),fh_spy_cost_cap)+ tech_1_9*TblTech[[#This Row],[1-9]] + tech_9_1*TblTech[[#This Row],[9-1]])*archspy_plat,0)</f>
        <v>1000</v>
      </c>
      <c r="BT6" s="97">
        <f ca="1">ROUNDUP((1-MIN(ROUND(wg_wiz_cost_bonus*TblMili[[#This Row],[WG''s]],4),wg_wiz_cost_cap) + tech_1_9_2*TblTech[[#This Row],[1-9]] + tech_9_1_2*TblTech[[#This Row],[9-1]])*wizard_plat,0)</f>
        <v>500</v>
      </c>
      <c r="BU6" s="97">
        <f ca="1">ROUNDUP((1-MIN(ROUND(wg_wiz_cost_bonus*TblMili[[#This Row],[WG''s]],4),wg_wiz_cost_cap) + tech_1_9_2*TblTech[[#This Row],[1-9]] + tech_9_1_2*TblTech[[#This Row],[9-1]])*archmage_plat,0)</f>
        <v>1000</v>
      </c>
      <c r="BV6" s="145"/>
      <c r="BW6" s="160">
        <f ca="1">TblConstr[[#This Row],[Homeland]]/TblConstr[[#This Row],[Land]]</f>
        <v>0.44</v>
      </c>
      <c r="BX6" s="160">
        <f ca="1">TblMili[[#This Row],[WG''s]]</f>
        <v>0</v>
      </c>
      <c r="BY6" s="266">
        <f ca="1">IF(mystic_cap="none",TblMili[[#This Row],[Hill]]/mystic_bonus,MIN(mystic_cap,TblMili[[#This Row],[Hill]]/mystic_bonus))</f>
        <v>2.1999999999999997</v>
      </c>
      <c r="BZ6" s="266">
        <f ca="1">IF(druid_op_cap="none",TblMili[[#This Row],[Hill]]/druid_op_bonus,MIN(druid_op_cap,TblMili[[#This Row],[Hill]]/druid_op_bonus))</f>
        <v>2.1999999999999997</v>
      </c>
      <c r="CA6" s="266">
        <f ca="1">IF(druid_dp_cap="none",TblMili[[#This Row],[Hill]]/druid_dp_bonus,MIN(druid_dp_cap,TblMili[[#This Row],[Hill]]/druid_dp_bonus))</f>
        <v>2.1999999999999997</v>
      </c>
      <c r="CB6" s="266">
        <f ca="1">MIN(dryad_cap,TblMili[[#This Row],[Hill]]/dryad_bonus)</f>
        <v>2.1999999999999997</v>
      </c>
      <c r="CC6" s="266">
        <f ca="1">MIN(rocka_cap,TblMili[[#This Row],[Hill]]/rocka_bonus)</f>
        <v>2</v>
      </c>
      <c r="CD6" s="266">
        <f ca="1">MIN(adept_op_cap,TblMili[[#This Row],[WG]]/adept_op_bonus)</f>
        <v>0</v>
      </c>
      <c r="CE6" s="266">
        <f ca="1">MIN(adept_dp_cap,TblMili[[#This Row],[WG]]/adept_dp_bonus)</f>
        <v>0</v>
      </c>
      <c r="CF6" s="97">
        <f ca="1">MIN(TblMili[[#This Row],[Unit 3]],TblMili[[#This Row],[Unit 2]])*2</f>
        <v>0</v>
      </c>
      <c r="CG6" s="97">
        <f ca="1">MIN(TblMili[[#This Row],[Unit 1]],TblMili[[#This Row],[Unit 4]])*2</f>
        <v>0</v>
      </c>
      <c r="CH6" s="266">
        <f ca="1">MIN(frost_mage_cap,TblMili[[#This Row],[Hill]]/frost_mage_bonus)</f>
        <v>2.1999999999999997</v>
      </c>
      <c r="CI6" s="45">
        <f ca="1">MIN(ice_elem_cap,TblMili[[#This Row],[Raw (2)]]*ice_elem_bonus)</f>
        <v>0.1</v>
      </c>
      <c r="CJ6" s="266">
        <f t="shared" si="0"/>
        <v>0.83333333333333337</v>
      </c>
      <c r="CK6" s="266">
        <f ca="1">MIN(nox_nightshade_cap,TblConstr[[#This Row],[Homeland]]/TblConstr[[#This Row],[Land]]/nox_nightshade_swamp_bonus)</f>
        <v>4</v>
      </c>
      <c r="CL6" s="267" t="s">
        <v>96</v>
      </c>
      <c r="CM6" s="267" t="b">
        <f t="shared" si="1"/>
        <v>0</v>
      </c>
      <c r="CN6" s="267"/>
      <c r="CO6" s="266">
        <f ca="1">MIN(6,TblMili[[#This Row],[Mystic]]+Races!$F$19)*1.8 +  IF(TblMili[[#This Row],[Mystic]]+Races!$F$19&gt;6,(TblMili[[#This Row],[Mystic]]+Races!$F$19-6)*0.2,0) - Races!$I$19</f>
        <v>3.6399999999999997</v>
      </c>
      <c r="CP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 s="97">
        <f ca="1">TblMili[[#This Row],[Mystic bonus]]*TblMili[[#This Row],[Unit 3]]+TblMili[[#This Row],[Druid bonus]]*TblMili[[#This Row],[Unit 4]]</f>
        <v>0</v>
      </c>
      <c r="CR6" s="158">
        <f ca="1">MIN(6,TblMili[[#This Row],[Dryad]]+Races!$F$35)*1.8 +  IF(TblMili[[#This Row],[Dryad]]+Races!$F$35&gt;6,(TblMili[[#This Row],[Dryad]]+Races!$F$35-6)*0.2,0) - Races!$I$19</f>
        <v>2.1599999999999993</v>
      </c>
      <c r="CS6" s="97">
        <f ca="1">sylvan*(TblMili[[#This Row],[Mystic bonus]]*TblMili[[#This Row],[Unit 3]])</f>
        <v>0</v>
      </c>
      <c r="CT6" s="158">
        <f ca="1">1.8 * MIN(MAX(Races!$E$27,TblMili[[#This Row],[Rockapult]]+Races!$F$27),6)  +  0.45 * MIN(MIN(Races!$E$27,TblMili[[#This Row],[Rockapult]]+Races!$F$27),6)  +  0.2 * ( MAX(Races!$E$27-6,0) + MAX(TblMili[[#This Row],[Rockapult]]+Races!$F$27-6,0) )  -  Races!$I$20</f>
        <v>5.8500000000000005</v>
      </c>
      <c r="CU6" s="97">
        <f ca="1">gnome*(TblMili[[#This Row],[Rockapult bonus]]*TblMili[[#This Row],[Unit 3]])</f>
        <v>0</v>
      </c>
      <c r="CV6" s="158">
        <f ca="1">1.8 * MIN(MAX(TblMili[[#This Row],[Spellblade]]+Races!$E$47,TblMili[[#This Row],[Adept-DP]]+Races!$F$47),6)  +  0.45 * MIN(MIN(TblMili[[#This Row],[Spellblade]]+Races!$E$47,TblMili[[#This Row],[Adept-DP]]+Races!$F$47),6)  +  0.2 * ( MAX(TblMili[[#This Row],[Spellblade]]+Races!$E$47-6,0) + MAX(TblMili[[#This Row],[Adept-DP]]+Races!$F$47-6,0) )  -  Races!$I$47</f>
        <v>0</v>
      </c>
      <c r="CW6" s="97">
        <f ca="1">dark_elf*(TblMili[[#This Row],[Adept bonus]]*TblMili[[#This Row],[Unit 3]])</f>
        <v>0</v>
      </c>
      <c r="CX6" s="158">
        <f ca="1">1.8 * MIN(MAX(TblMili[[#This Row],[Frost Mage]]+Races!$F$71,Races!$E$71),6)  +  0.45 * MIN(MIN(TblMili[[#This Row],[Frost Mage]]+Races!$F$71,Races!$E$71),6)  +  0.2 * ( MAX(TblMili[[#This Row],[Frost Mage]]+Races!$F$71-6,0) + MAX(Races!$E$71-6,0) )  -  Races!$I$71</f>
        <v>3.9599999999999991</v>
      </c>
      <c r="CY6" s="158">
        <f ca="1">1.8 * MIN(MAX(TblMili[[#This Row],[Ice Elemental]]+Races!$E$71,Races!$F$71),6)  +  0.45 * MIN(MIN(TblMili[[#This Row],[Ice Elemental]]+Races!$E$71,Races!$F$71),6)  +  0.2 * ( MAX(TblMili[[#This Row],[Ice Elemental]]+Races!$E$71-6,0) + MAX(Races!$F$71-6,0) )  -  Races!$I$71</f>
        <v>0.17999999999999972</v>
      </c>
      <c r="CZ6" s="97">
        <f ca="1">TblMili[[#This Row],[Frost Mage bonus]]*TblMili[[#This Row],[Unit 3]]+TblMili[[#This Row],[Ice Elemental bonus]]*TblMili[[#This Row],[Unit 4]]</f>
        <v>0</v>
      </c>
      <c r="DA6" s="268"/>
      <c r="DB6" s="146">
        <f ca="1">MIN(SUM(TblConstr[[#This Row],[Plain]:[Water]])/TblMili[[#This Row],[Land]]/favorable_terrain_bonus/100,favorable_terrain_max)</f>
        <v>0.1</v>
      </c>
      <c r="DC6" s="268"/>
      <c r="DD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 s="145"/>
      <c r="DF6" s="269">
        <f ca="1">(TblMili[[#This Row],[Wizards]]+2*TblMili[[#This Row],[Archmages]])/TblConstr[[#This Row],[Land]]</f>
        <v>0.1</v>
      </c>
      <c r="DG6" s="269">
        <f ca="1">TblMili[[#This Row],[Raw (2)]]*(1+race_wizard_strength+IF(TblMili[[#This Row],[Hour]]&gt;72,tech_magical_weaponry_wiz*TblTech[[#This Row],[3-5]],0))</f>
        <v>0.1</v>
      </c>
    </row>
    <row r="7" spans="1:111"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45458.124999999993</v>
      </c>
      <c r="AG7" s="182"/>
      <c r="AH7" s="182"/>
      <c r="AI7" s="182"/>
      <c r="AJ7" s="182"/>
      <c r="AK7" s="182"/>
      <c r="AL7" s="182"/>
      <c r="AM7" s="182"/>
      <c r="AN7" s="182"/>
      <c r="AO7" s="449">
        <f ca="1">IF(AND(TblMagic[[#This Row],[Active DnD]]&lt;12,TblMagic[[#This Row],[Active DnD]]&gt;5),OFFSET(TblPop[[#This Row],[Draft Growth]],-1,0)/2,0)</f>
        <v>0</v>
      </c>
      <c r="AP7" s="145"/>
      <c r="AQ7" s="97">
        <f ca="1">TblProd[[#This Row],[Platinum]]</f>
        <v>134790</v>
      </c>
      <c r="AR7" s="97">
        <f ca="1">INDEX(TblProd[[#Headers],[Lumber]]:TblProd[[#This Row],[Ore]],COUNTA(TblProd[[#Headers],[Lumber]]:TblProd[[#This Row],[Lumber]]),MATCH(Military!$AQ$2,TblProd[[#Headers],[Lumber]:[Ore]],0))</f>
        <v>0</v>
      </c>
      <c r="AS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7">
        <f ca="1">TblMili[[#This Row],[Train Unit 1]]*TblMili[[#This Row],[OP Ore]]+TblMili[[#This Row],[Train Unit 2]]*TblMili[[#This Row],[DP Ore]]+TblMili[[#This Row],[Train Unit 3]]*TblMili[[#This Row],[E1 Ore]]+TblMili[[#This Row],[Train Unit 4]]*TblMili[[#This Row],[E2 Ore]]</f>
        <v>0</v>
      </c>
      <c r="AU7" s="145">
        <f>TblMili[[#This Row],[Hour]]</f>
        <v>4</v>
      </c>
      <c r="AV7" s="155">
        <f ca="1">TblMili[[#This Row],[Time]]</f>
        <v>45458.124999999993</v>
      </c>
      <c r="AW7" s="97">
        <f ca="1">TblMili[[#This Row],[Draftees]]</f>
        <v>140</v>
      </c>
      <c r="AX7" s="182"/>
      <c r="AY7" s="182"/>
      <c r="AZ7" s="182"/>
      <c r="BA7" s="182"/>
      <c r="BB7" s="182"/>
      <c r="BC7" s="182"/>
      <c r="BD7" s="182"/>
      <c r="BE7" s="182"/>
      <c r="BF7" s="182"/>
      <c r="BG7" s="145"/>
      <c r="BH7" s="160">
        <f ca="1">TblConstr[[#This Row],[Tot WG]]/TblConstr[[#This Row],[Land]]</f>
        <v>0</v>
      </c>
      <c r="BI7" s="160">
        <f ca="1">TblConstr[[#This Row],[Tot Hav]]/TblConstr[[#This Row],[Land]]</f>
        <v>0</v>
      </c>
      <c r="BJ7" s="97">
        <f ca="1">ROUNDUP((1-MIN(TblMili[[#This Row],[Smithies]]*smithy_bonus,smithy_bonus_cap) + tech_3_5*TblTech[[#This Row],[3-5]] + tech_5_3*TblTech[[#This Row],[5-3]] + tech_5_5*TblTech[[#This Row],[5-5]])*spec_op_plat,0)</f>
        <v>275</v>
      </c>
      <c r="BK7" s="97">
        <f ca="1">ROUNDUP(IF(race="Gnome",1,(1-MIN(TblMili[[#This Row],[Smithies]]*smithy_bonus,smithy_bonus_cap) + tech_3_5*TblTech[[#This Row],[3-5]] + tech_5_3*TblTech[[#This Row],[5-3]] + tech_5_5*TblTech[[#This Row],[5-5]]))*spec_op_ore,0)</f>
        <v>25</v>
      </c>
      <c r="BL7" s="97">
        <f ca="1">ROUNDUP((1-MIN(TblMili[[#This Row],[Smithies]]*smithy_bonus,smithy_bonus_cap) + tech_3_5*TblTech[[#This Row],[3-5]] + tech_5_3*TblTech[[#This Row],[5-3]] + tech_5_5*TblTech[[#This Row],[5-5]])*spec_dp_plat,0)</f>
        <v>275</v>
      </c>
      <c r="BM7" s="97">
        <f ca="1">ROUNDUP(IF(race="Gnome",1,(1-MIN(TblMili[[#This Row],[Smithies]]*smithy_bonus,smithy_bonus_cap) + tech_3_5*TblTech[[#This Row],[3-5]] + tech_5_3*TblTech[[#This Row],[5-3]] + tech_5_5*TblTech[[#This Row],[5-5]]))*spec_dp_ore,0)</f>
        <v>15</v>
      </c>
      <c r="BN7" s="97">
        <f ca="1">ROUNDUP((1-MIN(TblMili[[#This Row],[Smithies]]*smithy_bonus,smithy_bonus_cap) + tech_3_5*TblTech[[#This Row],[3-5]] + tech_5_3*TblTech[[#This Row],[5-3]] + tech_5_5*TblTech[[#This Row],[5-5]])*elite1_plat,0)</f>
        <v>1000</v>
      </c>
      <c r="BO7" s="97">
        <f ca="1">ROUNDUP(IF(race="Gnome",1,(1-MIN(TblMili[[#This Row],[Smithies]]*smithy_bonus,smithy_bonus_cap) + tech_3_5*TblTech[[#This Row],[3-5]] + tech_5_3*TblTech[[#This Row],[5-3]] + tech_5_5*TblTech[[#This Row],[5-5]]))*elite1_ore,0)</f>
        <v>75</v>
      </c>
      <c r="BP7" s="97">
        <f ca="1">ROUNDUP((1-MIN(TblMili[[#This Row],[Smithies]]*smithy_bonus,smithy_bonus_cap) + tech_3_5*TblTech[[#This Row],[3-5]] + tech_5_3*TblTech[[#This Row],[5-3]] + tech_5_5*TblTech[[#This Row],[5-5]])*elite2_plat,0)</f>
        <v>1250</v>
      </c>
      <c r="BQ7" s="97">
        <f ca="1">ROUNDUP(IF(race="Gnome",1,(1-MIN(TblMili[[#This Row],[Smithies]]*smithy_bonus,smithy_bonus_cap) + tech_3_5*TblTech[[#This Row],[3-5]] + tech_5_3*TblTech[[#This Row],[5-3]] + tech_5_5*TblTech[[#This Row],[5-5]]))*elite2_ore,0)</f>
        <v>100</v>
      </c>
      <c r="BR7" s="97">
        <f ca="1">ROUNDUP((1-MIN(ROUND(fh_spy_cost_red*TblMili[[#This Row],[FH''s]],4),fh_spy_cost_cap)+ tech_1_9*TblTech[[#This Row],[1-9]] + tech_9_1*TblTech[[#This Row],[9-1]])*spy_plat,0)</f>
        <v>500</v>
      </c>
      <c r="BS7" s="97">
        <f ca="1">ROUNDUP((1-MIN(ROUND(fh_spy_cost_red*TblMili[[#This Row],[FH''s]],4),fh_spy_cost_cap)+ tech_1_9*TblTech[[#This Row],[1-9]] + tech_9_1*TblTech[[#This Row],[9-1]])*archspy_plat,0)</f>
        <v>1000</v>
      </c>
      <c r="BT7" s="97">
        <f ca="1">ROUNDUP((1-MIN(ROUND(wg_wiz_cost_bonus*TblMili[[#This Row],[WG''s]],4),wg_wiz_cost_cap) + tech_1_9_2*TblTech[[#This Row],[1-9]] + tech_9_1_2*TblTech[[#This Row],[9-1]])*wizard_plat,0)</f>
        <v>500</v>
      </c>
      <c r="BU7" s="97">
        <f ca="1">ROUNDUP((1-MIN(ROUND(wg_wiz_cost_bonus*TblMili[[#This Row],[WG''s]],4),wg_wiz_cost_cap) + tech_1_9_2*TblTech[[#This Row],[1-9]] + tech_9_1_2*TblTech[[#This Row],[9-1]])*archmage_plat,0)</f>
        <v>1000</v>
      </c>
      <c r="BV7" s="145"/>
      <c r="BW7" s="160">
        <f ca="1">TblConstr[[#This Row],[Homeland]]/TblConstr[[#This Row],[Land]]</f>
        <v>0.44</v>
      </c>
      <c r="BX7" s="160">
        <f ca="1">TblMili[[#This Row],[WG''s]]</f>
        <v>0</v>
      </c>
      <c r="BY7" s="266">
        <f ca="1">IF(mystic_cap="none",TblMili[[#This Row],[Hill]]/mystic_bonus,MIN(mystic_cap,TblMili[[#This Row],[Hill]]/mystic_bonus))</f>
        <v>2.1999999999999997</v>
      </c>
      <c r="BZ7" s="266">
        <f ca="1">IF(druid_op_cap="none",TblMili[[#This Row],[Hill]]/druid_op_bonus,MIN(druid_op_cap,TblMili[[#This Row],[Hill]]/druid_op_bonus))</f>
        <v>2.1999999999999997</v>
      </c>
      <c r="CA7" s="266">
        <f ca="1">IF(druid_dp_cap="none",TblMili[[#This Row],[Hill]]/druid_dp_bonus,MIN(druid_dp_cap,TblMili[[#This Row],[Hill]]/druid_dp_bonus))</f>
        <v>2.1999999999999997</v>
      </c>
      <c r="CB7" s="266">
        <f ca="1">MIN(dryad_cap,TblMili[[#This Row],[Hill]]/dryad_bonus)</f>
        <v>2.1999999999999997</v>
      </c>
      <c r="CC7" s="266">
        <f ca="1">MIN(rocka_cap,TblMili[[#This Row],[Hill]]/rocka_bonus)</f>
        <v>2</v>
      </c>
      <c r="CD7" s="266">
        <f ca="1">MIN(adept_op_cap,TblMili[[#This Row],[WG]]/adept_op_bonus)</f>
        <v>0</v>
      </c>
      <c r="CE7" s="266">
        <f ca="1">MIN(adept_dp_cap,TblMili[[#This Row],[WG]]/adept_dp_bonus)</f>
        <v>0</v>
      </c>
      <c r="CF7" s="97">
        <f ca="1">MIN(TblMili[[#This Row],[Unit 3]],TblMili[[#This Row],[Unit 2]])*2</f>
        <v>0</v>
      </c>
      <c r="CG7" s="97">
        <f ca="1">MIN(TblMili[[#This Row],[Unit 1]],TblMili[[#This Row],[Unit 4]])*2</f>
        <v>0</v>
      </c>
      <c r="CH7" s="266">
        <f ca="1">MIN(frost_mage_cap,TblMili[[#This Row],[Hill]]/frost_mage_bonus)</f>
        <v>2.1999999999999997</v>
      </c>
      <c r="CI7" s="45">
        <f ca="1">MIN(ice_elem_cap,TblMili[[#This Row],[Raw (2)]]*ice_elem_bonus)</f>
        <v>0.1</v>
      </c>
      <c r="CJ7" s="266">
        <f t="shared" si="0"/>
        <v>0.83333333333333337</v>
      </c>
      <c r="CK7" s="266">
        <f ca="1">MIN(nox_nightshade_cap,TblConstr[[#This Row],[Homeland]]/TblConstr[[#This Row],[Land]]/nox_nightshade_swamp_bonus)</f>
        <v>4</v>
      </c>
      <c r="CL7" s="267" t="s">
        <v>94</v>
      </c>
      <c r="CM7" s="267" t="b">
        <f t="shared" si="1"/>
        <v>0</v>
      </c>
      <c r="CN7" s="267"/>
      <c r="CO7" s="266">
        <f ca="1">MIN(6,TblMili[[#This Row],[Mystic]]+Races!$F$19)*1.8 +  IF(TblMili[[#This Row],[Mystic]]+Races!$F$19&gt;6,(TblMili[[#This Row],[Mystic]]+Races!$F$19-6)*0.2,0) - Races!$I$19</f>
        <v>3.6399999999999997</v>
      </c>
      <c r="CP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 s="97">
        <f ca="1">TblMili[[#This Row],[Mystic bonus]]*TblMili[[#This Row],[Unit 3]]+TblMili[[#This Row],[Druid bonus]]*TblMili[[#This Row],[Unit 4]]</f>
        <v>0</v>
      </c>
      <c r="CR7" s="158">
        <f ca="1">MIN(6,TblMili[[#This Row],[Dryad]]+Races!$F$35)*1.8 +  IF(TblMili[[#This Row],[Dryad]]+Races!$F$35&gt;6,(TblMili[[#This Row],[Dryad]]+Races!$F$35-6)*0.2,0) - Races!$I$19</f>
        <v>2.1599999999999993</v>
      </c>
      <c r="CS7" s="97">
        <f ca="1">sylvan*(TblMili[[#This Row],[Mystic bonus]]*TblMili[[#This Row],[Unit 3]])</f>
        <v>0</v>
      </c>
      <c r="CT7" s="158">
        <f ca="1">1.8 * MIN(MAX(Races!$E$27,TblMili[[#This Row],[Rockapult]]+Races!$F$27),6)  +  0.45 * MIN(MIN(Races!$E$27,TblMili[[#This Row],[Rockapult]]+Races!$F$27),6)  +  0.2 * ( MAX(Races!$E$27-6,0) + MAX(TblMili[[#This Row],[Rockapult]]+Races!$F$27-6,0) )  -  Races!$I$20</f>
        <v>5.8500000000000005</v>
      </c>
      <c r="CU7" s="97">
        <f ca="1">gnome*(TblMili[[#This Row],[Rockapult bonus]]*TblMili[[#This Row],[Unit 3]])</f>
        <v>0</v>
      </c>
      <c r="CV7" s="158">
        <f ca="1">1.8 * MIN(MAX(TblMili[[#This Row],[Spellblade]]+Races!$E$47,TblMili[[#This Row],[Adept-DP]]+Races!$F$47),6)  +  0.45 * MIN(MIN(TblMili[[#This Row],[Spellblade]]+Races!$E$47,TblMili[[#This Row],[Adept-DP]]+Races!$F$47),6)  +  0.2 * ( MAX(TblMili[[#This Row],[Spellblade]]+Races!$E$47-6,0) + MAX(TblMili[[#This Row],[Adept-DP]]+Races!$F$47-6,0) )  -  Races!$I$47</f>
        <v>0</v>
      </c>
      <c r="CW7" s="97">
        <f ca="1">dark_elf*(TblMili[[#This Row],[Adept bonus]]*TblMili[[#This Row],[Unit 3]])</f>
        <v>0</v>
      </c>
      <c r="CX7" s="158">
        <f ca="1">1.8 * MIN(MAX(TblMili[[#This Row],[Frost Mage]]+Races!$F$71,Races!$E$71),6)  +  0.45 * MIN(MIN(TblMili[[#This Row],[Frost Mage]]+Races!$F$71,Races!$E$71),6)  +  0.2 * ( MAX(TblMili[[#This Row],[Frost Mage]]+Races!$F$71-6,0) + MAX(Races!$E$71-6,0) )  -  Races!$I$71</f>
        <v>3.9599999999999991</v>
      </c>
      <c r="CY7" s="158">
        <f ca="1">1.8 * MIN(MAX(TblMili[[#This Row],[Ice Elemental]]+Races!$E$71,Races!$F$71),6)  +  0.45 * MIN(MIN(TblMili[[#This Row],[Ice Elemental]]+Races!$E$71,Races!$F$71),6)  +  0.2 * ( MAX(TblMili[[#This Row],[Ice Elemental]]+Races!$E$71-6,0) + MAX(Races!$F$71-6,0) )  -  Races!$I$71</f>
        <v>0.17999999999999972</v>
      </c>
      <c r="CZ7" s="97">
        <f ca="1">TblMili[[#This Row],[Frost Mage bonus]]*TblMili[[#This Row],[Unit 3]]+TblMili[[#This Row],[Ice Elemental bonus]]*TblMili[[#This Row],[Unit 4]]</f>
        <v>0</v>
      </c>
      <c r="DA7" s="268"/>
      <c r="DB7" s="146">
        <f ca="1">MIN(SUM(TblConstr[[#This Row],[Plain]:[Water]])/TblMili[[#This Row],[Land]]/favorable_terrain_bonus/100,favorable_terrain_max)</f>
        <v>0.1</v>
      </c>
      <c r="DC7" s="268"/>
      <c r="DD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 s="145"/>
      <c r="DF7" s="269">
        <f ca="1">(TblMili[[#This Row],[Wizards]]+2*TblMili[[#This Row],[Archmages]])/TblConstr[[#This Row],[Land]]</f>
        <v>0.1</v>
      </c>
      <c r="DG7" s="269">
        <f ca="1">TblMili[[#This Row],[Raw (2)]]*(1+race_wizard_strength+IF(TblMili[[#This Row],[Hour]]&gt;72,tech_magical_weaponry_wiz*TblTech[[#This Row],[3-5]],0))</f>
        <v>0.1</v>
      </c>
    </row>
    <row r="8" spans="1:111"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45458.166666666657</v>
      </c>
      <c r="AG8" s="182"/>
      <c r="AH8" s="182"/>
      <c r="AI8" s="182"/>
      <c r="AJ8" s="182"/>
      <c r="AK8" s="182"/>
      <c r="AL8" s="182"/>
      <c r="AM8" s="182"/>
      <c r="AN8" s="182"/>
      <c r="AO8" s="449">
        <f ca="1">IF(AND(TblMagic[[#This Row],[Active DnD]]&lt;12,TblMagic[[#This Row],[Active DnD]]&gt;5),OFFSET(TblPop[[#This Row],[Draft Growth]],-1,0)/2,0)</f>
        <v>0</v>
      </c>
      <c r="AP8" s="145"/>
      <c r="AQ8" s="97">
        <f ca="1">TblProd[[#This Row],[Platinum]]</f>
        <v>139860</v>
      </c>
      <c r="AR8" s="97">
        <f ca="1">INDEX(TblProd[[#Headers],[Lumber]]:TblProd[[#This Row],[Ore]],COUNTA(TblProd[[#Headers],[Lumber]]:TblProd[[#This Row],[Lumber]]),MATCH(Military!$AQ$2,TblProd[[#Headers],[Lumber]:[Ore]],0))</f>
        <v>0</v>
      </c>
      <c r="AS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7">
        <f ca="1">TblMili[[#This Row],[Train Unit 1]]*TblMili[[#This Row],[OP Ore]]+TblMili[[#This Row],[Train Unit 2]]*TblMili[[#This Row],[DP Ore]]+TblMili[[#This Row],[Train Unit 3]]*TblMili[[#This Row],[E1 Ore]]+TblMili[[#This Row],[Train Unit 4]]*TblMili[[#This Row],[E2 Ore]]</f>
        <v>0</v>
      </c>
      <c r="AU8" s="145">
        <f>TblMili[[#This Row],[Hour]]</f>
        <v>5</v>
      </c>
      <c r="AV8" s="155">
        <f ca="1">TblMili[[#This Row],[Time]]</f>
        <v>45458.166666666657</v>
      </c>
      <c r="AW8" s="97">
        <f ca="1">TblMili[[#This Row],[Draftees]]</f>
        <v>154</v>
      </c>
      <c r="AX8" s="182"/>
      <c r="AY8" s="182"/>
      <c r="AZ8" s="182"/>
      <c r="BA8" s="182"/>
      <c r="BB8" s="182"/>
      <c r="BC8" s="182"/>
      <c r="BD8" s="182"/>
      <c r="BE8" s="182"/>
      <c r="BF8" s="182"/>
      <c r="BG8" s="145"/>
      <c r="BH8" s="160">
        <f ca="1">TblConstr[[#This Row],[Tot WG]]/TblConstr[[#This Row],[Land]]</f>
        <v>0</v>
      </c>
      <c r="BI8" s="160">
        <f ca="1">TblConstr[[#This Row],[Tot Hav]]/TblConstr[[#This Row],[Land]]</f>
        <v>0</v>
      </c>
      <c r="BJ8" s="97">
        <f ca="1">ROUNDUP((1-MIN(TblMili[[#This Row],[Smithies]]*smithy_bonus,smithy_bonus_cap) + tech_3_5*TblTech[[#This Row],[3-5]] + tech_5_3*TblTech[[#This Row],[5-3]] + tech_5_5*TblTech[[#This Row],[5-5]])*spec_op_plat,0)</f>
        <v>275</v>
      </c>
      <c r="BK8" s="97">
        <f ca="1">ROUNDUP(IF(race="Gnome",1,(1-MIN(TblMili[[#This Row],[Smithies]]*smithy_bonus,smithy_bonus_cap) + tech_3_5*TblTech[[#This Row],[3-5]] + tech_5_3*TblTech[[#This Row],[5-3]] + tech_5_5*TblTech[[#This Row],[5-5]]))*spec_op_ore,0)</f>
        <v>25</v>
      </c>
      <c r="BL8" s="97">
        <f ca="1">ROUNDUP((1-MIN(TblMili[[#This Row],[Smithies]]*smithy_bonus,smithy_bonus_cap) + tech_3_5*TblTech[[#This Row],[3-5]] + tech_5_3*TblTech[[#This Row],[5-3]] + tech_5_5*TblTech[[#This Row],[5-5]])*spec_dp_plat,0)</f>
        <v>275</v>
      </c>
      <c r="BM8" s="97">
        <f ca="1">ROUNDUP(IF(race="Gnome",1,(1-MIN(TblMili[[#This Row],[Smithies]]*smithy_bonus,smithy_bonus_cap) + tech_3_5*TblTech[[#This Row],[3-5]] + tech_5_3*TblTech[[#This Row],[5-3]] + tech_5_5*TblTech[[#This Row],[5-5]]))*spec_dp_ore,0)</f>
        <v>15</v>
      </c>
      <c r="BN8" s="97">
        <f ca="1">ROUNDUP((1-MIN(TblMili[[#This Row],[Smithies]]*smithy_bonus,smithy_bonus_cap) + tech_3_5*TblTech[[#This Row],[3-5]] + tech_5_3*TblTech[[#This Row],[5-3]] + tech_5_5*TblTech[[#This Row],[5-5]])*elite1_plat,0)</f>
        <v>1000</v>
      </c>
      <c r="BO8" s="97">
        <f ca="1">ROUNDUP(IF(race="Gnome",1,(1-MIN(TblMili[[#This Row],[Smithies]]*smithy_bonus,smithy_bonus_cap) + tech_3_5*TblTech[[#This Row],[3-5]] + tech_5_3*TblTech[[#This Row],[5-3]] + tech_5_5*TblTech[[#This Row],[5-5]]))*elite1_ore,0)</f>
        <v>75</v>
      </c>
      <c r="BP8" s="97">
        <f ca="1">ROUNDUP((1-MIN(TblMili[[#This Row],[Smithies]]*smithy_bonus,smithy_bonus_cap) + tech_3_5*TblTech[[#This Row],[3-5]] + tech_5_3*TblTech[[#This Row],[5-3]] + tech_5_5*TblTech[[#This Row],[5-5]])*elite2_plat,0)</f>
        <v>1250</v>
      </c>
      <c r="BQ8" s="97">
        <f ca="1">ROUNDUP(IF(race="Gnome",1,(1-MIN(TblMili[[#This Row],[Smithies]]*smithy_bonus,smithy_bonus_cap) + tech_3_5*TblTech[[#This Row],[3-5]] + tech_5_3*TblTech[[#This Row],[5-3]] + tech_5_5*TblTech[[#This Row],[5-5]]))*elite2_ore,0)</f>
        <v>100</v>
      </c>
      <c r="BR8" s="97">
        <f ca="1">ROUNDUP((1-MIN(ROUND(fh_spy_cost_red*TblMili[[#This Row],[FH''s]],4),fh_spy_cost_cap)+ tech_1_9*TblTech[[#This Row],[1-9]] + tech_9_1*TblTech[[#This Row],[9-1]])*spy_plat,0)</f>
        <v>500</v>
      </c>
      <c r="BS8" s="97">
        <f ca="1">ROUNDUP((1-MIN(ROUND(fh_spy_cost_red*TblMili[[#This Row],[FH''s]],4),fh_spy_cost_cap)+ tech_1_9*TblTech[[#This Row],[1-9]] + tech_9_1*TblTech[[#This Row],[9-1]])*archspy_plat,0)</f>
        <v>1000</v>
      </c>
      <c r="BT8" s="97">
        <f ca="1">ROUNDUP((1-MIN(ROUND(wg_wiz_cost_bonus*TblMili[[#This Row],[WG''s]],4),wg_wiz_cost_cap) + tech_1_9_2*TblTech[[#This Row],[1-9]] + tech_9_1_2*TblTech[[#This Row],[9-1]])*wizard_plat,0)</f>
        <v>500</v>
      </c>
      <c r="BU8" s="97">
        <f ca="1">ROUNDUP((1-MIN(ROUND(wg_wiz_cost_bonus*TblMili[[#This Row],[WG''s]],4),wg_wiz_cost_cap) + tech_1_9_2*TblTech[[#This Row],[1-9]] + tech_9_1_2*TblTech[[#This Row],[9-1]])*archmage_plat,0)</f>
        <v>1000</v>
      </c>
      <c r="BV8" s="145"/>
      <c r="BW8" s="160">
        <f ca="1">TblConstr[[#This Row],[Homeland]]/TblConstr[[#This Row],[Land]]</f>
        <v>0.44</v>
      </c>
      <c r="BX8" s="160">
        <f ca="1">TblMili[[#This Row],[WG''s]]</f>
        <v>0</v>
      </c>
      <c r="BY8" s="266">
        <f ca="1">IF(mystic_cap="none",TblMili[[#This Row],[Hill]]/mystic_bonus,MIN(mystic_cap,TblMili[[#This Row],[Hill]]/mystic_bonus))</f>
        <v>2.1999999999999997</v>
      </c>
      <c r="BZ8" s="266">
        <f ca="1">IF(druid_op_cap="none",TblMili[[#This Row],[Hill]]/druid_op_bonus,MIN(druid_op_cap,TblMili[[#This Row],[Hill]]/druid_op_bonus))</f>
        <v>2.1999999999999997</v>
      </c>
      <c r="CA8" s="266">
        <f ca="1">IF(druid_dp_cap="none",TblMili[[#This Row],[Hill]]/druid_dp_bonus,MIN(druid_dp_cap,TblMili[[#This Row],[Hill]]/druid_dp_bonus))</f>
        <v>2.1999999999999997</v>
      </c>
      <c r="CB8" s="266">
        <f ca="1">MIN(dryad_cap,TblMili[[#This Row],[Hill]]/dryad_bonus)</f>
        <v>2.1999999999999997</v>
      </c>
      <c r="CC8" s="266">
        <f ca="1">MIN(rocka_cap,TblMili[[#This Row],[Hill]]/rocka_bonus)</f>
        <v>2</v>
      </c>
      <c r="CD8" s="266">
        <f ca="1">MIN(adept_op_cap,TblMili[[#This Row],[WG]]/adept_op_bonus)</f>
        <v>0</v>
      </c>
      <c r="CE8" s="266">
        <f ca="1">MIN(adept_dp_cap,TblMili[[#This Row],[WG]]/adept_dp_bonus)</f>
        <v>0</v>
      </c>
      <c r="CF8" s="97">
        <f ca="1">MIN(TblMili[[#This Row],[Unit 3]],TblMili[[#This Row],[Unit 2]])*2</f>
        <v>0</v>
      </c>
      <c r="CG8" s="97">
        <f ca="1">MIN(TblMili[[#This Row],[Unit 1]],TblMili[[#This Row],[Unit 4]])*2</f>
        <v>0</v>
      </c>
      <c r="CH8" s="266">
        <f ca="1">MIN(frost_mage_cap,TblMili[[#This Row],[Hill]]/frost_mage_bonus)</f>
        <v>2.1999999999999997</v>
      </c>
      <c r="CI8" s="45">
        <f ca="1">MIN(ice_elem_cap,TblMili[[#This Row],[Raw (2)]]*ice_elem_bonus)</f>
        <v>0.1</v>
      </c>
      <c r="CJ8" s="266">
        <f t="shared" si="0"/>
        <v>0.83333333333333337</v>
      </c>
      <c r="CK8" s="266">
        <f ca="1">MIN(nox_nightshade_cap,TblConstr[[#This Row],[Homeland]]/TblConstr[[#This Row],[Land]]/nox_nightshade_swamp_bonus)</f>
        <v>4</v>
      </c>
      <c r="CL8" s="267" t="s">
        <v>99</v>
      </c>
      <c r="CM8" s="267" t="b">
        <f t="shared" si="1"/>
        <v>0</v>
      </c>
      <c r="CN8" s="267"/>
      <c r="CO8" s="266">
        <f ca="1">MIN(6,TblMili[[#This Row],[Mystic]]+Races!$F$19)*1.8 +  IF(TblMili[[#This Row],[Mystic]]+Races!$F$19&gt;6,(TblMili[[#This Row],[Mystic]]+Races!$F$19-6)*0.2,0) - Races!$I$19</f>
        <v>3.6399999999999997</v>
      </c>
      <c r="CP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 s="97">
        <f ca="1">TblMili[[#This Row],[Mystic bonus]]*TblMili[[#This Row],[Unit 3]]+TblMili[[#This Row],[Druid bonus]]*TblMili[[#This Row],[Unit 4]]</f>
        <v>0</v>
      </c>
      <c r="CR8" s="158">
        <f ca="1">MIN(6,TblMili[[#This Row],[Dryad]]+Races!$F$35)*1.8 +  IF(TblMili[[#This Row],[Dryad]]+Races!$F$35&gt;6,(TblMili[[#This Row],[Dryad]]+Races!$F$35-6)*0.2,0) - Races!$I$19</f>
        <v>2.1599999999999993</v>
      </c>
      <c r="CS8" s="97">
        <f ca="1">sylvan*(TblMili[[#This Row],[Mystic bonus]]*TblMili[[#This Row],[Unit 3]])</f>
        <v>0</v>
      </c>
      <c r="CT8" s="158">
        <f ca="1">1.8 * MIN(MAX(Races!$E$27,TblMili[[#This Row],[Rockapult]]+Races!$F$27),6)  +  0.45 * MIN(MIN(Races!$E$27,TblMili[[#This Row],[Rockapult]]+Races!$F$27),6)  +  0.2 * ( MAX(Races!$E$27-6,0) + MAX(TblMili[[#This Row],[Rockapult]]+Races!$F$27-6,0) )  -  Races!$I$20</f>
        <v>5.8500000000000005</v>
      </c>
      <c r="CU8" s="97">
        <f ca="1">gnome*(TblMili[[#This Row],[Rockapult bonus]]*TblMili[[#This Row],[Unit 3]])</f>
        <v>0</v>
      </c>
      <c r="CV8" s="158">
        <f ca="1">1.8 * MIN(MAX(TblMili[[#This Row],[Spellblade]]+Races!$E$47,TblMili[[#This Row],[Adept-DP]]+Races!$F$47),6)  +  0.45 * MIN(MIN(TblMili[[#This Row],[Spellblade]]+Races!$E$47,TblMili[[#This Row],[Adept-DP]]+Races!$F$47),6)  +  0.2 * ( MAX(TblMili[[#This Row],[Spellblade]]+Races!$E$47-6,0) + MAX(TblMili[[#This Row],[Adept-DP]]+Races!$F$47-6,0) )  -  Races!$I$47</f>
        <v>0</v>
      </c>
      <c r="CW8" s="97">
        <f ca="1">dark_elf*(TblMili[[#This Row],[Adept bonus]]*TblMili[[#This Row],[Unit 3]])</f>
        <v>0</v>
      </c>
      <c r="CX8" s="158">
        <f ca="1">1.8 * MIN(MAX(TblMili[[#This Row],[Frost Mage]]+Races!$F$71,Races!$E$71),6)  +  0.45 * MIN(MIN(TblMili[[#This Row],[Frost Mage]]+Races!$F$71,Races!$E$71),6)  +  0.2 * ( MAX(TblMili[[#This Row],[Frost Mage]]+Races!$F$71-6,0) + MAX(Races!$E$71-6,0) )  -  Races!$I$71</f>
        <v>3.9599999999999991</v>
      </c>
      <c r="CY8" s="158">
        <f ca="1">1.8 * MIN(MAX(TblMili[[#This Row],[Ice Elemental]]+Races!$E$71,Races!$F$71),6)  +  0.45 * MIN(MIN(TblMili[[#This Row],[Ice Elemental]]+Races!$E$71,Races!$F$71),6)  +  0.2 * ( MAX(TblMili[[#This Row],[Ice Elemental]]+Races!$E$71-6,0) + MAX(Races!$F$71-6,0) )  -  Races!$I$71</f>
        <v>0.17999999999999972</v>
      </c>
      <c r="CZ8" s="97">
        <f ca="1">TblMili[[#This Row],[Frost Mage bonus]]*TblMili[[#This Row],[Unit 3]]+TblMili[[#This Row],[Ice Elemental bonus]]*TblMili[[#This Row],[Unit 4]]</f>
        <v>0</v>
      </c>
      <c r="DA8" s="268"/>
      <c r="DB8" s="146">
        <f ca="1">MIN(SUM(TblConstr[[#This Row],[Plain]:[Water]])/TblMili[[#This Row],[Land]]/favorable_terrain_bonus/100,favorable_terrain_max)</f>
        <v>0.1</v>
      </c>
      <c r="DC8" s="268"/>
      <c r="DD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 s="145"/>
      <c r="DF8" s="269">
        <f ca="1">(TblMili[[#This Row],[Wizards]]+2*TblMili[[#This Row],[Archmages]])/TblConstr[[#This Row],[Land]]</f>
        <v>0.1</v>
      </c>
      <c r="DG8" s="269">
        <f ca="1">TblMili[[#This Row],[Raw (2)]]*(1+race_wizard_strength+IF(TblMili[[#This Row],[Hour]]&gt;72,tech_magical_weaponry_wiz*TblTech[[#This Row],[3-5]],0))</f>
        <v>0.1</v>
      </c>
    </row>
    <row r="9" spans="1:111"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45458.208333333321</v>
      </c>
      <c r="AG9" s="182"/>
      <c r="AH9" s="182"/>
      <c r="AI9" s="182"/>
      <c r="AJ9" s="182"/>
      <c r="AK9" s="182"/>
      <c r="AL9" s="182"/>
      <c r="AM9" s="182"/>
      <c r="AN9" s="182"/>
      <c r="AO9" s="449">
        <f ca="1">IF(AND(TblMagic[[#This Row],[Active DnD]]&lt;12,TblMagic[[#This Row],[Active DnD]]&gt;5),OFFSET(TblPop[[#This Row],[Draft Growth]],-1,0)/2,0)</f>
        <v>0</v>
      </c>
      <c r="AP9" s="145"/>
      <c r="AQ9" s="97">
        <f ca="1">TblProd[[#This Row],[Platinum]]</f>
        <v>145003</v>
      </c>
      <c r="AR9" s="97">
        <f ca="1">INDEX(TblProd[[#Headers],[Lumber]]:TblProd[[#This Row],[Ore]],COUNTA(TblProd[[#Headers],[Lumber]]:TblProd[[#This Row],[Lumber]]),MATCH(Military!$AQ$2,TblProd[[#Headers],[Lumber]:[Ore]],0))</f>
        <v>0</v>
      </c>
      <c r="AS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7">
        <f ca="1">TblMili[[#This Row],[Train Unit 1]]*TblMili[[#This Row],[OP Ore]]+TblMili[[#This Row],[Train Unit 2]]*TblMili[[#This Row],[DP Ore]]+TblMili[[#This Row],[Train Unit 3]]*TblMili[[#This Row],[E1 Ore]]+TblMili[[#This Row],[Train Unit 4]]*TblMili[[#This Row],[E2 Ore]]</f>
        <v>0</v>
      </c>
      <c r="AU9" s="145">
        <f>TblMili[[#This Row],[Hour]]</f>
        <v>6</v>
      </c>
      <c r="AV9" s="155">
        <f ca="1">TblMili[[#This Row],[Time]]</f>
        <v>45458.208333333321</v>
      </c>
      <c r="AW9" s="97">
        <f ca="1">TblMili[[#This Row],[Draftees]]</f>
        <v>168</v>
      </c>
      <c r="AX9" s="182"/>
      <c r="AY9" s="182"/>
      <c r="AZ9" s="182"/>
      <c r="BA9" s="182"/>
      <c r="BB9" s="182"/>
      <c r="BC9" s="182"/>
      <c r="BD9" s="182"/>
      <c r="BE9" s="182"/>
      <c r="BF9" s="182"/>
      <c r="BG9" s="145"/>
      <c r="BH9" s="160">
        <f ca="1">TblConstr[[#This Row],[Tot WG]]/TblConstr[[#This Row],[Land]]</f>
        <v>0</v>
      </c>
      <c r="BI9" s="160">
        <f ca="1">TblConstr[[#This Row],[Tot Hav]]/TblConstr[[#This Row],[Land]]</f>
        <v>0</v>
      </c>
      <c r="BJ9" s="97">
        <f ca="1">ROUNDUP((1-MIN(TblMili[[#This Row],[Smithies]]*smithy_bonus,smithy_bonus_cap) + tech_3_5*TblTech[[#This Row],[3-5]] + tech_5_3*TblTech[[#This Row],[5-3]] + tech_5_5*TblTech[[#This Row],[5-5]])*spec_op_plat,0)</f>
        <v>275</v>
      </c>
      <c r="BK9" s="97">
        <f ca="1">ROUNDUP(IF(race="Gnome",1,(1-MIN(TblMili[[#This Row],[Smithies]]*smithy_bonus,smithy_bonus_cap) + tech_3_5*TblTech[[#This Row],[3-5]] + tech_5_3*TblTech[[#This Row],[5-3]] + tech_5_5*TblTech[[#This Row],[5-5]]))*spec_op_ore,0)</f>
        <v>25</v>
      </c>
      <c r="BL9" s="97">
        <f ca="1">ROUNDUP((1-MIN(TblMili[[#This Row],[Smithies]]*smithy_bonus,smithy_bonus_cap) + tech_3_5*TblTech[[#This Row],[3-5]] + tech_5_3*TblTech[[#This Row],[5-3]] + tech_5_5*TblTech[[#This Row],[5-5]])*spec_dp_plat,0)</f>
        <v>275</v>
      </c>
      <c r="BM9" s="97">
        <f ca="1">ROUNDUP(IF(race="Gnome",1,(1-MIN(TblMili[[#This Row],[Smithies]]*smithy_bonus,smithy_bonus_cap) + tech_3_5*TblTech[[#This Row],[3-5]] + tech_5_3*TblTech[[#This Row],[5-3]] + tech_5_5*TblTech[[#This Row],[5-5]]))*spec_dp_ore,0)</f>
        <v>15</v>
      </c>
      <c r="BN9" s="97">
        <f ca="1">ROUNDUP((1-MIN(TblMili[[#This Row],[Smithies]]*smithy_bonus,smithy_bonus_cap) + tech_3_5*TblTech[[#This Row],[3-5]] + tech_5_3*TblTech[[#This Row],[5-3]] + tech_5_5*TblTech[[#This Row],[5-5]])*elite1_plat,0)</f>
        <v>1000</v>
      </c>
      <c r="BO9" s="97">
        <f ca="1">ROUNDUP(IF(race="Gnome",1,(1-MIN(TblMili[[#This Row],[Smithies]]*smithy_bonus,smithy_bonus_cap) + tech_3_5*TblTech[[#This Row],[3-5]] + tech_5_3*TblTech[[#This Row],[5-3]] + tech_5_5*TblTech[[#This Row],[5-5]]))*elite1_ore,0)</f>
        <v>75</v>
      </c>
      <c r="BP9" s="97">
        <f ca="1">ROUNDUP((1-MIN(TblMili[[#This Row],[Smithies]]*smithy_bonus,smithy_bonus_cap) + tech_3_5*TblTech[[#This Row],[3-5]] + tech_5_3*TblTech[[#This Row],[5-3]] + tech_5_5*TblTech[[#This Row],[5-5]])*elite2_plat,0)</f>
        <v>1250</v>
      </c>
      <c r="BQ9" s="97">
        <f ca="1">ROUNDUP(IF(race="Gnome",1,(1-MIN(TblMili[[#This Row],[Smithies]]*smithy_bonus,smithy_bonus_cap) + tech_3_5*TblTech[[#This Row],[3-5]] + tech_5_3*TblTech[[#This Row],[5-3]] + tech_5_5*TblTech[[#This Row],[5-5]]))*elite2_ore,0)</f>
        <v>100</v>
      </c>
      <c r="BR9" s="97">
        <f ca="1">ROUNDUP((1-MIN(ROUND(fh_spy_cost_red*TblMili[[#This Row],[FH''s]],4),fh_spy_cost_cap)+ tech_1_9*TblTech[[#This Row],[1-9]] + tech_9_1*TblTech[[#This Row],[9-1]])*spy_plat,0)</f>
        <v>500</v>
      </c>
      <c r="BS9" s="97">
        <f ca="1">ROUNDUP((1-MIN(ROUND(fh_spy_cost_red*TblMili[[#This Row],[FH''s]],4),fh_spy_cost_cap)+ tech_1_9*TblTech[[#This Row],[1-9]] + tech_9_1*TblTech[[#This Row],[9-1]])*archspy_plat,0)</f>
        <v>1000</v>
      </c>
      <c r="BT9" s="97">
        <f ca="1">ROUNDUP((1-MIN(ROUND(wg_wiz_cost_bonus*TblMili[[#This Row],[WG''s]],4),wg_wiz_cost_cap) + tech_1_9_2*TblTech[[#This Row],[1-9]] + tech_9_1_2*TblTech[[#This Row],[9-1]])*wizard_plat,0)</f>
        <v>500</v>
      </c>
      <c r="BU9" s="97">
        <f ca="1">ROUNDUP((1-MIN(ROUND(wg_wiz_cost_bonus*TblMili[[#This Row],[WG''s]],4),wg_wiz_cost_cap) + tech_1_9_2*TblTech[[#This Row],[1-9]] + tech_9_1_2*TblTech[[#This Row],[9-1]])*archmage_plat,0)</f>
        <v>1000</v>
      </c>
      <c r="BV9" s="145"/>
      <c r="BW9" s="160">
        <f ca="1">TblConstr[[#This Row],[Homeland]]/TblConstr[[#This Row],[Land]]</f>
        <v>0.44</v>
      </c>
      <c r="BX9" s="160">
        <f ca="1">TblMili[[#This Row],[WG''s]]</f>
        <v>0</v>
      </c>
      <c r="BY9" s="266">
        <f ca="1">IF(mystic_cap="none",TblMili[[#This Row],[Hill]]/mystic_bonus,MIN(mystic_cap,TblMili[[#This Row],[Hill]]/mystic_bonus))</f>
        <v>2.1999999999999997</v>
      </c>
      <c r="BZ9" s="266">
        <f ca="1">IF(druid_op_cap="none",TblMili[[#This Row],[Hill]]/druid_op_bonus,MIN(druid_op_cap,TblMili[[#This Row],[Hill]]/druid_op_bonus))</f>
        <v>2.1999999999999997</v>
      </c>
      <c r="CA9" s="266">
        <f ca="1">IF(druid_dp_cap="none",TblMili[[#This Row],[Hill]]/druid_dp_bonus,MIN(druid_dp_cap,TblMili[[#This Row],[Hill]]/druid_dp_bonus))</f>
        <v>2.1999999999999997</v>
      </c>
      <c r="CB9" s="266">
        <f ca="1">MIN(dryad_cap,TblMili[[#This Row],[Hill]]/dryad_bonus)</f>
        <v>2.1999999999999997</v>
      </c>
      <c r="CC9" s="266">
        <f ca="1">MIN(rocka_cap,TblMili[[#This Row],[Hill]]/rocka_bonus)</f>
        <v>2</v>
      </c>
      <c r="CD9" s="266">
        <f ca="1">MIN(adept_op_cap,TblMili[[#This Row],[WG]]/adept_op_bonus)</f>
        <v>0</v>
      </c>
      <c r="CE9" s="266">
        <f ca="1">MIN(adept_dp_cap,TblMili[[#This Row],[WG]]/adept_dp_bonus)</f>
        <v>0</v>
      </c>
      <c r="CF9" s="97">
        <f ca="1">MIN(TblMili[[#This Row],[Unit 3]],TblMili[[#This Row],[Unit 2]])*2</f>
        <v>0</v>
      </c>
      <c r="CG9" s="97">
        <f ca="1">MIN(TblMili[[#This Row],[Unit 1]],TblMili[[#This Row],[Unit 4]])*2</f>
        <v>0</v>
      </c>
      <c r="CH9" s="266">
        <f ca="1">MIN(frost_mage_cap,TblMili[[#This Row],[Hill]]/frost_mage_bonus)</f>
        <v>2.1999999999999997</v>
      </c>
      <c r="CI9" s="45">
        <f ca="1">MIN(ice_elem_cap,TblMili[[#This Row],[Raw (2)]]*ice_elem_bonus)</f>
        <v>0.1</v>
      </c>
      <c r="CJ9" s="266">
        <f t="shared" si="0"/>
        <v>0.83333333333333337</v>
      </c>
      <c r="CK9" s="266">
        <f ca="1">MIN(nox_nightshade_cap,TblConstr[[#This Row],[Homeland]]/TblConstr[[#This Row],[Land]]/nox_nightshade_swamp_bonus)</f>
        <v>4</v>
      </c>
      <c r="CL9" s="267" t="s">
        <v>103</v>
      </c>
      <c r="CM9" s="267" t="b">
        <f t="shared" si="1"/>
        <v>0</v>
      </c>
      <c r="CN9" s="267"/>
      <c r="CO9" s="266">
        <f ca="1">MIN(6,TblMili[[#This Row],[Mystic]]+Races!$F$19)*1.8 +  IF(TblMili[[#This Row],[Mystic]]+Races!$F$19&gt;6,(TblMili[[#This Row],[Mystic]]+Races!$F$19-6)*0.2,0) - Races!$I$19</f>
        <v>3.6399999999999997</v>
      </c>
      <c r="CP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 s="97">
        <f ca="1">TblMili[[#This Row],[Mystic bonus]]*TblMili[[#This Row],[Unit 3]]+TblMili[[#This Row],[Druid bonus]]*TblMili[[#This Row],[Unit 4]]</f>
        <v>0</v>
      </c>
      <c r="CR9" s="158">
        <f ca="1">MIN(6,TblMili[[#This Row],[Dryad]]+Races!$F$35)*1.8 +  IF(TblMili[[#This Row],[Dryad]]+Races!$F$35&gt;6,(TblMili[[#This Row],[Dryad]]+Races!$F$35-6)*0.2,0) - Races!$I$19</f>
        <v>2.1599999999999993</v>
      </c>
      <c r="CS9" s="97">
        <f ca="1">sylvan*(TblMili[[#This Row],[Mystic bonus]]*TblMili[[#This Row],[Unit 3]])</f>
        <v>0</v>
      </c>
      <c r="CT9" s="158">
        <f ca="1">1.8 * MIN(MAX(Races!$E$27,TblMili[[#This Row],[Rockapult]]+Races!$F$27),6)  +  0.45 * MIN(MIN(Races!$E$27,TblMili[[#This Row],[Rockapult]]+Races!$F$27),6)  +  0.2 * ( MAX(Races!$E$27-6,0) + MAX(TblMili[[#This Row],[Rockapult]]+Races!$F$27-6,0) )  -  Races!$I$20</f>
        <v>5.8500000000000005</v>
      </c>
      <c r="CU9" s="97">
        <f ca="1">gnome*(TblMili[[#This Row],[Rockapult bonus]]*TblMili[[#This Row],[Unit 3]])</f>
        <v>0</v>
      </c>
      <c r="CV9" s="158">
        <f ca="1">1.8 * MIN(MAX(TblMili[[#This Row],[Spellblade]]+Races!$E$47,TblMili[[#This Row],[Adept-DP]]+Races!$F$47),6)  +  0.45 * MIN(MIN(TblMili[[#This Row],[Spellblade]]+Races!$E$47,TblMili[[#This Row],[Adept-DP]]+Races!$F$47),6)  +  0.2 * ( MAX(TblMili[[#This Row],[Spellblade]]+Races!$E$47-6,0) + MAX(TblMili[[#This Row],[Adept-DP]]+Races!$F$47-6,0) )  -  Races!$I$47</f>
        <v>0</v>
      </c>
      <c r="CW9" s="97">
        <f ca="1">dark_elf*(TblMili[[#This Row],[Adept bonus]]*TblMili[[#This Row],[Unit 3]])</f>
        <v>0</v>
      </c>
      <c r="CX9" s="158">
        <f ca="1">1.8 * MIN(MAX(TblMili[[#This Row],[Frost Mage]]+Races!$F$71,Races!$E$71),6)  +  0.45 * MIN(MIN(TblMili[[#This Row],[Frost Mage]]+Races!$F$71,Races!$E$71),6)  +  0.2 * ( MAX(TblMili[[#This Row],[Frost Mage]]+Races!$F$71-6,0) + MAX(Races!$E$71-6,0) )  -  Races!$I$71</f>
        <v>3.9599999999999991</v>
      </c>
      <c r="CY9" s="158">
        <f ca="1">1.8 * MIN(MAX(TblMili[[#This Row],[Ice Elemental]]+Races!$E$71,Races!$F$71),6)  +  0.45 * MIN(MIN(TblMili[[#This Row],[Ice Elemental]]+Races!$E$71,Races!$F$71),6)  +  0.2 * ( MAX(TblMili[[#This Row],[Ice Elemental]]+Races!$E$71-6,0) + MAX(Races!$F$71-6,0) )  -  Races!$I$71</f>
        <v>0.17999999999999972</v>
      </c>
      <c r="CZ9" s="97">
        <f ca="1">TblMili[[#This Row],[Frost Mage bonus]]*TblMili[[#This Row],[Unit 3]]+TblMili[[#This Row],[Ice Elemental bonus]]*TblMili[[#This Row],[Unit 4]]</f>
        <v>0</v>
      </c>
      <c r="DA9" s="268"/>
      <c r="DB9" s="146">
        <f ca="1">MIN(SUM(TblConstr[[#This Row],[Plain]:[Water]])/TblMili[[#This Row],[Land]]/favorable_terrain_bonus/100,favorable_terrain_max)</f>
        <v>0.1</v>
      </c>
      <c r="DC9" s="268"/>
      <c r="DD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 s="145"/>
      <c r="DF9" s="269">
        <f ca="1">(TblMili[[#This Row],[Wizards]]+2*TblMili[[#This Row],[Archmages]])/TblConstr[[#This Row],[Land]]</f>
        <v>0.1</v>
      </c>
      <c r="DG9" s="269">
        <f ca="1">TblMili[[#This Row],[Raw (2)]]*(1+race_wizard_strength+IF(TblMili[[#This Row],[Hour]]&gt;72,tech_magical_weaponry_wiz*TblTech[[#This Row],[3-5]],0))</f>
        <v>0.1</v>
      </c>
    </row>
    <row r="10" spans="1:111"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45458.249999999985</v>
      </c>
      <c r="AG10" s="182"/>
      <c r="AH10" s="182"/>
      <c r="AI10" s="182"/>
      <c r="AJ10" s="182"/>
      <c r="AK10" s="182"/>
      <c r="AL10" s="182"/>
      <c r="AM10" s="182"/>
      <c r="AN10" s="182"/>
      <c r="AO10" s="449">
        <f ca="1">IF(AND(TblMagic[[#This Row],[Active DnD]]&lt;12,TblMagic[[#This Row],[Active DnD]]&gt;5),OFFSET(TblPop[[#This Row],[Draft Growth]],-1,0)/2,0)</f>
        <v>0</v>
      </c>
      <c r="AP10" s="449"/>
      <c r="AQ10" s="97">
        <f ca="1">TblProd[[#This Row],[Platinum]]</f>
        <v>150222</v>
      </c>
      <c r="AR10" s="97">
        <f ca="1">INDEX(TblProd[[#Headers],[Lumber]]:TblProd[[#This Row],[Ore]],COUNTA(TblProd[[#Headers],[Lumber]]:TblProd[[#This Row],[Lumber]]),MATCH(Military!$AQ$2,TblProd[[#Headers],[Lumber]:[Ore]],0))</f>
        <v>0</v>
      </c>
      <c r="AS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7">
        <f ca="1">TblMili[[#This Row],[Train Unit 1]]*TblMili[[#This Row],[OP Ore]]+TblMili[[#This Row],[Train Unit 2]]*TblMili[[#This Row],[DP Ore]]+TblMili[[#This Row],[Train Unit 3]]*TblMili[[#This Row],[E1 Ore]]+TblMili[[#This Row],[Train Unit 4]]*TblMili[[#This Row],[E2 Ore]]</f>
        <v>0</v>
      </c>
      <c r="AU10" s="145">
        <f>TblMili[[#This Row],[Hour]]</f>
        <v>7</v>
      </c>
      <c r="AV10" s="155">
        <f ca="1">TblMili[[#This Row],[Time]]</f>
        <v>45458.249999999985</v>
      </c>
      <c r="AW10" s="97">
        <f ca="1">TblMili[[#This Row],[Draftees]]</f>
        <v>182</v>
      </c>
      <c r="AX10" s="182"/>
      <c r="AY10" s="182"/>
      <c r="AZ10" s="182"/>
      <c r="BA10" s="182"/>
      <c r="BB10" s="182"/>
      <c r="BC10" s="182"/>
      <c r="BD10" s="182"/>
      <c r="BE10" s="182"/>
      <c r="BF10" s="182"/>
      <c r="BG10" s="145"/>
      <c r="BH10" s="160">
        <f ca="1">TblConstr[[#This Row],[Tot WG]]/TblConstr[[#This Row],[Land]]</f>
        <v>0</v>
      </c>
      <c r="BI10" s="160">
        <f ca="1">TblConstr[[#This Row],[Tot Hav]]/TblConstr[[#This Row],[Land]]</f>
        <v>0</v>
      </c>
      <c r="BJ10" s="97">
        <f ca="1">ROUNDUP((1-MIN(TblMili[[#This Row],[Smithies]]*smithy_bonus,smithy_bonus_cap) + tech_3_5*TblTech[[#This Row],[3-5]] + tech_5_3*TblTech[[#This Row],[5-3]] + tech_5_5*TblTech[[#This Row],[5-5]])*spec_op_plat,0)</f>
        <v>275</v>
      </c>
      <c r="BK10" s="97">
        <f ca="1">ROUNDUP(IF(race="Gnome",1,(1-MIN(TblMili[[#This Row],[Smithies]]*smithy_bonus,smithy_bonus_cap) + tech_3_5*TblTech[[#This Row],[3-5]] + tech_5_3*TblTech[[#This Row],[5-3]] + tech_5_5*TblTech[[#This Row],[5-5]]))*spec_op_ore,0)</f>
        <v>25</v>
      </c>
      <c r="BL10" s="97">
        <f ca="1">ROUNDUP((1-MIN(TblMili[[#This Row],[Smithies]]*smithy_bonus,smithy_bonus_cap) + tech_3_5*TblTech[[#This Row],[3-5]] + tech_5_3*TblTech[[#This Row],[5-3]] + tech_5_5*TblTech[[#This Row],[5-5]])*spec_dp_plat,0)</f>
        <v>275</v>
      </c>
      <c r="BM10" s="97">
        <f ca="1">ROUNDUP(IF(race="Gnome",1,(1-MIN(TblMili[[#This Row],[Smithies]]*smithy_bonus,smithy_bonus_cap) + tech_3_5*TblTech[[#This Row],[3-5]] + tech_5_3*TblTech[[#This Row],[5-3]] + tech_5_5*TblTech[[#This Row],[5-5]]))*spec_dp_ore,0)</f>
        <v>15</v>
      </c>
      <c r="BN10" s="97">
        <f ca="1">ROUNDUP((1-MIN(TblMili[[#This Row],[Smithies]]*smithy_bonus,smithy_bonus_cap) + tech_3_5*TblTech[[#This Row],[3-5]] + tech_5_3*TblTech[[#This Row],[5-3]] + tech_5_5*TblTech[[#This Row],[5-5]])*elite1_plat,0)</f>
        <v>1000</v>
      </c>
      <c r="BO10" s="97">
        <f ca="1">ROUNDUP(IF(race="Gnome",1,(1-MIN(TblMili[[#This Row],[Smithies]]*smithy_bonus,smithy_bonus_cap) + tech_3_5*TblTech[[#This Row],[3-5]] + tech_5_3*TblTech[[#This Row],[5-3]] + tech_5_5*TblTech[[#This Row],[5-5]]))*elite1_ore,0)</f>
        <v>75</v>
      </c>
      <c r="BP10" s="97">
        <f ca="1">ROUNDUP((1-MIN(TblMili[[#This Row],[Smithies]]*smithy_bonus,smithy_bonus_cap) + tech_3_5*TblTech[[#This Row],[3-5]] + tech_5_3*TblTech[[#This Row],[5-3]] + tech_5_5*TblTech[[#This Row],[5-5]])*elite2_plat,0)</f>
        <v>1250</v>
      </c>
      <c r="BQ10" s="97">
        <f ca="1">ROUNDUP(IF(race="Gnome",1,(1-MIN(TblMili[[#This Row],[Smithies]]*smithy_bonus,smithy_bonus_cap) + tech_3_5*TblTech[[#This Row],[3-5]] + tech_5_3*TblTech[[#This Row],[5-3]] + tech_5_5*TblTech[[#This Row],[5-5]]))*elite2_ore,0)</f>
        <v>100</v>
      </c>
      <c r="BR10" s="97">
        <f ca="1">ROUNDUP((1-MIN(ROUND(fh_spy_cost_red*TblMili[[#This Row],[FH''s]],4),fh_spy_cost_cap)+ tech_1_9*TblTech[[#This Row],[1-9]] + tech_9_1*TblTech[[#This Row],[9-1]])*spy_plat,0)</f>
        <v>500</v>
      </c>
      <c r="BS10" s="97">
        <f ca="1">ROUNDUP((1-MIN(ROUND(fh_spy_cost_red*TblMili[[#This Row],[FH''s]],4),fh_spy_cost_cap)+ tech_1_9*TblTech[[#This Row],[1-9]] + tech_9_1*TblTech[[#This Row],[9-1]])*archspy_plat,0)</f>
        <v>1000</v>
      </c>
      <c r="BT10" s="97">
        <f ca="1">ROUNDUP((1-MIN(ROUND(wg_wiz_cost_bonus*TblMili[[#This Row],[WG''s]],4),wg_wiz_cost_cap) + tech_1_9_2*TblTech[[#This Row],[1-9]] + tech_9_1_2*TblTech[[#This Row],[9-1]])*wizard_plat,0)</f>
        <v>500</v>
      </c>
      <c r="BU10" s="97">
        <f ca="1">ROUNDUP((1-MIN(ROUND(wg_wiz_cost_bonus*TblMili[[#This Row],[WG''s]],4),wg_wiz_cost_cap) + tech_1_9_2*TblTech[[#This Row],[1-9]] + tech_9_1_2*TblTech[[#This Row],[9-1]])*archmage_plat,0)</f>
        <v>1000</v>
      </c>
      <c r="BV10" s="145"/>
      <c r="BW10" s="160">
        <f ca="1">TblConstr[[#This Row],[Homeland]]/TblConstr[[#This Row],[Land]]</f>
        <v>0.44</v>
      </c>
      <c r="BX10" s="160">
        <f ca="1">TblMili[[#This Row],[WG''s]]</f>
        <v>0</v>
      </c>
      <c r="BY10" s="266">
        <f ca="1">IF(mystic_cap="none",TblMili[[#This Row],[Hill]]/mystic_bonus,MIN(mystic_cap,TblMili[[#This Row],[Hill]]/mystic_bonus))</f>
        <v>2.1999999999999997</v>
      </c>
      <c r="BZ10" s="266">
        <f ca="1">IF(druid_op_cap="none",TblMili[[#This Row],[Hill]]/druid_op_bonus,MIN(druid_op_cap,TblMili[[#This Row],[Hill]]/druid_op_bonus))</f>
        <v>2.1999999999999997</v>
      </c>
      <c r="CA10" s="266">
        <f ca="1">IF(druid_dp_cap="none",TblMili[[#This Row],[Hill]]/druid_dp_bonus,MIN(druid_dp_cap,TblMili[[#This Row],[Hill]]/druid_dp_bonus))</f>
        <v>2.1999999999999997</v>
      </c>
      <c r="CB10" s="266">
        <f ca="1">MIN(dryad_cap,TblMili[[#This Row],[Hill]]/dryad_bonus)</f>
        <v>2.1999999999999997</v>
      </c>
      <c r="CC10" s="266">
        <f ca="1">MIN(rocka_cap,TblMili[[#This Row],[Hill]]/rocka_bonus)</f>
        <v>2</v>
      </c>
      <c r="CD10" s="266">
        <f ca="1">MIN(adept_op_cap,TblMili[[#This Row],[WG]]/adept_op_bonus)</f>
        <v>0</v>
      </c>
      <c r="CE10" s="266">
        <f ca="1">MIN(adept_dp_cap,TblMili[[#This Row],[WG]]/adept_dp_bonus)</f>
        <v>0</v>
      </c>
      <c r="CF10" s="97">
        <f ca="1">MIN(TblMili[[#This Row],[Unit 3]],TblMili[[#This Row],[Unit 2]])*2</f>
        <v>0</v>
      </c>
      <c r="CG10" s="97">
        <f ca="1">MIN(TblMili[[#This Row],[Unit 1]],TblMili[[#This Row],[Unit 4]])*2</f>
        <v>0</v>
      </c>
      <c r="CH10" s="266">
        <f ca="1">MIN(frost_mage_cap,TblMili[[#This Row],[Hill]]/frost_mage_bonus)</f>
        <v>2.1999999999999997</v>
      </c>
      <c r="CI10" s="45">
        <f ca="1">MIN(ice_elem_cap,TblMili[[#This Row],[Raw (2)]]*ice_elem_bonus)</f>
        <v>0.1</v>
      </c>
      <c r="CJ10" s="266">
        <f t="shared" si="0"/>
        <v>0.83333333333333337</v>
      </c>
      <c r="CK10" s="266">
        <f ca="1">MIN(nox_nightshade_cap,TblConstr[[#This Row],[Homeland]]/TblConstr[[#This Row],[Land]]/nox_nightshade_swamp_bonus)</f>
        <v>4</v>
      </c>
      <c r="CL10" s="267" t="s">
        <v>329</v>
      </c>
      <c r="CM10" s="267" t="b">
        <f t="shared" si="1"/>
        <v>0</v>
      </c>
      <c r="CN10" s="267"/>
      <c r="CO10" s="266">
        <f ca="1">MIN(6,TblMili[[#This Row],[Mystic]]+Races!$F$19)*1.8 +  IF(TblMili[[#This Row],[Mystic]]+Races!$F$19&gt;6,(TblMili[[#This Row],[Mystic]]+Races!$F$19-6)*0.2,0) - Races!$I$19</f>
        <v>3.6399999999999997</v>
      </c>
      <c r="CP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 s="97">
        <f ca="1">TblMili[[#This Row],[Mystic bonus]]*TblMili[[#This Row],[Unit 3]]+TblMili[[#This Row],[Druid bonus]]*TblMili[[#This Row],[Unit 4]]</f>
        <v>0</v>
      </c>
      <c r="CR10" s="158">
        <f ca="1">MIN(6,TblMili[[#This Row],[Dryad]]+Races!$F$35)*1.8 +  IF(TblMili[[#This Row],[Dryad]]+Races!$F$35&gt;6,(TblMili[[#This Row],[Dryad]]+Races!$F$35-6)*0.2,0) - Races!$I$19</f>
        <v>2.1599999999999993</v>
      </c>
      <c r="CS10" s="97">
        <f ca="1">sylvan*(TblMili[[#This Row],[Mystic bonus]]*TblMili[[#This Row],[Unit 3]])</f>
        <v>0</v>
      </c>
      <c r="CT10" s="158">
        <f ca="1">1.8 * MIN(MAX(Races!$E$27,TblMili[[#This Row],[Rockapult]]+Races!$F$27),6)  +  0.45 * MIN(MIN(Races!$E$27,TblMili[[#This Row],[Rockapult]]+Races!$F$27),6)  +  0.2 * ( MAX(Races!$E$27-6,0) + MAX(TblMili[[#This Row],[Rockapult]]+Races!$F$27-6,0) )  -  Races!$I$20</f>
        <v>5.8500000000000005</v>
      </c>
      <c r="CU10" s="97">
        <f ca="1">gnome*(TblMili[[#This Row],[Rockapult bonus]]*TblMili[[#This Row],[Unit 3]])</f>
        <v>0</v>
      </c>
      <c r="CV10" s="158">
        <f ca="1">1.8 * MIN(MAX(TblMili[[#This Row],[Spellblade]]+Races!$E$47,TblMili[[#This Row],[Adept-DP]]+Races!$F$47),6)  +  0.45 * MIN(MIN(TblMili[[#This Row],[Spellblade]]+Races!$E$47,TblMili[[#This Row],[Adept-DP]]+Races!$F$47),6)  +  0.2 * ( MAX(TblMili[[#This Row],[Spellblade]]+Races!$E$47-6,0) + MAX(TblMili[[#This Row],[Adept-DP]]+Races!$F$47-6,0) )  -  Races!$I$47</f>
        <v>0</v>
      </c>
      <c r="CW10" s="97">
        <f ca="1">dark_elf*(TblMili[[#This Row],[Adept bonus]]*TblMili[[#This Row],[Unit 3]])</f>
        <v>0</v>
      </c>
      <c r="CX10" s="158">
        <f ca="1">1.8 * MIN(MAX(TblMili[[#This Row],[Frost Mage]]+Races!$F$71,Races!$E$71),6)  +  0.45 * MIN(MIN(TblMili[[#This Row],[Frost Mage]]+Races!$F$71,Races!$E$71),6)  +  0.2 * ( MAX(TblMili[[#This Row],[Frost Mage]]+Races!$F$71-6,0) + MAX(Races!$E$71-6,0) )  -  Races!$I$71</f>
        <v>3.9599999999999991</v>
      </c>
      <c r="CY10" s="158">
        <f ca="1">1.8 * MIN(MAX(TblMili[[#This Row],[Ice Elemental]]+Races!$E$71,Races!$F$71),6)  +  0.45 * MIN(MIN(TblMili[[#This Row],[Ice Elemental]]+Races!$E$71,Races!$F$71),6)  +  0.2 * ( MAX(TblMili[[#This Row],[Ice Elemental]]+Races!$E$71-6,0) + MAX(Races!$F$71-6,0) )  -  Races!$I$71</f>
        <v>0.17999999999999972</v>
      </c>
      <c r="CZ10" s="97">
        <f ca="1">TblMili[[#This Row],[Frost Mage bonus]]*TblMili[[#This Row],[Unit 3]]+TblMili[[#This Row],[Ice Elemental bonus]]*TblMili[[#This Row],[Unit 4]]</f>
        <v>0</v>
      </c>
      <c r="DA10" s="268"/>
      <c r="DB10" s="146">
        <f ca="1">MIN(SUM(TblConstr[[#This Row],[Plain]:[Water]])/TblMili[[#This Row],[Land]]/favorable_terrain_bonus/100,favorable_terrain_max)</f>
        <v>0.1</v>
      </c>
      <c r="DC10" s="268"/>
      <c r="DD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 s="145"/>
      <c r="DF10" s="269">
        <f ca="1">(TblMili[[#This Row],[Wizards]]+2*TblMili[[#This Row],[Archmages]])/TblConstr[[#This Row],[Land]]</f>
        <v>0.1</v>
      </c>
      <c r="DG10" s="269">
        <f ca="1">TblMili[[#This Row],[Raw (2)]]*(1+race_wizard_strength+IF(TblMili[[#This Row],[Hour]]&gt;72,tech_magical_weaponry_wiz*TblTech[[#This Row],[3-5]],0))</f>
        <v>0.1</v>
      </c>
    </row>
    <row r="11" spans="1:111"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45458.29166666665</v>
      </c>
      <c r="AG11" s="182"/>
      <c r="AH11" s="182"/>
      <c r="AI11" s="182"/>
      <c r="AJ11" s="182"/>
      <c r="AK11" s="182"/>
      <c r="AL11" s="182"/>
      <c r="AM11" s="182"/>
      <c r="AN11" s="182"/>
      <c r="AO11" s="449">
        <f ca="1">IF(AND(TblMagic[[#This Row],[Active DnD]]&lt;12,TblMagic[[#This Row],[Active DnD]]&gt;5),OFFSET(TblPop[[#This Row],[Draft Growth]],-1,0)/2,0)</f>
        <v>0</v>
      </c>
      <c r="AP11" s="145"/>
      <c r="AQ11" s="97">
        <f ca="1">TblProd[[#This Row],[Platinum]]</f>
        <v>155519</v>
      </c>
      <c r="AR11" s="97">
        <f ca="1">INDEX(TblProd[[#Headers],[Lumber]]:TblProd[[#This Row],[Ore]],COUNTA(TblProd[[#Headers],[Lumber]]:TblProd[[#This Row],[Lumber]]),MATCH(Military!$AQ$2,TblProd[[#Headers],[Lumber]:[Ore]],0))</f>
        <v>0</v>
      </c>
      <c r="AS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7">
        <f ca="1">TblMili[[#This Row],[Train Unit 1]]*TblMili[[#This Row],[OP Ore]]+TblMili[[#This Row],[Train Unit 2]]*TblMili[[#This Row],[DP Ore]]+TblMili[[#This Row],[Train Unit 3]]*TblMili[[#This Row],[E1 Ore]]+TblMili[[#This Row],[Train Unit 4]]*TblMili[[#This Row],[E2 Ore]]</f>
        <v>0</v>
      </c>
      <c r="AU11" s="145">
        <f>TblMili[[#This Row],[Hour]]</f>
        <v>8</v>
      </c>
      <c r="AV11" s="155">
        <f ca="1">TblMili[[#This Row],[Time]]</f>
        <v>45458.29166666665</v>
      </c>
      <c r="AW11" s="97">
        <f ca="1">TblMili[[#This Row],[Draftees]]</f>
        <v>197</v>
      </c>
      <c r="AX11" s="182"/>
      <c r="AY11" s="182"/>
      <c r="AZ11" s="182"/>
      <c r="BA11" s="182"/>
      <c r="BB11" s="182"/>
      <c r="BC11" s="182"/>
      <c r="BD11" s="182"/>
      <c r="BE11" s="182"/>
      <c r="BF11" s="182"/>
      <c r="BG11" s="145"/>
      <c r="BH11" s="160">
        <f ca="1">TblConstr[[#This Row],[Tot WG]]/TblConstr[[#This Row],[Land]]</f>
        <v>0</v>
      </c>
      <c r="BI11" s="160">
        <f ca="1">TblConstr[[#This Row],[Tot Hav]]/TblConstr[[#This Row],[Land]]</f>
        <v>0</v>
      </c>
      <c r="BJ11" s="97">
        <f ca="1">ROUNDUP((1-MIN(TblMili[[#This Row],[Smithies]]*smithy_bonus,smithy_bonus_cap) + tech_3_5*TblTech[[#This Row],[3-5]] + tech_5_3*TblTech[[#This Row],[5-3]] + tech_5_5*TblTech[[#This Row],[5-5]])*spec_op_plat,0)</f>
        <v>275</v>
      </c>
      <c r="BK11" s="97">
        <f ca="1">ROUNDUP(IF(race="Gnome",1,(1-MIN(TblMili[[#This Row],[Smithies]]*smithy_bonus,smithy_bonus_cap) + tech_3_5*TblTech[[#This Row],[3-5]] + tech_5_3*TblTech[[#This Row],[5-3]] + tech_5_5*TblTech[[#This Row],[5-5]]))*spec_op_ore,0)</f>
        <v>25</v>
      </c>
      <c r="BL11" s="97">
        <f ca="1">ROUNDUP((1-MIN(TblMili[[#This Row],[Smithies]]*smithy_bonus,smithy_bonus_cap) + tech_3_5*TblTech[[#This Row],[3-5]] + tech_5_3*TblTech[[#This Row],[5-3]] + tech_5_5*TblTech[[#This Row],[5-5]])*spec_dp_plat,0)</f>
        <v>275</v>
      </c>
      <c r="BM11" s="97">
        <f ca="1">ROUNDUP(IF(race="Gnome",1,(1-MIN(TblMili[[#This Row],[Smithies]]*smithy_bonus,smithy_bonus_cap) + tech_3_5*TblTech[[#This Row],[3-5]] + tech_5_3*TblTech[[#This Row],[5-3]] + tech_5_5*TblTech[[#This Row],[5-5]]))*spec_dp_ore,0)</f>
        <v>15</v>
      </c>
      <c r="BN11" s="97">
        <f ca="1">ROUNDUP((1-MIN(TblMili[[#This Row],[Smithies]]*smithy_bonus,smithy_bonus_cap) + tech_3_5*TblTech[[#This Row],[3-5]] + tech_5_3*TblTech[[#This Row],[5-3]] + tech_5_5*TblTech[[#This Row],[5-5]])*elite1_plat,0)</f>
        <v>1000</v>
      </c>
      <c r="BO11" s="97">
        <f ca="1">ROUNDUP(IF(race="Gnome",1,(1-MIN(TblMili[[#This Row],[Smithies]]*smithy_bonus,smithy_bonus_cap) + tech_3_5*TblTech[[#This Row],[3-5]] + tech_5_3*TblTech[[#This Row],[5-3]] + tech_5_5*TblTech[[#This Row],[5-5]]))*elite1_ore,0)</f>
        <v>75</v>
      </c>
      <c r="BP11" s="97">
        <f ca="1">ROUNDUP((1-MIN(TblMili[[#This Row],[Smithies]]*smithy_bonus,smithy_bonus_cap) + tech_3_5*TblTech[[#This Row],[3-5]] + tech_5_3*TblTech[[#This Row],[5-3]] + tech_5_5*TblTech[[#This Row],[5-5]])*elite2_plat,0)</f>
        <v>1250</v>
      </c>
      <c r="BQ11" s="97">
        <f ca="1">ROUNDUP(IF(race="Gnome",1,(1-MIN(TblMili[[#This Row],[Smithies]]*smithy_bonus,smithy_bonus_cap) + tech_3_5*TblTech[[#This Row],[3-5]] + tech_5_3*TblTech[[#This Row],[5-3]] + tech_5_5*TblTech[[#This Row],[5-5]]))*elite2_ore,0)</f>
        <v>100</v>
      </c>
      <c r="BR11" s="97">
        <f ca="1">ROUNDUP((1-MIN(ROUND(fh_spy_cost_red*TblMili[[#This Row],[FH''s]],4),fh_spy_cost_cap)+ tech_1_9*TblTech[[#This Row],[1-9]] + tech_9_1*TblTech[[#This Row],[9-1]])*spy_plat,0)</f>
        <v>500</v>
      </c>
      <c r="BS11" s="97">
        <f ca="1">ROUNDUP((1-MIN(ROUND(fh_spy_cost_red*TblMili[[#This Row],[FH''s]],4),fh_spy_cost_cap)+ tech_1_9*TblTech[[#This Row],[1-9]] + tech_9_1*TblTech[[#This Row],[9-1]])*archspy_plat,0)</f>
        <v>1000</v>
      </c>
      <c r="BT11" s="97">
        <f ca="1">ROUNDUP((1-MIN(ROUND(wg_wiz_cost_bonus*TblMili[[#This Row],[WG''s]],4),wg_wiz_cost_cap) + tech_1_9_2*TblTech[[#This Row],[1-9]] + tech_9_1_2*TblTech[[#This Row],[9-1]])*wizard_plat,0)</f>
        <v>500</v>
      </c>
      <c r="BU11" s="97">
        <f ca="1">ROUNDUP((1-MIN(ROUND(wg_wiz_cost_bonus*TblMili[[#This Row],[WG''s]],4),wg_wiz_cost_cap) + tech_1_9_2*TblTech[[#This Row],[1-9]] + tech_9_1_2*TblTech[[#This Row],[9-1]])*archmage_plat,0)</f>
        <v>1000</v>
      </c>
      <c r="BV11" s="145"/>
      <c r="BW11" s="160">
        <f ca="1">TblConstr[[#This Row],[Homeland]]/TblConstr[[#This Row],[Land]]</f>
        <v>0.44</v>
      </c>
      <c r="BX11" s="160">
        <f ca="1">TblMili[[#This Row],[WG''s]]</f>
        <v>0</v>
      </c>
      <c r="BY11" s="266">
        <f ca="1">IF(mystic_cap="none",TblMili[[#This Row],[Hill]]/mystic_bonus,MIN(mystic_cap,TblMili[[#This Row],[Hill]]/mystic_bonus))</f>
        <v>2.1999999999999997</v>
      </c>
      <c r="BZ11" s="266">
        <f ca="1">IF(druid_op_cap="none",TblMili[[#This Row],[Hill]]/druid_op_bonus,MIN(druid_op_cap,TblMili[[#This Row],[Hill]]/druid_op_bonus))</f>
        <v>2.1999999999999997</v>
      </c>
      <c r="CA11" s="266">
        <f ca="1">IF(druid_dp_cap="none",TblMili[[#This Row],[Hill]]/druid_dp_bonus,MIN(druid_dp_cap,TblMili[[#This Row],[Hill]]/druid_dp_bonus))</f>
        <v>2.1999999999999997</v>
      </c>
      <c r="CB11" s="266">
        <f ca="1">MIN(dryad_cap,TblMili[[#This Row],[Hill]]/dryad_bonus)</f>
        <v>2.1999999999999997</v>
      </c>
      <c r="CC11" s="266">
        <f ca="1">MIN(rocka_cap,TblMili[[#This Row],[Hill]]/rocka_bonus)</f>
        <v>2</v>
      </c>
      <c r="CD11" s="266">
        <f ca="1">MIN(adept_op_cap,TblMili[[#This Row],[WG]]/adept_op_bonus)</f>
        <v>0</v>
      </c>
      <c r="CE11" s="266">
        <f ca="1">MIN(adept_dp_cap,TblMili[[#This Row],[WG]]/adept_dp_bonus)</f>
        <v>0</v>
      </c>
      <c r="CF11" s="97">
        <f ca="1">MIN(TblMili[[#This Row],[Unit 3]],TblMili[[#This Row],[Unit 2]])*2</f>
        <v>0</v>
      </c>
      <c r="CG11" s="97">
        <f ca="1">MIN(TblMili[[#This Row],[Unit 1]],TblMili[[#This Row],[Unit 4]])*2</f>
        <v>0</v>
      </c>
      <c r="CH11" s="266">
        <f ca="1">MIN(frost_mage_cap,TblMili[[#This Row],[Hill]]/frost_mage_bonus)</f>
        <v>2.1999999999999997</v>
      </c>
      <c r="CI11" s="45">
        <f ca="1">MIN(ice_elem_cap,TblMili[[#This Row],[Raw (2)]]*ice_elem_bonus)</f>
        <v>0.1</v>
      </c>
      <c r="CJ11" s="266">
        <f t="shared" si="0"/>
        <v>0.83333333333333337</v>
      </c>
      <c r="CK11" s="266">
        <f ca="1">MIN(nox_nightshade_cap,TblConstr[[#This Row],[Homeland]]/TblConstr[[#This Row],[Land]]/nox_nightshade_swamp_bonus)</f>
        <v>4</v>
      </c>
      <c r="CL11" s="267" t="s">
        <v>144</v>
      </c>
      <c r="CM11" s="267" t="b">
        <f t="shared" si="1"/>
        <v>0</v>
      </c>
      <c r="CN11" s="267"/>
      <c r="CO11" s="266">
        <f ca="1">MIN(6,TblMili[[#This Row],[Mystic]]+Races!$F$19)*1.8 +  IF(TblMili[[#This Row],[Mystic]]+Races!$F$19&gt;6,(TblMili[[#This Row],[Mystic]]+Races!$F$19-6)*0.2,0) - Races!$I$19</f>
        <v>3.6399999999999997</v>
      </c>
      <c r="CP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 s="97">
        <f ca="1">TblMili[[#This Row],[Mystic bonus]]*TblMili[[#This Row],[Unit 3]]+TblMili[[#This Row],[Druid bonus]]*TblMili[[#This Row],[Unit 4]]</f>
        <v>0</v>
      </c>
      <c r="CR11" s="158">
        <f ca="1">MIN(6,TblMili[[#This Row],[Dryad]]+Races!$F$35)*1.8 +  IF(TblMili[[#This Row],[Dryad]]+Races!$F$35&gt;6,(TblMili[[#This Row],[Dryad]]+Races!$F$35-6)*0.2,0) - Races!$I$19</f>
        <v>2.1599999999999993</v>
      </c>
      <c r="CS11" s="97">
        <f ca="1">sylvan*(TblMili[[#This Row],[Mystic bonus]]*TblMili[[#This Row],[Unit 3]])</f>
        <v>0</v>
      </c>
      <c r="CT11" s="158">
        <f ca="1">1.8 * MIN(MAX(Races!$E$27,TblMili[[#This Row],[Rockapult]]+Races!$F$27),6)  +  0.45 * MIN(MIN(Races!$E$27,TblMili[[#This Row],[Rockapult]]+Races!$F$27),6)  +  0.2 * ( MAX(Races!$E$27-6,0) + MAX(TblMili[[#This Row],[Rockapult]]+Races!$F$27-6,0) )  -  Races!$I$20</f>
        <v>5.8500000000000005</v>
      </c>
      <c r="CU11" s="97">
        <f ca="1">gnome*(TblMili[[#This Row],[Rockapult bonus]]*TblMili[[#This Row],[Unit 3]])</f>
        <v>0</v>
      </c>
      <c r="CV11" s="158">
        <f ca="1">1.8 * MIN(MAX(TblMili[[#This Row],[Spellblade]]+Races!$E$47,TblMili[[#This Row],[Adept-DP]]+Races!$F$47),6)  +  0.45 * MIN(MIN(TblMili[[#This Row],[Spellblade]]+Races!$E$47,TblMili[[#This Row],[Adept-DP]]+Races!$F$47),6)  +  0.2 * ( MAX(TblMili[[#This Row],[Spellblade]]+Races!$E$47-6,0) + MAX(TblMili[[#This Row],[Adept-DP]]+Races!$F$47-6,0) )  -  Races!$I$47</f>
        <v>0</v>
      </c>
      <c r="CW11" s="97">
        <f ca="1">dark_elf*(TblMili[[#This Row],[Adept bonus]]*TblMili[[#This Row],[Unit 3]])</f>
        <v>0</v>
      </c>
      <c r="CX11" s="158">
        <f ca="1">1.8 * MIN(MAX(TblMili[[#This Row],[Frost Mage]]+Races!$F$71,Races!$E$71),6)  +  0.45 * MIN(MIN(TblMili[[#This Row],[Frost Mage]]+Races!$F$71,Races!$E$71),6)  +  0.2 * ( MAX(TblMili[[#This Row],[Frost Mage]]+Races!$F$71-6,0) + MAX(Races!$E$71-6,0) )  -  Races!$I$71</f>
        <v>3.9599999999999991</v>
      </c>
      <c r="CY11" s="158">
        <f ca="1">1.8 * MIN(MAX(TblMili[[#This Row],[Ice Elemental]]+Races!$E$71,Races!$F$71),6)  +  0.45 * MIN(MIN(TblMili[[#This Row],[Ice Elemental]]+Races!$E$71,Races!$F$71),6)  +  0.2 * ( MAX(TblMili[[#This Row],[Ice Elemental]]+Races!$E$71-6,0) + MAX(Races!$F$71-6,0) )  -  Races!$I$71</f>
        <v>0.17999999999999972</v>
      </c>
      <c r="CZ11" s="97">
        <f ca="1">TblMili[[#This Row],[Frost Mage bonus]]*TblMili[[#This Row],[Unit 3]]+TblMili[[#This Row],[Ice Elemental bonus]]*TblMili[[#This Row],[Unit 4]]</f>
        <v>0</v>
      </c>
      <c r="DA11" s="268"/>
      <c r="DB11" s="146">
        <f ca="1">MIN(SUM(TblConstr[[#This Row],[Plain]:[Water]])/TblMili[[#This Row],[Land]]/favorable_terrain_bonus/100,favorable_terrain_max)</f>
        <v>0.1</v>
      </c>
      <c r="DC11" s="268"/>
      <c r="DD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 s="145"/>
      <c r="DF11" s="269">
        <f ca="1">(TblMili[[#This Row],[Wizards]]+2*TblMili[[#This Row],[Archmages]])/TblConstr[[#This Row],[Land]]</f>
        <v>0.1</v>
      </c>
      <c r="DG11" s="269">
        <f ca="1">TblMili[[#This Row],[Raw (2)]]*(1+race_wizard_strength+IF(TblMili[[#This Row],[Hour]]&gt;72,tech_magical_weaponry_wiz*TblTech[[#This Row],[3-5]],0))</f>
        <v>0.1</v>
      </c>
    </row>
    <row r="12" spans="1:111"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45458.333333333314</v>
      </c>
      <c r="AG12" s="182"/>
      <c r="AH12" s="182"/>
      <c r="AI12" s="182"/>
      <c r="AJ12" s="182"/>
      <c r="AK12" s="182"/>
      <c r="AL12" s="182"/>
      <c r="AM12" s="182"/>
      <c r="AN12" s="182"/>
      <c r="AO12" s="449">
        <f ca="1">IF(AND(TblMagic[[#This Row],[Active DnD]]&lt;12,TblMagic[[#This Row],[Active DnD]]&gt;5),OFFSET(TblPop[[#This Row],[Draft Growth]],-1,0)/2,0)</f>
        <v>0</v>
      </c>
      <c r="AP12" s="145"/>
      <c r="AQ12" s="97">
        <f ca="1">TblProd[[#This Row],[Platinum]]</f>
        <v>160892</v>
      </c>
      <c r="AR12" s="97">
        <f ca="1">INDEX(TblProd[[#Headers],[Lumber]]:TblProd[[#This Row],[Ore]],COUNTA(TblProd[[#Headers],[Lumber]]:TblProd[[#This Row],[Lumber]]),MATCH(Military!$AQ$2,TblProd[[#Headers],[Lumber]:[Ore]],0))</f>
        <v>0</v>
      </c>
      <c r="AS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7">
        <f ca="1">TblMili[[#This Row],[Train Unit 1]]*TblMili[[#This Row],[OP Ore]]+TblMili[[#This Row],[Train Unit 2]]*TblMili[[#This Row],[DP Ore]]+TblMili[[#This Row],[Train Unit 3]]*TblMili[[#This Row],[E1 Ore]]+TblMili[[#This Row],[Train Unit 4]]*TblMili[[#This Row],[E2 Ore]]</f>
        <v>0</v>
      </c>
      <c r="AU12" s="145">
        <f>TblMili[[#This Row],[Hour]]</f>
        <v>9</v>
      </c>
      <c r="AV12" s="155">
        <f ca="1">TblMili[[#This Row],[Time]]</f>
        <v>45458.333333333314</v>
      </c>
      <c r="AW12" s="97">
        <f ca="1">TblMili[[#This Row],[Draftees]]</f>
        <v>212</v>
      </c>
      <c r="AX12" s="182"/>
      <c r="AY12" s="182"/>
      <c r="AZ12" s="182"/>
      <c r="BA12" s="182"/>
      <c r="BB12" s="182"/>
      <c r="BC12" s="182"/>
      <c r="BD12" s="182"/>
      <c r="BE12" s="182"/>
      <c r="BF12" s="182"/>
      <c r="BG12" s="145"/>
      <c r="BH12" s="160">
        <f ca="1">TblConstr[[#This Row],[Tot WG]]/TblConstr[[#This Row],[Land]]</f>
        <v>0</v>
      </c>
      <c r="BI12" s="160">
        <f ca="1">TblConstr[[#This Row],[Tot Hav]]/TblConstr[[#This Row],[Land]]</f>
        <v>0</v>
      </c>
      <c r="BJ12" s="97">
        <f ca="1">ROUNDUP((1-MIN(TblMili[[#This Row],[Smithies]]*smithy_bonus,smithy_bonus_cap) + tech_3_5*TblTech[[#This Row],[3-5]] + tech_5_3*TblTech[[#This Row],[5-3]] + tech_5_5*TblTech[[#This Row],[5-5]])*spec_op_plat,0)</f>
        <v>275</v>
      </c>
      <c r="BK12" s="97">
        <f ca="1">ROUNDUP(IF(race="Gnome",1,(1-MIN(TblMili[[#This Row],[Smithies]]*smithy_bonus,smithy_bonus_cap) + tech_3_5*TblTech[[#This Row],[3-5]] + tech_5_3*TblTech[[#This Row],[5-3]] + tech_5_5*TblTech[[#This Row],[5-5]]))*spec_op_ore,0)</f>
        <v>25</v>
      </c>
      <c r="BL12" s="97">
        <f ca="1">ROUNDUP((1-MIN(TblMili[[#This Row],[Smithies]]*smithy_bonus,smithy_bonus_cap) + tech_3_5*TblTech[[#This Row],[3-5]] + tech_5_3*TblTech[[#This Row],[5-3]] + tech_5_5*TblTech[[#This Row],[5-5]])*spec_dp_plat,0)</f>
        <v>275</v>
      </c>
      <c r="BM12" s="97">
        <f ca="1">ROUNDUP(IF(race="Gnome",1,(1-MIN(TblMili[[#This Row],[Smithies]]*smithy_bonus,smithy_bonus_cap) + tech_3_5*TblTech[[#This Row],[3-5]] + tech_5_3*TblTech[[#This Row],[5-3]] + tech_5_5*TblTech[[#This Row],[5-5]]))*spec_dp_ore,0)</f>
        <v>15</v>
      </c>
      <c r="BN12" s="97">
        <f ca="1">ROUNDUP((1-MIN(TblMili[[#This Row],[Smithies]]*smithy_bonus,smithy_bonus_cap) + tech_3_5*TblTech[[#This Row],[3-5]] + tech_5_3*TblTech[[#This Row],[5-3]] + tech_5_5*TblTech[[#This Row],[5-5]])*elite1_plat,0)</f>
        <v>1000</v>
      </c>
      <c r="BO12" s="97">
        <f ca="1">ROUNDUP(IF(race="Gnome",1,(1-MIN(TblMili[[#This Row],[Smithies]]*smithy_bonus,smithy_bonus_cap) + tech_3_5*TblTech[[#This Row],[3-5]] + tech_5_3*TblTech[[#This Row],[5-3]] + tech_5_5*TblTech[[#This Row],[5-5]]))*elite1_ore,0)</f>
        <v>75</v>
      </c>
      <c r="BP12" s="97">
        <f ca="1">ROUNDUP((1-MIN(TblMili[[#This Row],[Smithies]]*smithy_bonus,smithy_bonus_cap) + tech_3_5*TblTech[[#This Row],[3-5]] + tech_5_3*TblTech[[#This Row],[5-3]] + tech_5_5*TblTech[[#This Row],[5-5]])*elite2_plat,0)</f>
        <v>1250</v>
      </c>
      <c r="BQ12" s="97">
        <f ca="1">ROUNDUP(IF(race="Gnome",1,(1-MIN(TblMili[[#This Row],[Smithies]]*smithy_bonus,smithy_bonus_cap) + tech_3_5*TblTech[[#This Row],[3-5]] + tech_5_3*TblTech[[#This Row],[5-3]] + tech_5_5*TblTech[[#This Row],[5-5]]))*elite2_ore,0)</f>
        <v>100</v>
      </c>
      <c r="BR12" s="97">
        <f ca="1">ROUNDUP((1-MIN(ROUND(fh_spy_cost_red*TblMili[[#This Row],[FH''s]],4),fh_spy_cost_cap)+ tech_1_9*TblTech[[#This Row],[1-9]] + tech_9_1*TblTech[[#This Row],[9-1]])*spy_plat,0)</f>
        <v>500</v>
      </c>
      <c r="BS12" s="97">
        <f ca="1">ROUNDUP((1-MIN(ROUND(fh_spy_cost_red*TblMili[[#This Row],[FH''s]],4),fh_spy_cost_cap)+ tech_1_9*TblTech[[#This Row],[1-9]] + tech_9_1*TblTech[[#This Row],[9-1]])*archspy_plat,0)</f>
        <v>1000</v>
      </c>
      <c r="BT12" s="97">
        <f ca="1">ROUNDUP((1-MIN(ROUND(wg_wiz_cost_bonus*TblMili[[#This Row],[WG''s]],4),wg_wiz_cost_cap) + tech_1_9_2*TblTech[[#This Row],[1-9]] + tech_9_1_2*TblTech[[#This Row],[9-1]])*wizard_plat,0)</f>
        <v>500</v>
      </c>
      <c r="BU12" s="97">
        <f ca="1">ROUNDUP((1-MIN(ROUND(wg_wiz_cost_bonus*TblMili[[#This Row],[WG''s]],4),wg_wiz_cost_cap) + tech_1_9_2*TblTech[[#This Row],[1-9]] + tech_9_1_2*TblTech[[#This Row],[9-1]])*archmage_plat,0)</f>
        <v>1000</v>
      </c>
      <c r="BV12" s="145"/>
      <c r="BW12" s="160">
        <f ca="1">TblConstr[[#This Row],[Homeland]]/TblConstr[[#This Row],[Land]]</f>
        <v>0.44</v>
      </c>
      <c r="BX12" s="160">
        <f ca="1">TblMili[[#This Row],[WG''s]]</f>
        <v>0</v>
      </c>
      <c r="BY12" s="266">
        <f ca="1">IF(mystic_cap="none",TblMili[[#This Row],[Hill]]/mystic_bonus,MIN(mystic_cap,TblMili[[#This Row],[Hill]]/mystic_bonus))</f>
        <v>2.1999999999999997</v>
      </c>
      <c r="BZ12" s="266">
        <f ca="1">IF(druid_op_cap="none",TblMili[[#This Row],[Hill]]/druid_op_bonus,MIN(druid_op_cap,TblMili[[#This Row],[Hill]]/druid_op_bonus))</f>
        <v>2.1999999999999997</v>
      </c>
      <c r="CA12" s="266">
        <f ca="1">IF(druid_dp_cap="none",TblMili[[#This Row],[Hill]]/druid_dp_bonus,MIN(druid_dp_cap,TblMili[[#This Row],[Hill]]/druid_dp_bonus))</f>
        <v>2.1999999999999997</v>
      </c>
      <c r="CB12" s="266">
        <f ca="1">MIN(dryad_cap,TblMili[[#This Row],[Hill]]/dryad_bonus)</f>
        <v>2.1999999999999997</v>
      </c>
      <c r="CC12" s="266">
        <f ca="1">MIN(rocka_cap,TblMili[[#This Row],[Hill]]/rocka_bonus)</f>
        <v>2</v>
      </c>
      <c r="CD12" s="266">
        <f ca="1">MIN(adept_op_cap,TblMili[[#This Row],[WG]]/adept_op_bonus)</f>
        <v>0</v>
      </c>
      <c r="CE12" s="266">
        <f ca="1">MIN(adept_dp_cap,TblMili[[#This Row],[WG]]/adept_dp_bonus)</f>
        <v>0</v>
      </c>
      <c r="CF12" s="97">
        <f ca="1">MIN(TblMili[[#This Row],[Unit 3]],TblMili[[#This Row],[Unit 2]])*2</f>
        <v>0</v>
      </c>
      <c r="CG12" s="97">
        <f ca="1">MIN(TblMili[[#This Row],[Unit 1]],TblMili[[#This Row],[Unit 4]])*2</f>
        <v>0</v>
      </c>
      <c r="CH12" s="266">
        <f ca="1">MIN(frost_mage_cap,TblMili[[#This Row],[Hill]]/frost_mage_bonus)</f>
        <v>2.1999999999999997</v>
      </c>
      <c r="CI12" s="45">
        <f ca="1">MIN(ice_elem_cap,TblMili[[#This Row],[Raw (2)]]*ice_elem_bonus)</f>
        <v>0.1</v>
      </c>
      <c r="CJ12" s="266">
        <f t="shared" si="0"/>
        <v>0.83333333333333337</v>
      </c>
      <c r="CK12" s="266">
        <f ca="1">MIN(nox_nightshade_cap,TblConstr[[#This Row],[Homeland]]/TblConstr[[#This Row],[Land]]/nox_nightshade_swamp_bonus)</f>
        <v>4</v>
      </c>
      <c r="CL12" s="267" t="s">
        <v>499</v>
      </c>
      <c r="CM12" s="267" t="b">
        <f t="shared" si="1"/>
        <v>0</v>
      </c>
      <c r="CN12" s="267"/>
      <c r="CO12" s="266">
        <f ca="1">MIN(6,TblMili[[#This Row],[Mystic]]+Races!$F$19)*1.8 +  IF(TblMili[[#This Row],[Mystic]]+Races!$F$19&gt;6,(TblMili[[#This Row],[Mystic]]+Races!$F$19-6)*0.2,0) - Races!$I$19</f>
        <v>3.6399999999999997</v>
      </c>
      <c r="CP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 s="97">
        <f ca="1">TblMili[[#This Row],[Mystic bonus]]*TblMili[[#This Row],[Unit 3]]+TblMili[[#This Row],[Druid bonus]]*TblMili[[#This Row],[Unit 4]]</f>
        <v>0</v>
      </c>
      <c r="CR12" s="158">
        <f ca="1">MIN(6,TblMili[[#This Row],[Dryad]]+Races!$F$35)*1.8 +  IF(TblMili[[#This Row],[Dryad]]+Races!$F$35&gt;6,(TblMili[[#This Row],[Dryad]]+Races!$F$35-6)*0.2,0) - Races!$I$19</f>
        <v>2.1599999999999993</v>
      </c>
      <c r="CS12" s="97">
        <f ca="1">sylvan*(TblMili[[#This Row],[Mystic bonus]]*TblMili[[#This Row],[Unit 3]])</f>
        <v>0</v>
      </c>
      <c r="CT12" s="158">
        <f ca="1">1.8 * MIN(MAX(Races!$E$27,TblMili[[#This Row],[Rockapult]]+Races!$F$27),6)  +  0.45 * MIN(MIN(Races!$E$27,TblMili[[#This Row],[Rockapult]]+Races!$F$27),6)  +  0.2 * ( MAX(Races!$E$27-6,0) + MAX(TblMili[[#This Row],[Rockapult]]+Races!$F$27-6,0) )  -  Races!$I$20</f>
        <v>5.8500000000000005</v>
      </c>
      <c r="CU12" s="97">
        <f ca="1">gnome*(TblMili[[#This Row],[Rockapult bonus]]*TblMili[[#This Row],[Unit 3]])</f>
        <v>0</v>
      </c>
      <c r="CV12" s="158">
        <f ca="1">1.8 * MIN(MAX(TblMili[[#This Row],[Spellblade]]+Races!$E$47,TblMili[[#This Row],[Adept-DP]]+Races!$F$47),6)  +  0.45 * MIN(MIN(TblMili[[#This Row],[Spellblade]]+Races!$E$47,TblMili[[#This Row],[Adept-DP]]+Races!$F$47),6)  +  0.2 * ( MAX(TblMili[[#This Row],[Spellblade]]+Races!$E$47-6,0) + MAX(TblMili[[#This Row],[Adept-DP]]+Races!$F$47-6,0) )  -  Races!$I$47</f>
        <v>0</v>
      </c>
      <c r="CW12" s="97">
        <f ca="1">dark_elf*(TblMili[[#This Row],[Adept bonus]]*TblMili[[#This Row],[Unit 3]])</f>
        <v>0</v>
      </c>
      <c r="CX12" s="158">
        <f ca="1">1.8 * MIN(MAX(TblMili[[#This Row],[Frost Mage]]+Races!$F$71,Races!$E$71),6)  +  0.45 * MIN(MIN(TblMili[[#This Row],[Frost Mage]]+Races!$F$71,Races!$E$71),6)  +  0.2 * ( MAX(TblMili[[#This Row],[Frost Mage]]+Races!$F$71-6,0) + MAX(Races!$E$71-6,0) )  -  Races!$I$71</f>
        <v>3.9599999999999991</v>
      </c>
      <c r="CY12" s="158">
        <f ca="1">1.8 * MIN(MAX(TblMili[[#This Row],[Ice Elemental]]+Races!$E$71,Races!$F$71),6)  +  0.45 * MIN(MIN(TblMili[[#This Row],[Ice Elemental]]+Races!$E$71,Races!$F$71),6)  +  0.2 * ( MAX(TblMili[[#This Row],[Ice Elemental]]+Races!$E$71-6,0) + MAX(Races!$F$71-6,0) )  -  Races!$I$71</f>
        <v>0.17999999999999972</v>
      </c>
      <c r="CZ12" s="97">
        <f ca="1">TblMili[[#This Row],[Frost Mage bonus]]*TblMili[[#This Row],[Unit 3]]+TblMili[[#This Row],[Ice Elemental bonus]]*TblMili[[#This Row],[Unit 4]]</f>
        <v>0</v>
      </c>
      <c r="DA12" s="268"/>
      <c r="DB12" s="146">
        <f ca="1">MIN(SUM(TblConstr[[#This Row],[Plain]:[Water]])/TblMili[[#This Row],[Land]]/favorable_terrain_bonus/100,favorable_terrain_max)</f>
        <v>0.1</v>
      </c>
      <c r="DC12" s="268"/>
      <c r="DD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 s="145"/>
      <c r="DF12" s="269">
        <f ca="1">(TblMili[[#This Row],[Wizards]]+2*TblMili[[#This Row],[Archmages]])/TblConstr[[#This Row],[Land]]</f>
        <v>0.1</v>
      </c>
      <c r="DG12" s="269">
        <f ca="1">TblMili[[#This Row],[Raw (2)]]*(1+race_wizard_strength+IF(TblMili[[#This Row],[Hour]]&gt;72,tech_magical_weaponry_wiz*TblTech[[#This Row],[3-5]],0))</f>
        <v>0.1</v>
      </c>
    </row>
    <row r="13" spans="1:111"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45458.374999999978</v>
      </c>
      <c r="AG13" s="182"/>
      <c r="AH13" s="182"/>
      <c r="AI13" s="182"/>
      <c r="AJ13" s="182"/>
      <c r="AK13" s="182"/>
      <c r="AL13" s="182"/>
      <c r="AM13" s="182"/>
      <c r="AN13" s="182"/>
      <c r="AO13" s="449">
        <f ca="1">IF(AND(TblMagic[[#This Row],[Active DnD]]&lt;12,TblMagic[[#This Row],[Active DnD]]&gt;5),OFFSET(TblPop[[#This Row],[Draft Growth]],-1,0)/2,0)</f>
        <v>0</v>
      </c>
      <c r="AP13" s="145"/>
      <c r="AQ13" s="97">
        <f ca="1">TblProd[[#This Row],[Platinum]]</f>
        <v>166343</v>
      </c>
      <c r="AR13" s="97">
        <f ca="1">INDEX(TblProd[[#Headers],[Lumber]]:TblProd[[#This Row],[Ore]],COUNTA(TblProd[[#Headers],[Lumber]]:TblProd[[#This Row],[Lumber]]),MATCH(Military!$AQ$2,TblProd[[#Headers],[Lumber]:[Ore]],0))</f>
        <v>0</v>
      </c>
      <c r="AS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7">
        <f ca="1">TblMili[[#This Row],[Train Unit 1]]*TblMili[[#This Row],[OP Ore]]+TblMili[[#This Row],[Train Unit 2]]*TblMili[[#This Row],[DP Ore]]+TblMili[[#This Row],[Train Unit 3]]*TblMili[[#This Row],[E1 Ore]]+TblMili[[#This Row],[Train Unit 4]]*TblMili[[#This Row],[E2 Ore]]</f>
        <v>0</v>
      </c>
      <c r="AU13" s="145">
        <f>TblMili[[#This Row],[Hour]]</f>
        <v>10</v>
      </c>
      <c r="AV13" s="155">
        <f ca="1">TblMili[[#This Row],[Time]]</f>
        <v>45458.374999999978</v>
      </c>
      <c r="AW13" s="97">
        <f ca="1">TblMili[[#This Row],[Draftees]]</f>
        <v>227</v>
      </c>
      <c r="AX13" s="182"/>
      <c r="AY13" s="182"/>
      <c r="AZ13" s="182"/>
      <c r="BA13" s="182"/>
      <c r="BB13" s="182"/>
      <c r="BC13" s="182"/>
      <c r="BD13" s="182"/>
      <c r="BE13" s="182"/>
      <c r="BF13" s="182"/>
      <c r="BG13" s="145"/>
      <c r="BH13" s="160">
        <f ca="1">TblConstr[[#This Row],[Tot WG]]/TblConstr[[#This Row],[Land]]</f>
        <v>0</v>
      </c>
      <c r="BI13" s="160">
        <f ca="1">TblConstr[[#This Row],[Tot Hav]]/TblConstr[[#This Row],[Land]]</f>
        <v>0</v>
      </c>
      <c r="BJ13" s="97">
        <f ca="1">ROUNDUP((1-MIN(TblMili[[#This Row],[Smithies]]*smithy_bonus,smithy_bonus_cap) + tech_3_5*TblTech[[#This Row],[3-5]] + tech_5_3*TblTech[[#This Row],[5-3]] + tech_5_5*TblTech[[#This Row],[5-5]])*spec_op_plat,0)</f>
        <v>275</v>
      </c>
      <c r="BK13" s="97">
        <f ca="1">ROUNDUP(IF(race="Gnome",1,(1-MIN(TblMili[[#This Row],[Smithies]]*smithy_bonus,smithy_bonus_cap) + tech_3_5*TblTech[[#This Row],[3-5]] + tech_5_3*TblTech[[#This Row],[5-3]] + tech_5_5*TblTech[[#This Row],[5-5]]))*spec_op_ore,0)</f>
        <v>25</v>
      </c>
      <c r="BL13" s="97">
        <f ca="1">ROUNDUP((1-MIN(TblMili[[#This Row],[Smithies]]*smithy_bonus,smithy_bonus_cap) + tech_3_5*TblTech[[#This Row],[3-5]] + tech_5_3*TblTech[[#This Row],[5-3]] + tech_5_5*TblTech[[#This Row],[5-5]])*spec_dp_plat,0)</f>
        <v>275</v>
      </c>
      <c r="BM13" s="97">
        <f ca="1">ROUNDUP(IF(race="Gnome",1,(1-MIN(TblMili[[#This Row],[Smithies]]*smithy_bonus,smithy_bonus_cap) + tech_3_5*TblTech[[#This Row],[3-5]] + tech_5_3*TblTech[[#This Row],[5-3]] + tech_5_5*TblTech[[#This Row],[5-5]]))*spec_dp_ore,0)</f>
        <v>15</v>
      </c>
      <c r="BN13" s="97">
        <f ca="1">ROUNDUP((1-MIN(TblMili[[#This Row],[Smithies]]*smithy_bonus,smithy_bonus_cap) + tech_3_5*TblTech[[#This Row],[3-5]] + tech_5_3*TblTech[[#This Row],[5-3]] + tech_5_5*TblTech[[#This Row],[5-5]])*elite1_plat,0)</f>
        <v>1000</v>
      </c>
      <c r="BO13" s="97">
        <f ca="1">ROUNDUP(IF(race="Gnome",1,(1-MIN(TblMili[[#This Row],[Smithies]]*smithy_bonus,smithy_bonus_cap) + tech_3_5*TblTech[[#This Row],[3-5]] + tech_5_3*TblTech[[#This Row],[5-3]] + tech_5_5*TblTech[[#This Row],[5-5]]))*elite1_ore,0)</f>
        <v>75</v>
      </c>
      <c r="BP13" s="97">
        <f ca="1">ROUNDUP((1-MIN(TblMili[[#This Row],[Smithies]]*smithy_bonus,smithy_bonus_cap) + tech_3_5*TblTech[[#This Row],[3-5]] + tech_5_3*TblTech[[#This Row],[5-3]] + tech_5_5*TblTech[[#This Row],[5-5]])*elite2_plat,0)</f>
        <v>1250</v>
      </c>
      <c r="BQ13" s="97">
        <f ca="1">ROUNDUP(IF(race="Gnome",1,(1-MIN(TblMili[[#This Row],[Smithies]]*smithy_bonus,smithy_bonus_cap) + tech_3_5*TblTech[[#This Row],[3-5]] + tech_5_3*TblTech[[#This Row],[5-3]] + tech_5_5*TblTech[[#This Row],[5-5]]))*elite2_ore,0)</f>
        <v>100</v>
      </c>
      <c r="BR13" s="97">
        <f ca="1">ROUNDUP((1-MIN(ROUND(fh_spy_cost_red*TblMili[[#This Row],[FH''s]],4),fh_spy_cost_cap)+ tech_1_9*TblTech[[#This Row],[1-9]] + tech_9_1*TblTech[[#This Row],[9-1]])*spy_plat,0)</f>
        <v>500</v>
      </c>
      <c r="BS13" s="97">
        <f ca="1">ROUNDUP((1-MIN(ROUND(fh_spy_cost_red*TblMili[[#This Row],[FH''s]],4),fh_spy_cost_cap)+ tech_1_9*TblTech[[#This Row],[1-9]] + tech_9_1*TblTech[[#This Row],[9-1]])*archspy_plat,0)</f>
        <v>1000</v>
      </c>
      <c r="BT13" s="97">
        <f ca="1">ROUNDUP((1-MIN(ROUND(wg_wiz_cost_bonus*TblMili[[#This Row],[WG''s]],4),wg_wiz_cost_cap) + tech_1_9_2*TblTech[[#This Row],[1-9]] + tech_9_1_2*TblTech[[#This Row],[9-1]])*wizard_plat,0)</f>
        <v>500</v>
      </c>
      <c r="BU13" s="97">
        <f ca="1">ROUNDUP((1-MIN(ROUND(wg_wiz_cost_bonus*TblMili[[#This Row],[WG''s]],4),wg_wiz_cost_cap) + tech_1_9_2*TblTech[[#This Row],[1-9]] + tech_9_1_2*TblTech[[#This Row],[9-1]])*archmage_plat,0)</f>
        <v>1000</v>
      </c>
      <c r="BV13" s="145"/>
      <c r="BW13" s="160">
        <f ca="1">TblConstr[[#This Row],[Homeland]]/TblConstr[[#This Row],[Land]]</f>
        <v>0.44</v>
      </c>
      <c r="BX13" s="160">
        <f ca="1">TblMili[[#This Row],[WG''s]]</f>
        <v>0</v>
      </c>
      <c r="BY13" s="266">
        <f ca="1">IF(mystic_cap="none",TblMili[[#This Row],[Hill]]/mystic_bonus,MIN(mystic_cap,TblMili[[#This Row],[Hill]]/mystic_bonus))</f>
        <v>2.1999999999999997</v>
      </c>
      <c r="BZ13" s="266">
        <f ca="1">IF(druid_op_cap="none",TblMili[[#This Row],[Hill]]/druid_op_bonus,MIN(druid_op_cap,TblMili[[#This Row],[Hill]]/druid_op_bonus))</f>
        <v>2.1999999999999997</v>
      </c>
      <c r="CA13" s="266">
        <f ca="1">IF(druid_dp_cap="none",TblMili[[#This Row],[Hill]]/druid_dp_bonus,MIN(druid_dp_cap,TblMili[[#This Row],[Hill]]/druid_dp_bonus))</f>
        <v>2.1999999999999997</v>
      </c>
      <c r="CB13" s="266">
        <f ca="1">MIN(dryad_cap,TblMili[[#This Row],[Hill]]/dryad_bonus)</f>
        <v>2.1999999999999997</v>
      </c>
      <c r="CC13" s="266">
        <f ca="1">MIN(rocka_cap,TblMili[[#This Row],[Hill]]/rocka_bonus)</f>
        <v>2</v>
      </c>
      <c r="CD13" s="266">
        <f ca="1">MIN(adept_op_cap,TblMili[[#This Row],[WG]]/adept_op_bonus)</f>
        <v>0</v>
      </c>
      <c r="CE13" s="266">
        <f ca="1">MIN(adept_dp_cap,TblMili[[#This Row],[WG]]/adept_dp_bonus)</f>
        <v>0</v>
      </c>
      <c r="CF13" s="97">
        <f ca="1">MIN(TblMili[[#This Row],[Unit 3]],TblMili[[#This Row],[Unit 2]])*2</f>
        <v>0</v>
      </c>
      <c r="CG13" s="97">
        <f ca="1">MIN(TblMili[[#This Row],[Unit 1]],TblMili[[#This Row],[Unit 4]])*2</f>
        <v>0</v>
      </c>
      <c r="CH13" s="266">
        <f ca="1">MIN(frost_mage_cap,TblMili[[#This Row],[Hill]]/frost_mage_bonus)</f>
        <v>2.1999999999999997</v>
      </c>
      <c r="CI13" s="45">
        <f ca="1">MIN(ice_elem_cap,TblMili[[#This Row],[Raw (2)]]*ice_elem_bonus)</f>
        <v>0.1</v>
      </c>
      <c r="CJ13" s="266">
        <f t="shared" si="0"/>
        <v>0.83333333333333337</v>
      </c>
      <c r="CK13" s="266">
        <f ca="1">MIN(nox_nightshade_cap,TblConstr[[#This Row],[Homeland]]/TblConstr[[#This Row],[Land]]/nox_nightshade_swamp_bonus)</f>
        <v>4</v>
      </c>
      <c r="CL13" s="267"/>
      <c r="CM13" s="267"/>
      <c r="CN13" s="267"/>
      <c r="CO13" s="266">
        <f ca="1">MIN(6,TblMili[[#This Row],[Mystic]]+Races!$F$19)*1.8 +  IF(TblMili[[#This Row],[Mystic]]+Races!$F$19&gt;6,(TblMili[[#This Row],[Mystic]]+Races!$F$19-6)*0.2,0) - Races!$I$19</f>
        <v>3.6399999999999997</v>
      </c>
      <c r="CP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 s="97">
        <f ca="1">TblMili[[#This Row],[Mystic bonus]]*TblMili[[#This Row],[Unit 3]]+TblMili[[#This Row],[Druid bonus]]*TblMili[[#This Row],[Unit 4]]</f>
        <v>0</v>
      </c>
      <c r="CR13" s="158">
        <f ca="1">MIN(6,TblMili[[#This Row],[Dryad]]+Races!$F$35)*1.8 +  IF(TblMili[[#This Row],[Dryad]]+Races!$F$35&gt;6,(TblMili[[#This Row],[Dryad]]+Races!$F$35-6)*0.2,0) - Races!$I$19</f>
        <v>2.1599999999999993</v>
      </c>
      <c r="CS13" s="97">
        <f ca="1">sylvan*(TblMili[[#This Row],[Mystic bonus]]*TblMili[[#This Row],[Unit 3]])</f>
        <v>0</v>
      </c>
      <c r="CT13" s="158">
        <f ca="1">1.8 * MIN(MAX(Races!$E$27,TblMili[[#This Row],[Rockapult]]+Races!$F$27),6)  +  0.45 * MIN(MIN(Races!$E$27,TblMili[[#This Row],[Rockapult]]+Races!$F$27),6)  +  0.2 * ( MAX(Races!$E$27-6,0) + MAX(TblMili[[#This Row],[Rockapult]]+Races!$F$27-6,0) )  -  Races!$I$20</f>
        <v>5.8500000000000005</v>
      </c>
      <c r="CU13" s="97">
        <f ca="1">gnome*(TblMili[[#This Row],[Rockapult bonus]]*TblMili[[#This Row],[Unit 3]])</f>
        <v>0</v>
      </c>
      <c r="CV13" s="158">
        <f ca="1">1.8 * MIN(MAX(TblMili[[#This Row],[Spellblade]]+Races!$E$47,TblMili[[#This Row],[Adept-DP]]+Races!$F$47),6)  +  0.45 * MIN(MIN(TblMili[[#This Row],[Spellblade]]+Races!$E$47,TblMili[[#This Row],[Adept-DP]]+Races!$F$47),6)  +  0.2 * ( MAX(TblMili[[#This Row],[Spellblade]]+Races!$E$47-6,0) + MAX(TblMili[[#This Row],[Adept-DP]]+Races!$F$47-6,0) )  -  Races!$I$47</f>
        <v>0</v>
      </c>
      <c r="CW13" s="97">
        <f ca="1">dark_elf*(TblMili[[#This Row],[Adept bonus]]*TblMili[[#This Row],[Unit 3]])</f>
        <v>0</v>
      </c>
      <c r="CX13" s="158">
        <f ca="1">1.8 * MIN(MAX(TblMili[[#This Row],[Frost Mage]]+Races!$F$71,Races!$E$71),6)  +  0.45 * MIN(MIN(TblMili[[#This Row],[Frost Mage]]+Races!$F$71,Races!$E$71),6)  +  0.2 * ( MAX(TblMili[[#This Row],[Frost Mage]]+Races!$F$71-6,0) + MAX(Races!$E$71-6,0) )  -  Races!$I$71</f>
        <v>3.9599999999999991</v>
      </c>
      <c r="CY13" s="158">
        <f ca="1">1.8 * MIN(MAX(TblMili[[#This Row],[Ice Elemental]]+Races!$E$71,Races!$F$71),6)  +  0.45 * MIN(MIN(TblMili[[#This Row],[Ice Elemental]]+Races!$E$71,Races!$F$71),6)  +  0.2 * ( MAX(TblMili[[#This Row],[Ice Elemental]]+Races!$E$71-6,0) + MAX(Races!$F$71-6,0) )  -  Races!$I$71</f>
        <v>0.17999999999999972</v>
      </c>
      <c r="CZ13" s="97">
        <f ca="1">TblMili[[#This Row],[Frost Mage bonus]]*TblMili[[#This Row],[Unit 3]]+TblMili[[#This Row],[Ice Elemental bonus]]*TblMili[[#This Row],[Unit 4]]</f>
        <v>0</v>
      </c>
      <c r="DA13" s="268"/>
      <c r="DB13" s="146">
        <f ca="1">MIN(SUM(TblConstr[[#This Row],[Plain]:[Water]])/TblMili[[#This Row],[Land]]/favorable_terrain_bonus/100,favorable_terrain_max)</f>
        <v>0.1</v>
      </c>
      <c r="DC13" s="268"/>
      <c r="DD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 s="145"/>
      <c r="DF13" s="269">
        <f ca="1">(TblMili[[#This Row],[Wizards]]+2*TblMili[[#This Row],[Archmages]])/TblConstr[[#This Row],[Land]]</f>
        <v>0.1</v>
      </c>
      <c r="DG13" s="269">
        <f ca="1">TblMili[[#This Row],[Raw (2)]]*(1+race_wizard_strength+IF(TblMili[[#This Row],[Hour]]&gt;72,tech_magical_weaponry_wiz*TblTech[[#This Row],[3-5]],0))</f>
        <v>0.1</v>
      </c>
    </row>
    <row r="14" spans="1:111"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45458.416666666642</v>
      </c>
      <c r="AG14" s="182"/>
      <c r="AH14" s="182"/>
      <c r="AI14" s="182"/>
      <c r="AJ14" s="182"/>
      <c r="AK14" s="182"/>
      <c r="AL14" s="182"/>
      <c r="AM14" s="182"/>
      <c r="AN14" s="182"/>
      <c r="AO14" s="449">
        <f ca="1">IF(AND(TblMagic[[#This Row],[Active DnD]]&lt;12,TblMagic[[#This Row],[Active DnD]]&gt;5),OFFSET(TblPop[[#This Row],[Draft Growth]],-1,0)/2,0)</f>
        <v>0</v>
      </c>
      <c r="AP14" s="145"/>
      <c r="AQ14" s="97">
        <f ca="1">TblProd[[#This Row],[Platinum]]</f>
        <v>171875</v>
      </c>
      <c r="AR14" s="97">
        <f ca="1">INDEX(TblProd[[#Headers],[Lumber]]:TblProd[[#This Row],[Ore]],COUNTA(TblProd[[#Headers],[Lumber]]:TblProd[[#This Row],[Lumber]]),MATCH(Military!$AQ$2,TblProd[[#Headers],[Lumber]:[Ore]],0))</f>
        <v>0</v>
      </c>
      <c r="AS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7">
        <f ca="1">TblMili[[#This Row],[Train Unit 1]]*TblMili[[#This Row],[OP Ore]]+TblMili[[#This Row],[Train Unit 2]]*TblMili[[#This Row],[DP Ore]]+TblMili[[#This Row],[Train Unit 3]]*TblMili[[#This Row],[E1 Ore]]+TblMili[[#This Row],[Train Unit 4]]*TblMili[[#This Row],[E2 Ore]]</f>
        <v>0</v>
      </c>
      <c r="AU14" s="145">
        <f>TblMili[[#This Row],[Hour]]</f>
        <v>11</v>
      </c>
      <c r="AV14" s="155">
        <f ca="1">TblMili[[#This Row],[Time]]</f>
        <v>45458.416666666642</v>
      </c>
      <c r="AW14" s="97">
        <f ca="1">TblMili[[#This Row],[Draftees]]</f>
        <v>242</v>
      </c>
      <c r="AX14" s="182"/>
      <c r="AY14" s="182"/>
      <c r="AZ14" s="182"/>
      <c r="BA14" s="182"/>
      <c r="BB14" s="182"/>
      <c r="BC14" s="182"/>
      <c r="BD14" s="182"/>
      <c r="BE14" s="182"/>
      <c r="BF14" s="182"/>
      <c r="BG14" s="145"/>
      <c r="BH14" s="160">
        <f ca="1">TblConstr[[#This Row],[Tot WG]]/TblConstr[[#This Row],[Land]]</f>
        <v>0</v>
      </c>
      <c r="BI14" s="160">
        <f ca="1">TblConstr[[#This Row],[Tot Hav]]/TblConstr[[#This Row],[Land]]</f>
        <v>0</v>
      </c>
      <c r="BJ14" s="97">
        <f ca="1">ROUNDUP((1-MIN(TblMili[[#This Row],[Smithies]]*smithy_bonus,smithy_bonus_cap) + tech_3_5*TblTech[[#This Row],[3-5]] + tech_5_3*TblTech[[#This Row],[5-3]] + tech_5_5*TblTech[[#This Row],[5-5]])*spec_op_plat,0)</f>
        <v>275</v>
      </c>
      <c r="BK14" s="97">
        <f ca="1">ROUNDUP(IF(race="Gnome",1,(1-MIN(TblMili[[#This Row],[Smithies]]*smithy_bonus,smithy_bonus_cap) + tech_3_5*TblTech[[#This Row],[3-5]] + tech_5_3*TblTech[[#This Row],[5-3]] + tech_5_5*TblTech[[#This Row],[5-5]]))*spec_op_ore,0)</f>
        <v>25</v>
      </c>
      <c r="BL14" s="97">
        <f ca="1">ROUNDUP((1-MIN(TblMili[[#This Row],[Smithies]]*smithy_bonus,smithy_bonus_cap) + tech_3_5*TblTech[[#This Row],[3-5]] + tech_5_3*TblTech[[#This Row],[5-3]] + tech_5_5*TblTech[[#This Row],[5-5]])*spec_dp_plat,0)</f>
        <v>275</v>
      </c>
      <c r="BM14" s="97">
        <f ca="1">ROUNDUP(IF(race="Gnome",1,(1-MIN(TblMili[[#This Row],[Smithies]]*smithy_bonus,smithy_bonus_cap) + tech_3_5*TblTech[[#This Row],[3-5]] + tech_5_3*TblTech[[#This Row],[5-3]] + tech_5_5*TblTech[[#This Row],[5-5]]))*spec_dp_ore,0)</f>
        <v>15</v>
      </c>
      <c r="BN14" s="97">
        <f ca="1">ROUNDUP((1-MIN(TblMili[[#This Row],[Smithies]]*smithy_bonus,smithy_bonus_cap) + tech_3_5*TblTech[[#This Row],[3-5]] + tech_5_3*TblTech[[#This Row],[5-3]] + tech_5_5*TblTech[[#This Row],[5-5]])*elite1_plat,0)</f>
        <v>1000</v>
      </c>
      <c r="BO14" s="97">
        <f ca="1">ROUNDUP(IF(race="Gnome",1,(1-MIN(TblMili[[#This Row],[Smithies]]*smithy_bonus,smithy_bonus_cap) + tech_3_5*TblTech[[#This Row],[3-5]] + tech_5_3*TblTech[[#This Row],[5-3]] + tech_5_5*TblTech[[#This Row],[5-5]]))*elite1_ore,0)</f>
        <v>75</v>
      </c>
      <c r="BP14" s="97">
        <f ca="1">ROUNDUP((1-MIN(TblMili[[#This Row],[Smithies]]*smithy_bonus,smithy_bonus_cap) + tech_3_5*TblTech[[#This Row],[3-5]] + tech_5_3*TblTech[[#This Row],[5-3]] + tech_5_5*TblTech[[#This Row],[5-5]])*elite2_plat,0)</f>
        <v>1250</v>
      </c>
      <c r="BQ14" s="97">
        <f ca="1">ROUNDUP(IF(race="Gnome",1,(1-MIN(TblMili[[#This Row],[Smithies]]*smithy_bonus,smithy_bonus_cap) + tech_3_5*TblTech[[#This Row],[3-5]] + tech_5_3*TblTech[[#This Row],[5-3]] + tech_5_5*TblTech[[#This Row],[5-5]]))*elite2_ore,0)</f>
        <v>100</v>
      </c>
      <c r="BR14" s="97">
        <f ca="1">ROUNDUP((1-MIN(ROUND(fh_spy_cost_red*TblMili[[#This Row],[FH''s]],4),fh_spy_cost_cap)+ tech_1_9*TblTech[[#This Row],[1-9]] + tech_9_1*TblTech[[#This Row],[9-1]])*spy_plat,0)</f>
        <v>500</v>
      </c>
      <c r="BS14" s="97">
        <f ca="1">ROUNDUP((1-MIN(ROUND(fh_spy_cost_red*TblMili[[#This Row],[FH''s]],4),fh_spy_cost_cap)+ tech_1_9*TblTech[[#This Row],[1-9]] + tech_9_1*TblTech[[#This Row],[9-1]])*archspy_plat,0)</f>
        <v>1000</v>
      </c>
      <c r="BT14" s="97">
        <f ca="1">ROUNDUP((1-MIN(ROUND(wg_wiz_cost_bonus*TblMili[[#This Row],[WG''s]],4),wg_wiz_cost_cap) + tech_1_9_2*TblTech[[#This Row],[1-9]] + tech_9_1_2*TblTech[[#This Row],[9-1]])*wizard_plat,0)</f>
        <v>500</v>
      </c>
      <c r="BU14" s="97">
        <f ca="1">ROUNDUP((1-MIN(ROUND(wg_wiz_cost_bonus*TblMili[[#This Row],[WG''s]],4),wg_wiz_cost_cap) + tech_1_9_2*TblTech[[#This Row],[1-9]] + tech_9_1_2*TblTech[[#This Row],[9-1]])*archmage_plat,0)</f>
        <v>1000</v>
      </c>
      <c r="BV14" s="145"/>
      <c r="BW14" s="160">
        <f ca="1">TblConstr[[#This Row],[Homeland]]/TblConstr[[#This Row],[Land]]</f>
        <v>0.44</v>
      </c>
      <c r="BX14" s="160">
        <f ca="1">TblMili[[#This Row],[WG''s]]</f>
        <v>0</v>
      </c>
      <c r="BY14" s="266">
        <f ca="1">IF(mystic_cap="none",TblMili[[#This Row],[Hill]]/mystic_bonus,MIN(mystic_cap,TblMili[[#This Row],[Hill]]/mystic_bonus))</f>
        <v>2.1999999999999997</v>
      </c>
      <c r="BZ14" s="266">
        <f ca="1">IF(druid_op_cap="none",TblMili[[#This Row],[Hill]]/druid_op_bonus,MIN(druid_op_cap,TblMili[[#This Row],[Hill]]/druid_op_bonus))</f>
        <v>2.1999999999999997</v>
      </c>
      <c r="CA14" s="266">
        <f ca="1">IF(druid_dp_cap="none",TblMili[[#This Row],[Hill]]/druid_dp_bonus,MIN(druid_dp_cap,TblMili[[#This Row],[Hill]]/druid_dp_bonus))</f>
        <v>2.1999999999999997</v>
      </c>
      <c r="CB14" s="266">
        <f ca="1">MIN(dryad_cap,TblMili[[#This Row],[Hill]]/dryad_bonus)</f>
        <v>2.1999999999999997</v>
      </c>
      <c r="CC14" s="266">
        <f ca="1">MIN(rocka_cap,TblMili[[#This Row],[Hill]]/rocka_bonus)</f>
        <v>2</v>
      </c>
      <c r="CD14" s="266">
        <f ca="1">MIN(adept_op_cap,TblMili[[#This Row],[WG]]/adept_op_bonus)</f>
        <v>0</v>
      </c>
      <c r="CE14" s="266">
        <f ca="1">MIN(adept_dp_cap,TblMili[[#This Row],[WG]]/adept_dp_bonus)</f>
        <v>0</v>
      </c>
      <c r="CF14" s="97">
        <f ca="1">MIN(TblMili[[#This Row],[Unit 3]],TblMili[[#This Row],[Unit 2]])*2</f>
        <v>0</v>
      </c>
      <c r="CG14" s="97">
        <f ca="1">MIN(TblMili[[#This Row],[Unit 1]],TblMili[[#This Row],[Unit 4]])*2</f>
        <v>0</v>
      </c>
      <c r="CH14" s="266">
        <f ca="1">MIN(frost_mage_cap,TblMili[[#This Row],[Hill]]/frost_mage_bonus)</f>
        <v>2.1999999999999997</v>
      </c>
      <c r="CI14" s="45">
        <f ca="1">MIN(ice_elem_cap,TblMili[[#This Row],[Raw (2)]]*ice_elem_bonus)</f>
        <v>0.1</v>
      </c>
      <c r="CJ14" s="266">
        <f t="shared" si="0"/>
        <v>0.83333333333333337</v>
      </c>
      <c r="CK14" s="266">
        <f ca="1">MIN(nox_nightshade_cap,TblConstr[[#This Row],[Homeland]]/TblConstr[[#This Row],[Land]]/nox_nightshade_swamp_bonus)</f>
        <v>4</v>
      </c>
      <c r="CL14" s="267"/>
      <c r="CM14" s="267"/>
      <c r="CN14" s="267"/>
      <c r="CO14" s="266">
        <f ca="1">MIN(6,TblMili[[#This Row],[Mystic]]+Races!$F$19)*1.8 +  IF(TblMili[[#This Row],[Mystic]]+Races!$F$19&gt;6,(TblMili[[#This Row],[Mystic]]+Races!$F$19-6)*0.2,0) - Races!$I$19</f>
        <v>3.6399999999999997</v>
      </c>
      <c r="CP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4" s="97">
        <f ca="1">TblMili[[#This Row],[Mystic bonus]]*TblMili[[#This Row],[Unit 3]]+TblMili[[#This Row],[Druid bonus]]*TblMili[[#This Row],[Unit 4]]</f>
        <v>0</v>
      </c>
      <c r="CR14" s="158">
        <f ca="1">MIN(6,TblMili[[#This Row],[Dryad]]+Races!$F$35)*1.8 +  IF(TblMili[[#This Row],[Dryad]]+Races!$F$35&gt;6,(TblMili[[#This Row],[Dryad]]+Races!$F$35-6)*0.2,0) - Races!$I$19</f>
        <v>2.1599999999999993</v>
      </c>
      <c r="CS14" s="97">
        <f ca="1">sylvan*(TblMili[[#This Row],[Mystic bonus]]*TblMili[[#This Row],[Unit 3]])</f>
        <v>0</v>
      </c>
      <c r="CT14" s="158">
        <f ca="1">1.8 * MIN(MAX(Races!$E$27,TblMili[[#This Row],[Rockapult]]+Races!$F$27),6)  +  0.45 * MIN(MIN(Races!$E$27,TblMili[[#This Row],[Rockapult]]+Races!$F$27),6)  +  0.2 * ( MAX(Races!$E$27-6,0) + MAX(TblMili[[#This Row],[Rockapult]]+Races!$F$27-6,0) )  -  Races!$I$20</f>
        <v>5.8500000000000005</v>
      </c>
      <c r="CU14" s="97">
        <f ca="1">gnome*(TblMili[[#This Row],[Rockapult bonus]]*TblMili[[#This Row],[Unit 3]])</f>
        <v>0</v>
      </c>
      <c r="CV14" s="158">
        <f ca="1">1.8 * MIN(MAX(TblMili[[#This Row],[Spellblade]]+Races!$E$47,TblMili[[#This Row],[Adept-DP]]+Races!$F$47),6)  +  0.45 * MIN(MIN(TblMili[[#This Row],[Spellblade]]+Races!$E$47,TblMili[[#This Row],[Adept-DP]]+Races!$F$47),6)  +  0.2 * ( MAX(TblMili[[#This Row],[Spellblade]]+Races!$E$47-6,0) + MAX(TblMili[[#This Row],[Adept-DP]]+Races!$F$47-6,0) )  -  Races!$I$47</f>
        <v>0</v>
      </c>
      <c r="CW14" s="97">
        <f ca="1">dark_elf*(TblMili[[#This Row],[Adept bonus]]*TblMili[[#This Row],[Unit 3]])</f>
        <v>0</v>
      </c>
      <c r="CX14" s="158">
        <f ca="1">1.8 * MIN(MAX(TblMili[[#This Row],[Frost Mage]]+Races!$F$71,Races!$E$71),6)  +  0.45 * MIN(MIN(TblMili[[#This Row],[Frost Mage]]+Races!$F$71,Races!$E$71),6)  +  0.2 * ( MAX(TblMili[[#This Row],[Frost Mage]]+Races!$F$71-6,0) + MAX(Races!$E$71-6,0) )  -  Races!$I$71</f>
        <v>3.9599999999999991</v>
      </c>
      <c r="CY14" s="158">
        <f ca="1">1.8 * MIN(MAX(TblMili[[#This Row],[Ice Elemental]]+Races!$E$71,Races!$F$71),6)  +  0.45 * MIN(MIN(TblMili[[#This Row],[Ice Elemental]]+Races!$E$71,Races!$F$71),6)  +  0.2 * ( MAX(TblMili[[#This Row],[Ice Elemental]]+Races!$E$71-6,0) + MAX(Races!$F$71-6,0) )  -  Races!$I$71</f>
        <v>0.17999999999999972</v>
      </c>
      <c r="CZ14" s="97">
        <f ca="1">TblMili[[#This Row],[Frost Mage bonus]]*TblMili[[#This Row],[Unit 3]]+TblMili[[#This Row],[Ice Elemental bonus]]*TblMili[[#This Row],[Unit 4]]</f>
        <v>0</v>
      </c>
      <c r="DA14" s="268"/>
      <c r="DB14" s="146">
        <f ca="1">MIN(SUM(TblConstr[[#This Row],[Plain]:[Water]])/TblMili[[#This Row],[Land]]/favorable_terrain_bonus/100,favorable_terrain_max)</f>
        <v>0.1</v>
      </c>
      <c r="DC14" s="268"/>
      <c r="DD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4" s="145"/>
      <c r="DF14" s="269">
        <f ca="1">(TblMili[[#This Row],[Wizards]]+2*TblMili[[#This Row],[Archmages]])/TblConstr[[#This Row],[Land]]</f>
        <v>0.1</v>
      </c>
      <c r="DG14" s="269">
        <f ca="1">TblMili[[#This Row],[Raw (2)]]*(1+race_wizard_strength+IF(TblMili[[#This Row],[Hour]]&gt;72,tech_magical_weaponry_wiz*TblTech[[#This Row],[3-5]],0))</f>
        <v>0.1</v>
      </c>
    </row>
    <row r="15" spans="1:111"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45458.458333333307</v>
      </c>
      <c r="AG15" s="182"/>
      <c r="AH15" s="182"/>
      <c r="AI15" s="182"/>
      <c r="AJ15" s="182"/>
      <c r="AK15" s="182"/>
      <c r="AL15" s="182"/>
      <c r="AM15" s="182"/>
      <c r="AN15" s="182"/>
      <c r="AO15" s="449">
        <f ca="1">IF(AND(TblMagic[[#This Row],[Active DnD]]&lt;12,TblMagic[[#This Row],[Active DnD]]&gt;5),OFFSET(TblPop[[#This Row],[Draft Growth]],-1,0)/2,0)</f>
        <v>0</v>
      </c>
      <c r="AP15" s="145"/>
      <c r="AQ15" s="97">
        <f ca="1">TblProd[[#This Row],[Platinum]]</f>
        <v>177491</v>
      </c>
      <c r="AR15" s="97">
        <f ca="1">INDEX(TblProd[[#Headers],[Lumber]]:TblProd[[#This Row],[Ore]],COUNTA(TblProd[[#Headers],[Lumber]]:TblProd[[#This Row],[Lumber]]),MATCH(Military!$AQ$2,TblProd[[#Headers],[Lumber]:[Ore]],0))</f>
        <v>0</v>
      </c>
      <c r="AS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7">
        <f ca="1">TblMili[[#This Row],[Train Unit 1]]*TblMili[[#This Row],[OP Ore]]+TblMili[[#This Row],[Train Unit 2]]*TblMili[[#This Row],[DP Ore]]+TblMili[[#This Row],[Train Unit 3]]*TblMili[[#This Row],[E1 Ore]]+TblMili[[#This Row],[Train Unit 4]]*TblMili[[#This Row],[E2 Ore]]</f>
        <v>0</v>
      </c>
      <c r="AU15" s="145">
        <f>TblMili[[#This Row],[Hour]]</f>
        <v>12</v>
      </c>
      <c r="AV15" s="155">
        <f ca="1">TblMili[[#This Row],[Time]]</f>
        <v>45458.458333333307</v>
      </c>
      <c r="AW15" s="97">
        <f ca="1">TblMili[[#This Row],[Draftees]]</f>
        <v>258</v>
      </c>
      <c r="AX15" s="182"/>
      <c r="AY15" s="182"/>
      <c r="AZ15" s="182"/>
      <c r="BA15" s="182"/>
      <c r="BB15" s="182"/>
      <c r="BC15" s="182"/>
      <c r="BD15" s="182"/>
      <c r="BE15" s="182"/>
      <c r="BF15" s="182"/>
      <c r="BG15" s="145"/>
      <c r="BH15" s="160">
        <f ca="1">TblConstr[[#This Row],[Tot WG]]/TblConstr[[#This Row],[Land]]</f>
        <v>0</v>
      </c>
      <c r="BI15" s="160">
        <f ca="1">TblConstr[[#This Row],[Tot Hav]]/TblConstr[[#This Row],[Land]]</f>
        <v>0</v>
      </c>
      <c r="BJ15" s="97">
        <f ca="1">ROUNDUP((1-MIN(TblMili[[#This Row],[Smithies]]*smithy_bonus,smithy_bonus_cap) + tech_3_5*TblTech[[#This Row],[3-5]] + tech_5_3*TblTech[[#This Row],[5-3]] + tech_5_5*TblTech[[#This Row],[5-5]])*spec_op_plat,0)</f>
        <v>275</v>
      </c>
      <c r="BK15" s="97">
        <f ca="1">ROUNDUP(IF(race="Gnome",1,(1-MIN(TblMili[[#This Row],[Smithies]]*smithy_bonus,smithy_bonus_cap) + tech_3_5*TblTech[[#This Row],[3-5]] + tech_5_3*TblTech[[#This Row],[5-3]] + tech_5_5*TblTech[[#This Row],[5-5]]))*spec_op_ore,0)</f>
        <v>25</v>
      </c>
      <c r="BL15" s="97">
        <f ca="1">ROUNDUP((1-MIN(TblMili[[#This Row],[Smithies]]*smithy_bonus,smithy_bonus_cap) + tech_3_5*TblTech[[#This Row],[3-5]] + tech_5_3*TblTech[[#This Row],[5-3]] + tech_5_5*TblTech[[#This Row],[5-5]])*spec_dp_plat,0)</f>
        <v>275</v>
      </c>
      <c r="BM15" s="97">
        <f ca="1">ROUNDUP(IF(race="Gnome",1,(1-MIN(TblMili[[#This Row],[Smithies]]*smithy_bonus,smithy_bonus_cap) + tech_3_5*TblTech[[#This Row],[3-5]] + tech_5_3*TblTech[[#This Row],[5-3]] + tech_5_5*TblTech[[#This Row],[5-5]]))*spec_dp_ore,0)</f>
        <v>15</v>
      </c>
      <c r="BN15" s="97">
        <f ca="1">ROUNDUP((1-MIN(TblMili[[#This Row],[Smithies]]*smithy_bonus,smithy_bonus_cap) + tech_3_5*TblTech[[#This Row],[3-5]] + tech_5_3*TblTech[[#This Row],[5-3]] + tech_5_5*TblTech[[#This Row],[5-5]])*elite1_plat,0)</f>
        <v>1000</v>
      </c>
      <c r="BO15" s="97">
        <f ca="1">ROUNDUP(IF(race="Gnome",1,(1-MIN(TblMili[[#This Row],[Smithies]]*smithy_bonus,smithy_bonus_cap) + tech_3_5*TblTech[[#This Row],[3-5]] + tech_5_3*TblTech[[#This Row],[5-3]] + tech_5_5*TblTech[[#This Row],[5-5]]))*elite1_ore,0)</f>
        <v>75</v>
      </c>
      <c r="BP15" s="97">
        <f ca="1">ROUNDUP((1-MIN(TblMili[[#This Row],[Smithies]]*smithy_bonus,smithy_bonus_cap) + tech_3_5*TblTech[[#This Row],[3-5]] + tech_5_3*TblTech[[#This Row],[5-3]] + tech_5_5*TblTech[[#This Row],[5-5]])*elite2_plat,0)</f>
        <v>1250</v>
      </c>
      <c r="BQ15" s="97">
        <f ca="1">ROUNDUP(IF(race="Gnome",1,(1-MIN(TblMili[[#This Row],[Smithies]]*smithy_bonus,smithy_bonus_cap) + tech_3_5*TblTech[[#This Row],[3-5]] + tech_5_3*TblTech[[#This Row],[5-3]] + tech_5_5*TblTech[[#This Row],[5-5]]))*elite2_ore,0)</f>
        <v>100</v>
      </c>
      <c r="BR15" s="97">
        <f ca="1">ROUNDUP((1-MIN(ROUND(fh_spy_cost_red*TblMili[[#This Row],[FH''s]],4),fh_spy_cost_cap)+ tech_1_9*TblTech[[#This Row],[1-9]] + tech_9_1*TblTech[[#This Row],[9-1]])*spy_plat,0)</f>
        <v>500</v>
      </c>
      <c r="BS15" s="97">
        <f ca="1">ROUNDUP((1-MIN(ROUND(fh_spy_cost_red*TblMili[[#This Row],[FH''s]],4),fh_spy_cost_cap)+ tech_1_9*TblTech[[#This Row],[1-9]] + tech_9_1*TblTech[[#This Row],[9-1]])*archspy_plat,0)</f>
        <v>1000</v>
      </c>
      <c r="BT15" s="97">
        <f ca="1">ROUNDUP((1-MIN(ROUND(wg_wiz_cost_bonus*TblMili[[#This Row],[WG''s]],4),wg_wiz_cost_cap) + tech_1_9_2*TblTech[[#This Row],[1-9]] + tech_9_1_2*TblTech[[#This Row],[9-1]])*wizard_plat,0)</f>
        <v>500</v>
      </c>
      <c r="BU15" s="97">
        <f ca="1">ROUNDUP((1-MIN(ROUND(wg_wiz_cost_bonus*TblMili[[#This Row],[WG''s]],4),wg_wiz_cost_cap) + tech_1_9_2*TblTech[[#This Row],[1-9]] + tech_9_1_2*TblTech[[#This Row],[9-1]])*archmage_plat,0)</f>
        <v>1000</v>
      </c>
      <c r="BV15" s="145"/>
      <c r="BW15" s="160">
        <f ca="1">TblConstr[[#This Row],[Homeland]]/TblConstr[[#This Row],[Land]]</f>
        <v>0.44</v>
      </c>
      <c r="BX15" s="160">
        <f ca="1">TblMili[[#This Row],[WG''s]]</f>
        <v>0</v>
      </c>
      <c r="BY15" s="266">
        <f ca="1">IF(mystic_cap="none",TblMili[[#This Row],[Hill]]/mystic_bonus,MIN(mystic_cap,TblMili[[#This Row],[Hill]]/mystic_bonus))</f>
        <v>2.1999999999999997</v>
      </c>
      <c r="BZ15" s="266">
        <f ca="1">IF(druid_op_cap="none",TblMili[[#This Row],[Hill]]/druid_op_bonus,MIN(druid_op_cap,TblMili[[#This Row],[Hill]]/druid_op_bonus))</f>
        <v>2.1999999999999997</v>
      </c>
      <c r="CA15" s="266">
        <f ca="1">IF(druid_dp_cap="none",TblMili[[#This Row],[Hill]]/druid_dp_bonus,MIN(druid_dp_cap,TblMili[[#This Row],[Hill]]/druid_dp_bonus))</f>
        <v>2.1999999999999997</v>
      </c>
      <c r="CB15" s="266">
        <f ca="1">MIN(dryad_cap,TblMili[[#This Row],[Hill]]/dryad_bonus)</f>
        <v>2.1999999999999997</v>
      </c>
      <c r="CC15" s="266">
        <f ca="1">MIN(rocka_cap,TblMili[[#This Row],[Hill]]/rocka_bonus)</f>
        <v>2</v>
      </c>
      <c r="CD15" s="266">
        <f ca="1">MIN(adept_op_cap,TblMili[[#This Row],[WG]]/adept_op_bonus)</f>
        <v>0</v>
      </c>
      <c r="CE15" s="266">
        <f ca="1">MIN(adept_dp_cap,TblMili[[#This Row],[WG]]/adept_dp_bonus)</f>
        <v>0</v>
      </c>
      <c r="CF15" s="97">
        <f ca="1">MIN(TblMili[[#This Row],[Unit 3]],TblMili[[#This Row],[Unit 2]])*2</f>
        <v>0</v>
      </c>
      <c r="CG15" s="97">
        <f ca="1">MIN(TblMili[[#This Row],[Unit 1]],TblMili[[#This Row],[Unit 4]])*2</f>
        <v>0</v>
      </c>
      <c r="CH15" s="266">
        <f ca="1">MIN(frost_mage_cap,TblMili[[#This Row],[Hill]]/frost_mage_bonus)</f>
        <v>2.1999999999999997</v>
      </c>
      <c r="CI15" s="45">
        <f ca="1">MIN(ice_elem_cap,TblMili[[#This Row],[Raw (2)]]*ice_elem_bonus)</f>
        <v>0.1</v>
      </c>
      <c r="CJ15" s="266">
        <f t="shared" si="0"/>
        <v>0.83333333333333337</v>
      </c>
      <c r="CK15" s="266">
        <f ca="1">MIN(nox_nightshade_cap,TblConstr[[#This Row],[Homeland]]/TblConstr[[#This Row],[Land]]/nox_nightshade_swamp_bonus)</f>
        <v>4</v>
      </c>
      <c r="CL15" s="267"/>
      <c r="CM15" s="267"/>
      <c r="CN15" s="267"/>
      <c r="CO15" s="266">
        <f ca="1">MIN(6,TblMili[[#This Row],[Mystic]]+Races!$F$19)*1.8 +  IF(TblMili[[#This Row],[Mystic]]+Races!$F$19&gt;6,(TblMili[[#This Row],[Mystic]]+Races!$F$19-6)*0.2,0) - Races!$I$19</f>
        <v>3.6399999999999997</v>
      </c>
      <c r="CP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5" s="97">
        <f ca="1">TblMili[[#This Row],[Mystic bonus]]*TblMili[[#This Row],[Unit 3]]+TblMili[[#This Row],[Druid bonus]]*TblMili[[#This Row],[Unit 4]]</f>
        <v>0</v>
      </c>
      <c r="CR15" s="158">
        <f ca="1">MIN(6,TblMili[[#This Row],[Dryad]]+Races!$F$35)*1.8 +  IF(TblMili[[#This Row],[Dryad]]+Races!$F$35&gt;6,(TblMili[[#This Row],[Dryad]]+Races!$F$35-6)*0.2,0) - Races!$I$19</f>
        <v>2.1599999999999993</v>
      </c>
      <c r="CS15" s="97">
        <f ca="1">sylvan*(TblMili[[#This Row],[Mystic bonus]]*TblMili[[#This Row],[Unit 3]])</f>
        <v>0</v>
      </c>
      <c r="CT15" s="158">
        <f ca="1">1.8 * MIN(MAX(Races!$E$27,TblMili[[#This Row],[Rockapult]]+Races!$F$27),6)  +  0.45 * MIN(MIN(Races!$E$27,TblMili[[#This Row],[Rockapult]]+Races!$F$27),6)  +  0.2 * ( MAX(Races!$E$27-6,0) + MAX(TblMili[[#This Row],[Rockapult]]+Races!$F$27-6,0) )  -  Races!$I$20</f>
        <v>5.8500000000000005</v>
      </c>
      <c r="CU15" s="97">
        <f ca="1">gnome*(TblMili[[#This Row],[Rockapult bonus]]*TblMili[[#This Row],[Unit 3]])</f>
        <v>0</v>
      </c>
      <c r="CV15" s="158">
        <f ca="1">1.8 * MIN(MAX(TblMili[[#This Row],[Spellblade]]+Races!$E$47,TblMili[[#This Row],[Adept-DP]]+Races!$F$47),6)  +  0.45 * MIN(MIN(TblMili[[#This Row],[Spellblade]]+Races!$E$47,TblMili[[#This Row],[Adept-DP]]+Races!$F$47),6)  +  0.2 * ( MAX(TblMili[[#This Row],[Spellblade]]+Races!$E$47-6,0) + MAX(TblMili[[#This Row],[Adept-DP]]+Races!$F$47-6,0) )  -  Races!$I$47</f>
        <v>0</v>
      </c>
      <c r="CW15" s="97">
        <f ca="1">dark_elf*(TblMili[[#This Row],[Adept bonus]]*TblMili[[#This Row],[Unit 3]])</f>
        <v>0</v>
      </c>
      <c r="CX15" s="158">
        <f ca="1">1.8 * MIN(MAX(TblMili[[#This Row],[Frost Mage]]+Races!$F$71,Races!$E$71),6)  +  0.45 * MIN(MIN(TblMili[[#This Row],[Frost Mage]]+Races!$F$71,Races!$E$71),6)  +  0.2 * ( MAX(TblMili[[#This Row],[Frost Mage]]+Races!$F$71-6,0) + MAX(Races!$E$71-6,0) )  -  Races!$I$71</f>
        <v>3.9599999999999991</v>
      </c>
      <c r="CY15" s="158">
        <f ca="1">1.8 * MIN(MAX(TblMili[[#This Row],[Ice Elemental]]+Races!$E$71,Races!$F$71),6)  +  0.45 * MIN(MIN(TblMili[[#This Row],[Ice Elemental]]+Races!$E$71,Races!$F$71),6)  +  0.2 * ( MAX(TblMili[[#This Row],[Ice Elemental]]+Races!$E$71-6,0) + MAX(Races!$F$71-6,0) )  -  Races!$I$71</f>
        <v>0.17999999999999972</v>
      </c>
      <c r="CZ15" s="97">
        <f ca="1">TblMili[[#This Row],[Frost Mage bonus]]*TblMili[[#This Row],[Unit 3]]+TblMili[[#This Row],[Ice Elemental bonus]]*TblMili[[#This Row],[Unit 4]]</f>
        <v>0</v>
      </c>
      <c r="DA15" s="268"/>
      <c r="DB15" s="146">
        <f ca="1">MIN(SUM(TblConstr[[#This Row],[Plain]:[Water]])/TblMili[[#This Row],[Land]]/favorable_terrain_bonus/100,favorable_terrain_max)</f>
        <v>0.1</v>
      </c>
      <c r="DC15" s="268"/>
      <c r="DD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5" s="145"/>
      <c r="DF15" s="269">
        <f ca="1">(TblMili[[#This Row],[Wizards]]+2*TblMili[[#This Row],[Archmages]])/TblConstr[[#This Row],[Land]]</f>
        <v>0.1</v>
      </c>
      <c r="DG15" s="269">
        <f ca="1">TblMili[[#This Row],[Raw (2)]]*(1+race_wizard_strength+IF(TblMili[[#This Row],[Hour]]&gt;72,tech_magical_weaponry_wiz*TblTech[[#This Row],[3-5]],0))</f>
        <v>0.1</v>
      </c>
    </row>
    <row r="16" spans="1:111"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45458.499999999971</v>
      </c>
      <c r="AG16" s="182"/>
      <c r="AH16" s="182"/>
      <c r="AI16" s="182"/>
      <c r="AJ16" s="182"/>
      <c r="AK16" s="182"/>
      <c r="AL16" s="182"/>
      <c r="AM16" s="182"/>
      <c r="AN16" s="182"/>
      <c r="AO16" s="449">
        <f ca="1">IF(AND(TblMagic[[#This Row],[Active DnD]]&lt;12,TblMagic[[#This Row],[Active DnD]]&gt;5),OFFSET(TblPop[[#This Row],[Draft Growth]],-1,0)/2,0)</f>
        <v>0</v>
      </c>
      <c r="AP16" s="145"/>
      <c r="AQ16" s="97">
        <f ca="1">TblProd[[#This Row],[Platinum]]</f>
        <v>183161</v>
      </c>
      <c r="AR16" s="97">
        <f ca="1">INDEX(TblProd[[#Headers],[Lumber]]:TblProd[[#This Row],[Ore]],COUNTA(TblProd[[#Headers],[Lumber]]:TblProd[[#This Row],[Lumber]]),MATCH(Military!$AQ$2,TblProd[[#Headers],[Lumber]:[Ore]],0))</f>
        <v>0</v>
      </c>
      <c r="AS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7">
        <f ca="1">TblMili[[#This Row],[Train Unit 1]]*TblMili[[#This Row],[OP Ore]]+TblMili[[#This Row],[Train Unit 2]]*TblMili[[#This Row],[DP Ore]]+TblMili[[#This Row],[Train Unit 3]]*TblMili[[#This Row],[E1 Ore]]+TblMili[[#This Row],[Train Unit 4]]*TblMili[[#This Row],[E2 Ore]]</f>
        <v>0</v>
      </c>
      <c r="AU16" s="145">
        <f>TblMili[[#This Row],[Hour]]</f>
        <v>13</v>
      </c>
      <c r="AV16" s="155">
        <f ca="1">TblMili[[#This Row],[Time]]</f>
        <v>45458.499999999971</v>
      </c>
      <c r="AW16" s="97">
        <f ca="1">TblMili[[#This Row],[Draftees]]</f>
        <v>274</v>
      </c>
      <c r="AX16" s="182"/>
      <c r="AY16" s="182"/>
      <c r="AZ16" s="182"/>
      <c r="BA16" s="182"/>
      <c r="BB16" s="182"/>
      <c r="BC16" s="182"/>
      <c r="BD16" s="182"/>
      <c r="BE16" s="182"/>
      <c r="BF16" s="182"/>
      <c r="BG16" s="145"/>
      <c r="BH16" s="160">
        <f ca="1">TblConstr[[#This Row],[Tot WG]]/TblConstr[[#This Row],[Land]]</f>
        <v>0</v>
      </c>
      <c r="BI16" s="160">
        <f ca="1">TblConstr[[#This Row],[Tot Hav]]/TblConstr[[#This Row],[Land]]</f>
        <v>0</v>
      </c>
      <c r="BJ16" s="97">
        <f ca="1">ROUNDUP((1-MIN(TblMili[[#This Row],[Smithies]]*smithy_bonus,smithy_bonus_cap) + tech_3_5*TblTech[[#This Row],[3-5]] + tech_5_3*TblTech[[#This Row],[5-3]] + tech_5_5*TblTech[[#This Row],[5-5]])*spec_op_plat,0)</f>
        <v>275</v>
      </c>
      <c r="BK16" s="97">
        <f ca="1">ROUNDUP(IF(race="Gnome",1,(1-MIN(TblMili[[#This Row],[Smithies]]*smithy_bonus,smithy_bonus_cap) + tech_3_5*TblTech[[#This Row],[3-5]] + tech_5_3*TblTech[[#This Row],[5-3]] + tech_5_5*TblTech[[#This Row],[5-5]]))*spec_op_ore,0)</f>
        <v>25</v>
      </c>
      <c r="BL16" s="97">
        <f ca="1">ROUNDUP((1-MIN(TblMili[[#This Row],[Smithies]]*smithy_bonus,smithy_bonus_cap) + tech_3_5*TblTech[[#This Row],[3-5]] + tech_5_3*TblTech[[#This Row],[5-3]] + tech_5_5*TblTech[[#This Row],[5-5]])*spec_dp_plat,0)</f>
        <v>275</v>
      </c>
      <c r="BM16" s="97">
        <f ca="1">ROUNDUP(IF(race="Gnome",1,(1-MIN(TblMili[[#This Row],[Smithies]]*smithy_bonus,smithy_bonus_cap) + tech_3_5*TblTech[[#This Row],[3-5]] + tech_5_3*TblTech[[#This Row],[5-3]] + tech_5_5*TblTech[[#This Row],[5-5]]))*spec_dp_ore,0)</f>
        <v>15</v>
      </c>
      <c r="BN16" s="97">
        <f ca="1">ROUNDUP((1-MIN(TblMili[[#This Row],[Smithies]]*smithy_bonus,smithy_bonus_cap) + tech_3_5*TblTech[[#This Row],[3-5]] + tech_5_3*TblTech[[#This Row],[5-3]] + tech_5_5*TblTech[[#This Row],[5-5]])*elite1_plat,0)</f>
        <v>1000</v>
      </c>
      <c r="BO16" s="97">
        <f ca="1">ROUNDUP(IF(race="Gnome",1,(1-MIN(TblMili[[#This Row],[Smithies]]*smithy_bonus,smithy_bonus_cap) + tech_3_5*TblTech[[#This Row],[3-5]] + tech_5_3*TblTech[[#This Row],[5-3]] + tech_5_5*TblTech[[#This Row],[5-5]]))*elite1_ore,0)</f>
        <v>75</v>
      </c>
      <c r="BP16" s="97">
        <f ca="1">ROUNDUP((1-MIN(TblMili[[#This Row],[Smithies]]*smithy_bonus,smithy_bonus_cap) + tech_3_5*TblTech[[#This Row],[3-5]] + tech_5_3*TblTech[[#This Row],[5-3]] + tech_5_5*TblTech[[#This Row],[5-5]])*elite2_plat,0)</f>
        <v>1250</v>
      </c>
      <c r="BQ16" s="97">
        <f ca="1">ROUNDUP(IF(race="Gnome",1,(1-MIN(TblMili[[#This Row],[Smithies]]*smithy_bonus,smithy_bonus_cap) + tech_3_5*TblTech[[#This Row],[3-5]] + tech_5_3*TblTech[[#This Row],[5-3]] + tech_5_5*TblTech[[#This Row],[5-5]]))*elite2_ore,0)</f>
        <v>100</v>
      </c>
      <c r="BR16" s="97">
        <f ca="1">ROUNDUP((1-MIN(ROUND(fh_spy_cost_red*TblMili[[#This Row],[FH''s]],4),fh_spy_cost_cap)+ tech_1_9*TblTech[[#This Row],[1-9]] + tech_9_1*TblTech[[#This Row],[9-1]])*spy_plat,0)</f>
        <v>500</v>
      </c>
      <c r="BS16" s="97">
        <f ca="1">ROUNDUP((1-MIN(ROUND(fh_spy_cost_red*TblMili[[#This Row],[FH''s]],4),fh_spy_cost_cap)+ tech_1_9*TblTech[[#This Row],[1-9]] + tech_9_1*TblTech[[#This Row],[9-1]])*archspy_plat,0)</f>
        <v>1000</v>
      </c>
      <c r="BT16" s="97">
        <f ca="1">ROUNDUP((1-MIN(ROUND(wg_wiz_cost_bonus*TblMili[[#This Row],[WG''s]],4),wg_wiz_cost_cap) + tech_1_9_2*TblTech[[#This Row],[1-9]] + tech_9_1_2*TblTech[[#This Row],[9-1]])*wizard_plat,0)</f>
        <v>500</v>
      </c>
      <c r="BU16" s="97">
        <f ca="1">ROUNDUP((1-MIN(ROUND(wg_wiz_cost_bonus*TblMili[[#This Row],[WG''s]],4),wg_wiz_cost_cap) + tech_1_9_2*TblTech[[#This Row],[1-9]] + tech_9_1_2*TblTech[[#This Row],[9-1]])*archmage_plat,0)</f>
        <v>1000</v>
      </c>
      <c r="BV16" s="145"/>
      <c r="BW16" s="160">
        <f ca="1">TblConstr[[#This Row],[Homeland]]/TblConstr[[#This Row],[Land]]</f>
        <v>0.44</v>
      </c>
      <c r="BX16" s="160">
        <f ca="1">TblMili[[#This Row],[WG''s]]</f>
        <v>0</v>
      </c>
      <c r="BY16" s="266">
        <f ca="1">IF(mystic_cap="none",TblMili[[#This Row],[Hill]]/mystic_bonus,MIN(mystic_cap,TblMili[[#This Row],[Hill]]/mystic_bonus))</f>
        <v>2.1999999999999997</v>
      </c>
      <c r="BZ16" s="266">
        <f ca="1">IF(druid_op_cap="none",TblMili[[#This Row],[Hill]]/druid_op_bonus,MIN(druid_op_cap,TblMili[[#This Row],[Hill]]/druid_op_bonus))</f>
        <v>2.1999999999999997</v>
      </c>
      <c r="CA16" s="266">
        <f ca="1">IF(druid_dp_cap="none",TblMili[[#This Row],[Hill]]/druid_dp_bonus,MIN(druid_dp_cap,TblMili[[#This Row],[Hill]]/druid_dp_bonus))</f>
        <v>2.1999999999999997</v>
      </c>
      <c r="CB16" s="266">
        <f ca="1">MIN(dryad_cap,TblMili[[#This Row],[Hill]]/dryad_bonus)</f>
        <v>2.1999999999999997</v>
      </c>
      <c r="CC16" s="266">
        <f ca="1">MIN(rocka_cap,TblMili[[#This Row],[Hill]]/rocka_bonus)</f>
        <v>2</v>
      </c>
      <c r="CD16" s="266">
        <f ca="1">MIN(adept_op_cap,TblMili[[#This Row],[WG]]/adept_op_bonus)</f>
        <v>0</v>
      </c>
      <c r="CE16" s="266">
        <f ca="1">MIN(adept_dp_cap,TblMili[[#This Row],[WG]]/adept_dp_bonus)</f>
        <v>0</v>
      </c>
      <c r="CF16" s="97">
        <f ca="1">MIN(TblMili[[#This Row],[Unit 3]],TblMili[[#This Row],[Unit 2]])*2</f>
        <v>0</v>
      </c>
      <c r="CG16" s="97">
        <f ca="1">MIN(TblMili[[#This Row],[Unit 1]],TblMili[[#This Row],[Unit 4]])*2</f>
        <v>0</v>
      </c>
      <c r="CH16" s="266">
        <f ca="1">MIN(frost_mage_cap,TblMili[[#This Row],[Hill]]/frost_mage_bonus)</f>
        <v>2.1999999999999997</v>
      </c>
      <c r="CI16" s="45">
        <f ca="1">MIN(ice_elem_cap,TblMili[[#This Row],[Raw (2)]]*ice_elem_bonus)</f>
        <v>0.1</v>
      </c>
      <c r="CJ16" s="266">
        <f t="shared" si="0"/>
        <v>0.83333333333333337</v>
      </c>
      <c r="CK16" s="266">
        <f ca="1">MIN(nox_nightshade_cap,TblConstr[[#This Row],[Homeland]]/TblConstr[[#This Row],[Land]]/nox_nightshade_swamp_bonus)</f>
        <v>4</v>
      </c>
      <c r="CL16" s="267"/>
      <c r="CM16" s="267"/>
      <c r="CN16" s="267"/>
      <c r="CO16" s="266">
        <f ca="1">MIN(6,TblMili[[#This Row],[Mystic]]+Races!$F$19)*1.8 +  IF(TblMili[[#This Row],[Mystic]]+Races!$F$19&gt;6,(TblMili[[#This Row],[Mystic]]+Races!$F$19-6)*0.2,0) - Races!$I$19</f>
        <v>3.6399999999999997</v>
      </c>
      <c r="CP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6" s="97">
        <f ca="1">TblMili[[#This Row],[Mystic bonus]]*TblMili[[#This Row],[Unit 3]]+TblMili[[#This Row],[Druid bonus]]*TblMili[[#This Row],[Unit 4]]</f>
        <v>0</v>
      </c>
      <c r="CR16" s="158">
        <f ca="1">MIN(6,TblMili[[#This Row],[Dryad]]+Races!$F$35)*1.8 +  IF(TblMili[[#This Row],[Dryad]]+Races!$F$35&gt;6,(TblMili[[#This Row],[Dryad]]+Races!$F$35-6)*0.2,0) - Races!$I$19</f>
        <v>2.1599999999999993</v>
      </c>
      <c r="CS16" s="97">
        <f ca="1">sylvan*(TblMili[[#This Row],[Mystic bonus]]*TblMili[[#This Row],[Unit 3]])</f>
        <v>0</v>
      </c>
      <c r="CT16" s="158">
        <f ca="1">1.8 * MIN(MAX(Races!$E$27,TblMili[[#This Row],[Rockapult]]+Races!$F$27),6)  +  0.45 * MIN(MIN(Races!$E$27,TblMili[[#This Row],[Rockapult]]+Races!$F$27),6)  +  0.2 * ( MAX(Races!$E$27-6,0) + MAX(TblMili[[#This Row],[Rockapult]]+Races!$F$27-6,0) )  -  Races!$I$20</f>
        <v>5.8500000000000005</v>
      </c>
      <c r="CU16" s="97">
        <f ca="1">gnome*(TblMili[[#This Row],[Rockapult bonus]]*TblMili[[#This Row],[Unit 3]])</f>
        <v>0</v>
      </c>
      <c r="CV16" s="158">
        <f ca="1">1.8 * MIN(MAX(TblMili[[#This Row],[Spellblade]]+Races!$E$47,TblMili[[#This Row],[Adept-DP]]+Races!$F$47),6)  +  0.45 * MIN(MIN(TblMili[[#This Row],[Spellblade]]+Races!$E$47,TblMili[[#This Row],[Adept-DP]]+Races!$F$47),6)  +  0.2 * ( MAX(TblMili[[#This Row],[Spellblade]]+Races!$E$47-6,0) + MAX(TblMili[[#This Row],[Adept-DP]]+Races!$F$47-6,0) )  -  Races!$I$47</f>
        <v>0</v>
      </c>
      <c r="CW16" s="97">
        <f ca="1">dark_elf*(TblMili[[#This Row],[Adept bonus]]*TblMili[[#This Row],[Unit 3]])</f>
        <v>0</v>
      </c>
      <c r="CX16" s="158">
        <f ca="1">1.8 * MIN(MAX(TblMili[[#This Row],[Frost Mage]]+Races!$F$71,Races!$E$71),6)  +  0.45 * MIN(MIN(TblMili[[#This Row],[Frost Mage]]+Races!$F$71,Races!$E$71),6)  +  0.2 * ( MAX(TblMili[[#This Row],[Frost Mage]]+Races!$F$71-6,0) + MAX(Races!$E$71-6,0) )  -  Races!$I$71</f>
        <v>3.9599999999999991</v>
      </c>
      <c r="CY16" s="158">
        <f ca="1">1.8 * MIN(MAX(TblMili[[#This Row],[Ice Elemental]]+Races!$E$71,Races!$F$71),6)  +  0.45 * MIN(MIN(TblMili[[#This Row],[Ice Elemental]]+Races!$E$71,Races!$F$71),6)  +  0.2 * ( MAX(TblMili[[#This Row],[Ice Elemental]]+Races!$E$71-6,0) + MAX(Races!$F$71-6,0) )  -  Races!$I$71</f>
        <v>0.17999999999999972</v>
      </c>
      <c r="CZ16" s="97">
        <f ca="1">TblMili[[#This Row],[Frost Mage bonus]]*TblMili[[#This Row],[Unit 3]]+TblMili[[#This Row],[Ice Elemental bonus]]*TblMili[[#This Row],[Unit 4]]</f>
        <v>0</v>
      </c>
      <c r="DA16" s="268"/>
      <c r="DB16" s="146">
        <f ca="1">MIN(SUM(TblConstr[[#This Row],[Plain]:[Water]])/TblMili[[#This Row],[Land]]/favorable_terrain_bonus/100,favorable_terrain_max)</f>
        <v>0.1</v>
      </c>
      <c r="DC16" s="268"/>
      <c r="DD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6" s="145"/>
      <c r="DF16" s="269">
        <f ca="1">(TblMili[[#This Row],[Wizards]]+2*TblMili[[#This Row],[Archmages]])/TblConstr[[#This Row],[Land]]</f>
        <v>0.1</v>
      </c>
      <c r="DG16" s="269">
        <f ca="1">TblMili[[#This Row],[Raw (2)]]*(1+race_wizard_strength+IF(TblMili[[#This Row],[Hour]]&gt;72,tech_magical_weaponry_wiz*TblTech[[#This Row],[3-5]],0))</f>
        <v>0.1</v>
      </c>
    </row>
    <row r="17" spans="1:111"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45458.541666666635</v>
      </c>
      <c r="AG17" s="182"/>
      <c r="AH17" s="182"/>
      <c r="AI17" s="182"/>
      <c r="AJ17" s="182"/>
      <c r="AK17" s="182"/>
      <c r="AL17" s="182"/>
      <c r="AM17" s="182"/>
      <c r="AN17" s="182"/>
      <c r="AO17" s="449">
        <f ca="1">IF(AND(TblMagic[[#This Row],[Active DnD]]&lt;12,TblMagic[[#This Row],[Active DnD]]&gt;5),OFFSET(TblPop[[#This Row],[Draft Growth]],-1,0)/2,0)</f>
        <v>0</v>
      </c>
      <c r="AP17" s="145"/>
      <c r="AQ17" s="97">
        <f ca="1">TblProd[[#This Row],[Platinum]]</f>
        <v>188831</v>
      </c>
      <c r="AR17" s="97">
        <f ca="1">INDEX(TblProd[[#Headers],[Lumber]]:TblProd[[#This Row],[Ore]],COUNTA(TblProd[[#Headers],[Lumber]]:TblProd[[#This Row],[Lumber]]),MATCH(Military!$AQ$2,TblProd[[#Headers],[Lumber]:[Ore]],0))</f>
        <v>0</v>
      </c>
      <c r="AS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7">
        <f ca="1">TblMili[[#This Row],[Train Unit 1]]*TblMili[[#This Row],[OP Ore]]+TblMili[[#This Row],[Train Unit 2]]*TblMili[[#This Row],[DP Ore]]+TblMili[[#This Row],[Train Unit 3]]*TblMili[[#This Row],[E1 Ore]]+TblMili[[#This Row],[Train Unit 4]]*TblMili[[#This Row],[E2 Ore]]</f>
        <v>0</v>
      </c>
      <c r="AU17" s="145">
        <f>TblMili[[#This Row],[Hour]]</f>
        <v>14</v>
      </c>
      <c r="AV17" s="155">
        <f ca="1">TblMili[[#This Row],[Time]]</f>
        <v>45458.541666666635</v>
      </c>
      <c r="AW17" s="97">
        <f ca="1">TblMili[[#This Row],[Draftees]]</f>
        <v>290</v>
      </c>
      <c r="AX17" s="182"/>
      <c r="AY17" s="182"/>
      <c r="AZ17" s="182"/>
      <c r="BA17" s="182"/>
      <c r="BB17" s="182"/>
      <c r="BC17" s="182"/>
      <c r="BD17" s="182"/>
      <c r="BE17" s="182"/>
      <c r="BF17" s="182"/>
      <c r="BG17" s="145"/>
      <c r="BH17" s="160">
        <f ca="1">TblConstr[[#This Row],[Tot WG]]/TblConstr[[#This Row],[Land]]</f>
        <v>0</v>
      </c>
      <c r="BI17" s="160">
        <f ca="1">TblConstr[[#This Row],[Tot Hav]]/TblConstr[[#This Row],[Land]]</f>
        <v>0</v>
      </c>
      <c r="BJ17" s="97">
        <f ca="1">ROUNDUP((1-MIN(TblMili[[#This Row],[Smithies]]*smithy_bonus,smithy_bonus_cap) + tech_3_5*TblTech[[#This Row],[3-5]] + tech_5_3*TblTech[[#This Row],[5-3]] + tech_5_5*TblTech[[#This Row],[5-5]])*spec_op_plat,0)</f>
        <v>275</v>
      </c>
      <c r="BK17" s="97">
        <f ca="1">ROUNDUP(IF(race="Gnome",1,(1-MIN(TblMili[[#This Row],[Smithies]]*smithy_bonus,smithy_bonus_cap) + tech_3_5*TblTech[[#This Row],[3-5]] + tech_5_3*TblTech[[#This Row],[5-3]] + tech_5_5*TblTech[[#This Row],[5-5]]))*spec_op_ore,0)</f>
        <v>25</v>
      </c>
      <c r="BL17" s="97">
        <f ca="1">ROUNDUP((1-MIN(TblMili[[#This Row],[Smithies]]*smithy_bonus,smithy_bonus_cap) + tech_3_5*TblTech[[#This Row],[3-5]] + tech_5_3*TblTech[[#This Row],[5-3]] + tech_5_5*TblTech[[#This Row],[5-5]])*spec_dp_plat,0)</f>
        <v>275</v>
      </c>
      <c r="BM17" s="97">
        <f ca="1">ROUNDUP(IF(race="Gnome",1,(1-MIN(TblMili[[#This Row],[Smithies]]*smithy_bonus,smithy_bonus_cap) + tech_3_5*TblTech[[#This Row],[3-5]] + tech_5_3*TblTech[[#This Row],[5-3]] + tech_5_5*TblTech[[#This Row],[5-5]]))*spec_dp_ore,0)</f>
        <v>15</v>
      </c>
      <c r="BN17" s="97">
        <f ca="1">ROUNDUP((1-MIN(TblMili[[#This Row],[Smithies]]*smithy_bonus,smithy_bonus_cap) + tech_3_5*TblTech[[#This Row],[3-5]] + tech_5_3*TblTech[[#This Row],[5-3]] + tech_5_5*TblTech[[#This Row],[5-5]])*elite1_plat,0)</f>
        <v>1000</v>
      </c>
      <c r="BO17" s="97">
        <f ca="1">ROUNDUP(IF(race="Gnome",1,(1-MIN(TblMili[[#This Row],[Smithies]]*smithy_bonus,smithy_bonus_cap) + tech_3_5*TblTech[[#This Row],[3-5]] + tech_5_3*TblTech[[#This Row],[5-3]] + tech_5_5*TblTech[[#This Row],[5-5]]))*elite1_ore,0)</f>
        <v>75</v>
      </c>
      <c r="BP17" s="97">
        <f ca="1">ROUNDUP((1-MIN(TblMili[[#This Row],[Smithies]]*smithy_bonus,smithy_bonus_cap) + tech_3_5*TblTech[[#This Row],[3-5]] + tech_5_3*TblTech[[#This Row],[5-3]] + tech_5_5*TblTech[[#This Row],[5-5]])*elite2_plat,0)</f>
        <v>1250</v>
      </c>
      <c r="BQ17" s="97">
        <f ca="1">ROUNDUP(IF(race="Gnome",1,(1-MIN(TblMili[[#This Row],[Smithies]]*smithy_bonus,smithy_bonus_cap) + tech_3_5*TblTech[[#This Row],[3-5]] + tech_5_3*TblTech[[#This Row],[5-3]] + tech_5_5*TblTech[[#This Row],[5-5]]))*elite2_ore,0)</f>
        <v>100</v>
      </c>
      <c r="BR17" s="97">
        <f ca="1">ROUNDUP((1-MIN(ROUND(fh_spy_cost_red*TblMili[[#This Row],[FH''s]],4),fh_spy_cost_cap)+ tech_1_9*TblTech[[#This Row],[1-9]] + tech_9_1*TblTech[[#This Row],[9-1]])*spy_plat,0)</f>
        <v>500</v>
      </c>
      <c r="BS17" s="97">
        <f ca="1">ROUNDUP((1-MIN(ROUND(fh_spy_cost_red*TblMili[[#This Row],[FH''s]],4),fh_spy_cost_cap)+ tech_1_9*TblTech[[#This Row],[1-9]] + tech_9_1*TblTech[[#This Row],[9-1]])*archspy_plat,0)</f>
        <v>1000</v>
      </c>
      <c r="BT17" s="97">
        <f ca="1">ROUNDUP((1-MIN(ROUND(wg_wiz_cost_bonus*TblMili[[#This Row],[WG''s]],4),wg_wiz_cost_cap) + tech_1_9_2*TblTech[[#This Row],[1-9]] + tech_9_1_2*TblTech[[#This Row],[9-1]])*wizard_plat,0)</f>
        <v>500</v>
      </c>
      <c r="BU17" s="97">
        <f ca="1">ROUNDUP((1-MIN(ROUND(wg_wiz_cost_bonus*TblMili[[#This Row],[WG''s]],4),wg_wiz_cost_cap) + tech_1_9_2*TblTech[[#This Row],[1-9]] + tech_9_1_2*TblTech[[#This Row],[9-1]])*archmage_plat,0)</f>
        <v>1000</v>
      </c>
      <c r="BV17" s="145"/>
      <c r="BW17" s="160">
        <f ca="1">TblConstr[[#This Row],[Homeland]]/TblConstr[[#This Row],[Land]]</f>
        <v>0.44</v>
      </c>
      <c r="BX17" s="160">
        <f ca="1">TblMili[[#This Row],[WG''s]]</f>
        <v>0</v>
      </c>
      <c r="BY17" s="266">
        <f ca="1">IF(mystic_cap="none",TblMili[[#This Row],[Hill]]/mystic_bonus,MIN(mystic_cap,TblMili[[#This Row],[Hill]]/mystic_bonus))</f>
        <v>2.1999999999999997</v>
      </c>
      <c r="BZ17" s="266">
        <f ca="1">IF(druid_op_cap="none",TblMili[[#This Row],[Hill]]/druid_op_bonus,MIN(druid_op_cap,TblMili[[#This Row],[Hill]]/druid_op_bonus))</f>
        <v>2.1999999999999997</v>
      </c>
      <c r="CA17" s="266">
        <f ca="1">IF(druid_dp_cap="none",TblMili[[#This Row],[Hill]]/druid_dp_bonus,MIN(druid_dp_cap,TblMili[[#This Row],[Hill]]/druid_dp_bonus))</f>
        <v>2.1999999999999997</v>
      </c>
      <c r="CB17" s="266">
        <f ca="1">MIN(dryad_cap,TblMili[[#This Row],[Hill]]/dryad_bonus)</f>
        <v>2.1999999999999997</v>
      </c>
      <c r="CC17" s="266">
        <f ca="1">MIN(rocka_cap,TblMili[[#This Row],[Hill]]/rocka_bonus)</f>
        <v>2</v>
      </c>
      <c r="CD17" s="266">
        <f ca="1">MIN(adept_op_cap,TblMili[[#This Row],[WG]]/adept_op_bonus)</f>
        <v>0</v>
      </c>
      <c r="CE17" s="266">
        <f ca="1">MIN(adept_dp_cap,TblMili[[#This Row],[WG]]/adept_dp_bonus)</f>
        <v>0</v>
      </c>
      <c r="CF17" s="97">
        <f ca="1">MIN(TblMili[[#This Row],[Unit 3]],TblMili[[#This Row],[Unit 2]])*2</f>
        <v>0</v>
      </c>
      <c r="CG17" s="97">
        <f ca="1">MIN(TblMili[[#This Row],[Unit 1]],TblMili[[#This Row],[Unit 4]])*2</f>
        <v>0</v>
      </c>
      <c r="CH17" s="266">
        <f ca="1">MIN(frost_mage_cap,TblMili[[#This Row],[Hill]]/frost_mage_bonus)</f>
        <v>2.1999999999999997</v>
      </c>
      <c r="CI17" s="45">
        <f ca="1">MIN(ice_elem_cap,TblMili[[#This Row],[Raw (2)]]*ice_elem_bonus)</f>
        <v>0.1</v>
      </c>
      <c r="CJ17" s="266">
        <f t="shared" si="0"/>
        <v>0.83333333333333337</v>
      </c>
      <c r="CK17" s="266">
        <f ca="1">MIN(nox_nightshade_cap,TblConstr[[#This Row],[Homeland]]/TblConstr[[#This Row],[Land]]/nox_nightshade_swamp_bonus)</f>
        <v>4</v>
      </c>
      <c r="CL17" s="267" t="s">
        <v>520</v>
      </c>
      <c r="CM17" s="267"/>
      <c r="CN17" s="267"/>
      <c r="CO17" s="266">
        <f ca="1">MIN(6,TblMili[[#This Row],[Mystic]]+Races!$F$19)*1.8 +  IF(TblMili[[#This Row],[Mystic]]+Races!$F$19&gt;6,(TblMili[[#This Row],[Mystic]]+Races!$F$19-6)*0.2,0) - Races!$I$19</f>
        <v>3.6399999999999997</v>
      </c>
      <c r="CP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7" s="97">
        <f ca="1">TblMili[[#This Row],[Mystic bonus]]*TblMili[[#This Row],[Unit 3]]+TblMili[[#This Row],[Druid bonus]]*TblMili[[#This Row],[Unit 4]]</f>
        <v>0</v>
      </c>
      <c r="CR17" s="158">
        <f ca="1">MIN(6,TblMili[[#This Row],[Dryad]]+Races!$F$35)*1.8 +  IF(TblMili[[#This Row],[Dryad]]+Races!$F$35&gt;6,(TblMili[[#This Row],[Dryad]]+Races!$F$35-6)*0.2,0) - Races!$I$19</f>
        <v>2.1599999999999993</v>
      </c>
      <c r="CS17" s="97">
        <f ca="1">sylvan*(TblMili[[#This Row],[Mystic bonus]]*TblMili[[#This Row],[Unit 3]])</f>
        <v>0</v>
      </c>
      <c r="CT17" s="158">
        <f ca="1">1.8 * MIN(MAX(Races!$E$27,TblMili[[#This Row],[Rockapult]]+Races!$F$27),6)  +  0.45 * MIN(MIN(Races!$E$27,TblMili[[#This Row],[Rockapult]]+Races!$F$27),6)  +  0.2 * ( MAX(Races!$E$27-6,0) + MAX(TblMili[[#This Row],[Rockapult]]+Races!$F$27-6,0) )  -  Races!$I$20</f>
        <v>5.8500000000000005</v>
      </c>
      <c r="CU17" s="97">
        <f ca="1">gnome*(TblMili[[#This Row],[Rockapult bonus]]*TblMili[[#This Row],[Unit 3]])</f>
        <v>0</v>
      </c>
      <c r="CV17" s="158">
        <f ca="1">1.8 * MIN(MAX(TblMili[[#This Row],[Spellblade]]+Races!$E$47,TblMili[[#This Row],[Adept-DP]]+Races!$F$47),6)  +  0.45 * MIN(MIN(TblMili[[#This Row],[Spellblade]]+Races!$E$47,TblMili[[#This Row],[Adept-DP]]+Races!$F$47),6)  +  0.2 * ( MAX(TblMili[[#This Row],[Spellblade]]+Races!$E$47-6,0) + MAX(TblMili[[#This Row],[Adept-DP]]+Races!$F$47-6,0) )  -  Races!$I$47</f>
        <v>0</v>
      </c>
      <c r="CW17" s="97">
        <f ca="1">dark_elf*(TblMili[[#This Row],[Adept bonus]]*TblMili[[#This Row],[Unit 3]])</f>
        <v>0</v>
      </c>
      <c r="CX17" s="158">
        <f ca="1">1.8 * MIN(MAX(TblMili[[#This Row],[Frost Mage]]+Races!$F$71,Races!$E$71),6)  +  0.45 * MIN(MIN(TblMili[[#This Row],[Frost Mage]]+Races!$F$71,Races!$E$71),6)  +  0.2 * ( MAX(TblMili[[#This Row],[Frost Mage]]+Races!$F$71-6,0) + MAX(Races!$E$71-6,0) )  -  Races!$I$71</f>
        <v>3.9599999999999991</v>
      </c>
      <c r="CY17" s="158">
        <f ca="1">1.8 * MIN(MAX(TblMili[[#This Row],[Ice Elemental]]+Races!$E$71,Races!$F$71),6)  +  0.45 * MIN(MIN(TblMili[[#This Row],[Ice Elemental]]+Races!$E$71,Races!$F$71),6)  +  0.2 * ( MAX(TblMili[[#This Row],[Ice Elemental]]+Races!$E$71-6,0) + MAX(Races!$F$71-6,0) )  -  Races!$I$71</f>
        <v>0.17999999999999972</v>
      </c>
      <c r="CZ17" s="97">
        <f ca="1">TblMili[[#This Row],[Frost Mage bonus]]*TblMili[[#This Row],[Unit 3]]+TblMili[[#This Row],[Ice Elemental bonus]]*TblMili[[#This Row],[Unit 4]]</f>
        <v>0</v>
      </c>
      <c r="DA17" s="268"/>
      <c r="DB17" s="146">
        <f ca="1">MIN(SUM(TblConstr[[#This Row],[Plain]:[Water]])/TblMili[[#This Row],[Land]]/favorable_terrain_bonus/100,favorable_terrain_max)</f>
        <v>0.1</v>
      </c>
      <c r="DC17" s="268"/>
      <c r="DD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7" s="145"/>
      <c r="DF17" s="269">
        <f ca="1">(TblMili[[#This Row],[Wizards]]+2*TblMili[[#This Row],[Archmages]])/TblConstr[[#This Row],[Land]]</f>
        <v>0.1</v>
      </c>
      <c r="DG17" s="269">
        <f ca="1">TblMili[[#This Row],[Raw (2)]]*(1+race_wizard_strength+IF(TblMili[[#This Row],[Hour]]&gt;72,tech_magical_weaponry_wiz*TblTech[[#This Row],[3-5]],0))</f>
        <v>0.1</v>
      </c>
    </row>
    <row r="18" spans="1:111"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45458.583333333299</v>
      </c>
      <c r="AG18" s="182"/>
      <c r="AH18" s="182"/>
      <c r="AI18" s="182"/>
      <c r="AJ18" s="182"/>
      <c r="AK18" s="182"/>
      <c r="AL18" s="182"/>
      <c r="AM18" s="182"/>
      <c r="AN18" s="182"/>
      <c r="AO18" s="449">
        <f ca="1">IF(AND(TblMagic[[#This Row],[Active DnD]]&lt;12,TblMagic[[#This Row],[Active DnD]]&gt;5),OFFSET(TblPop[[#This Row],[Draft Growth]],-1,0)/2,0)</f>
        <v>0</v>
      </c>
      <c r="AP18" s="145"/>
      <c r="AQ18" s="97">
        <f ca="1">TblProd[[#This Row],[Platinum]]</f>
        <v>194501</v>
      </c>
      <c r="AR18" s="97">
        <f ca="1">INDEX(TblProd[[#Headers],[Lumber]]:TblProd[[#This Row],[Ore]],COUNTA(TblProd[[#Headers],[Lumber]]:TblProd[[#This Row],[Lumber]]),MATCH(Military!$AQ$2,TblProd[[#Headers],[Lumber]:[Ore]],0))</f>
        <v>0</v>
      </c>
      <c r="AS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7">
        <f ca="1">TblMili[[#This Row],[Train Unit 1]]*TblMili[[#This Row],[OP Ore]]+TblMili[[#This Row],[Train Unit 2]]*TblMili[[#This Row],[DP Ore]]+TblMili[[#This Row],[Train Unit 3]]*TblMili[[#This Row],[E1 Ore]]+TblMili[[#This Row],[Train Unit 4]]*TblMili[[#This Row],[E2 Ore]]</f>
        <v>0</v>
      </c>
      <c r="AU18" s="145">
        <f>TblMili[[#This Row],[Hour]]</f>
        <v>15</v>
      </c>
      <c r="AV18" s="155">
        <f ca="1">TblMili[[#This Row],[Time]]</f>
        <v>45458.583333333299</v>
      </c>
      <c r="AW18" s="97">
        <f ca="1">TblMili[[#This Row],[Draftees]]</f>
        <v>307</v>
      </c>
      <c r="AX18" s="182"/>
      <c r="AY18" s="182"/>
      <c r="AZ18" s="182"/>
      <c r="BA18" s="182"/>
      <c r="BB18" s="182"/>
      <c r="BC18" s="182"/>
      <c r="BD18" s="182"/>
      <c r="BE18" s="182"/>
      <c r="BF18" s="182"/>
      <c r="BG18" s="145"/>
      <c r="BH18" s="160">
        <f ca="1">TblConstr[[#This Row],[Tot WG]]/TblConstr[[#This Row],[Land]]</f>
        <v>0</v>
      </c>
      <c r="BI18" s="160">
        <f ca="1">TblConstr[[#This Row],[Tot Hav]]/TblConstr[[#This Row],[Land]]</f>
        <v>0</v>
      </c>
      <c r="BJ18" s="97">
        <f ca="1">ROUNDUP((1-MIN(TblMili[[#This Row],[Smithies]]*smithy_bonus,smithy_bonus_cap) + tech_3_5*TblTech[[#This Row],[3-5]] + tech_5_3*TblTech[[#This Row],[5-3]] + tech_5_5*TblTech[[#This Row],[5-5]])*spec_op_plat,0)</f>
        <v>275</v>
      </c>
      <c r="BK18" s="97">
        <f ca="1">ROUNDUP(IF(race="Gnome",1,(1-MIN(TblMili[[#This Row],[Smithies]]*smithy_bonus,smithy_bonus_cap) + tech_3_5*TblTech[[#This Row],[3-5]] + tech_5_3*TblTech[[#This Row],[5-3]] + tech_5_5*TblTech[[#This Row],[5-5]]))*spec_op_ore,0)</f>
        <v>25</v>
      </c>
      <c r="BL18" s="97">
        <f ca="1">ROUNDUP((1-MIN(TblMili[[#This Row],[Smithies]]*smithy_bonus,smithy_bonus_cap) + tech_3_5*TblTech[[#This Row],[3-5]] + tech_5_3*TblTech[[#This Row],[5-3]] + tech_5_5*TblTech[[#This Row],[5-5]])*spec_dp_plat,0)</f>
        <v>275</v>
      </c>
      <c r="BM18" s="97">
        <f ca="1">ROUNDUP(IF(race="Gnome",1,(1-MIN(TblMili[[#This Row],[Smithies]]*smithy_bonus,smithy_bonus_cap) + tech_3_5*TblTech[[#This Row],[3-5]] + tech_5_3*TblTech[[#This Row],[5-3]] + tech_5_5*TblTech[[#This Row],[5-5]]))*spec_dp_ore,0)</f>
        <v>15</v>
      </c>
      <c r="BN18" s="97">
        <f ca="1">ROUNDUP((1-MIN(TblMili[[#This Row],[Smithies]]*smithy_bonus,smithy_bonus_cap) + tech_3_5*TblTech[[#This Row],[3-5]] + tech_5_3*TblTech[[#This Row],[5-3]] + tech_5_5*TblTech[[#This Row],[5-5]])*elite1_plat,0)</f>
        <v>1000</v>
      </c>
      <c r="BO18" s="97">
        <f ca="1">ROUNDUP(IF(race="Gnome",1,(1-MIN(TblMili[[#This Row],[Smithies]]*smithy_bonus,smithy_bonus_cap) + tech_3_5*TblTech[[#This Row],[3-5]] + tech_5_3*TblTech[[#This Row],[5-3]] + tech_5_5*TblTech[[#This Row],[5-5]]))*elite1_ore,0)</f>
        <v>75</v>
      </c>
      <c r="BP18" s="97">
        <f ca="1">ROUNDUP((1-MIN(TblMili[[#This Row],[Smithies]]*smithy_bonus,smithy_bonus_cap) + tech_3_5*TblTech[[#This Row],[3-5]] + tech_5_3*TblTech[[#This Row],[5-3]] + tech_5_5*TblTech[[#This Row],[5-5]])*elite2_plat,0)</f>
        <v>1250</v>
      </c>
      <c r="BQ18" s="97">
        <f ca="1">ROUNDUP(IF(race="Gnome",1,(1-MIN(TblMili[[#This Row],[Smithies]]*smithy_bonus,smithy_bonus_cap) + tech_3_5*TblTech[[#This Row],[3-5]] + tech_5_3*TblTech[[#This Row],[5-3]] + tech_5_5*TblTech[[#This Row],[5-5]]))*elite2_ore,0)</f>
        <v>100</v>
      </c>
      <c r="BR18" s="97">
        <f ca="1">ROUNDUP((1-MIN(ROUND(fh_spy_cost_red*TblMili[[#This Row],[FH''s]],4),fh_spy_cost_cap)+ tech_1_9*TblTech[[#This Row],[1-9]] + tech_9_1*TblTech[[#This Row],[9-1]])*spy_plat,0)</f>
        <v>500</v>
      </c>
      <c r="BS18" s="97">
        <f ca="1">ROUNDUP((1-MIN(ROUND(fh_spy_cost_red*TblMili[[#This Row],[FH''s]],4),fh_spy_cost_cap)+ tech_1_9*TblTech[[#This Row],[1-9]] + tech_9_1*TblTech[[#This Row],[9-1]])*archspy_plat,0)</f>
        <v>1000</v>
      </c>
      <c r="BT18" s="97">
        <f ca="1">ROUNDUP((1-MIN(ROUND(wg_wiz_cost_bonus*TblMili[[#This Row],[WG''s]],4),wg_wiz_cost_cap) + tech_1_9_2*TblTech[[#This Row],[1-9]] + tech_9_1_2*TblTech[[#This Row],[9-1]])*wizard_plat,0)</f>
        <v>500</v>
      </c>
      <c r="BU18" s="97">
        <f ca="1">ROUNDUP((1-MIN(ROUND(wg_wiz_cost_bonus*TblMili[[#This Row],[WG''s]],4),wg_wiz_cost_cap) + tech_1_9_2*TblTech[[#This Row],[1-9]] + tech_9_1_2*TblTech[[#This Row],[9-1]])*archmage_plat,0)</f>
        <v>1000</v>
      </c>
      <c r="BV18" s="145"/>
      <c r="BW18" s="160">
        <f ca="1">TblConstr[[#This Row],[Homeland]]/TblConstr[[#This Row],[Land]]</f>
        <v>0.44</v>
      </c>
      <c r="BX18" s="160">
        <f ca="1">TblMili[[#This Row],[WG''s]]</f>
        <v>0</v>
      </c>
      <c r="BY18" s="266">
        <f ca="1">IF(mystic_cap="none",TblMili[[#This Row],[Hill]]/mystic_bonus,MIN(mystic_cap,TblMili[[#This Row],[Hill]]/mystic_bonus))</f>
        <v>2.1999999999999997</v>
      </c>
      <c r="BZ18" s="266">
        <f ca="1">IF(druid_op_cap="none",TblMili[[#This Row],[Hill]]/druid_op_bonus,MIN(druid_op_cap,TblMili[[#This Row],[Hill]]/druid_op_bonus))</f>
        <v>2.1999999999999997</v>
      </c>
      <c r="CA18" s="266">
        <f ca="1">IF(druid_dp_cap="none",TblMili[[#This Row],[Hill]]/druid_dp_bonus,MIN(druid_dp_cap,TblMili[[#This Row],[Hill]]/druid_dp_bonus))</f>
        <v>2.1999999999999997</v>
      </c>
      <c r="CB18" s="266">
        <f ca="1">MIN(dryad_cap,TblMili[[#This Row],[Hill]]/dryad_bonus)</f>
        <v>2.1999999999999997</v>
      </c>
      <c r="CC18" s="266">
        <f ca="1">MIN(rocka_cap,TblMili[[#This Row],[Hill]]/rocka_bonus)</f>
        <v>2</v>
      </c>
      <c r="CD18" s="266">
        <f ca="1">MIN(adept_op_cap,TblMili[[#This Row],[WG]]/adept_op_bonus)</f>
        <v>0</v>
      </c>
      <c r="CE18" s="266">
        <f ca="1">MIN(adept_dp_cap,TblMili[[#This Row],[WG]]/adept_dp_bonus)</f>
        <v>0</v>
      </c>
      <c r="CF18" s="97">
        <f ca="1">MIN(TblMili[[#This Row],[Unit 3]],TblMili[[#This Row],[Unit 2]])*2</f>
        <v>0</v>
      </c>
      <c r="CG18" s="97">
        <f ca="1">MIN(TblMili[[#This Row],[Unit 1]],TblMili[[#This Row],[Unit 4]])*2</f>
        <v>0</v>
      </c>
      <c r="CH18" s="266">
        <f ca="1">MIN(frost_mage_cap,TblMili[[#This Row],[Hill]]/frost_mage_bonus)</f>
        <v>2.1999999999999997</v>
      </c>
      <c r="CI18" s="45">
        <f ca="1">MIN(ice_elem_cap,TblMili[[#This Row],[Raw (2)]]*ice_elem_bonus)</f>
        <v>0.1</v>
      </c>
      <c r="CJ18" s="266">
        <f t="shared" si="0"/>
        <v>0.83333333333333337</v>
      </c>
      <c r="CK18" s="266">
        <f ca="1">MIN(nox_nightshade_cap,TblConstr[[#This Row],[Homeland]]/TblConstr[[#This Row],[Land]]/nox_nightshade_swamp_bonus)</f>
        <v>4</v>
      </c>
      <c r="CL18" s="267" t="s">
        <v>521</v>
      </c>
      <c r="CM18" s="267">
        <f>VLOOKUP(Overview!$A24,Races!$D$4:$H$116,2,FALSE)</f>
        <v>2</v>
      </c>
      <c r="CN18" s="267"/>
      <c r="CO18" s="266">
        <f ca="1">MIN(6,TblMili[[#This Row],[Mystic]]+Races!$F$19)*1.8 +  IF(TblMili[[#This Row],[Mystic]]+Races!$F$19&gt;6,(TblMili[[#This Row],[Mystic]]+Races!$F$19-6)*0.2,0) - Races!$I$19</f>
        <v>3.6399999999999997</v>
      </c>
      <c r="CP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8" s="97">
        <f ca="1">TblMili[[#This Row],[Mystic bonus]]*TblMili[[#This Row],[Unit 3]]+TblMili[[#This Row],[Druid bonus]]*TblMili[[#This Row],[Unit 4]]</f>
        <v>0</v>
      </c>
      <c r="CR18" s="158">
        <f ca="1">MIN(6,TblMili[[#This Row],[Dryad]]+Races!$F$35)*1.8 +  IF(TblMili[[#This Row],[Dryad]]+Races!$F$35&gt;6,(TblMili[[#This Row],[Dryad]]+Races!$F$35-6)*0.2,0) - Races!$I$19</f>
        <v>2.1599999999999993</v>
      </c>
      <c r="CS18" s="97">
        <f ca="1">sylvan*(TblMili[[#This Row],[Mystic bonus]]*TblMili[[#This Row],[Unit 3]])</f>
        <v>0</v>
      </c>
      <c r="CT18" s="158">
        <f ca="1">1.8 * MIN(MAX(Races!$E$27,TblMili[[#This Row],[Rockapult]]+Races!$F$27),6)  +  0.45 * MIN(MIN(Races!$E$27,TblMili[[#This Row],[Rockapult]]+Races!$F$27),6)  +  0.2 * ( MAX(Races!$E$27-6,0) + MAX(TblMili[[#This Row],[Rockapult]]+Races!$F$27-6,0) )  -  Races!$I$20</f>
        <v>5.8500000000000005</v>
      </c>
      <c r="CU18" s="97">
        <f ca="1">gnome*(TblMili[[#This Row],[Rockapult bonus]]*TblMili[[#This Row],[Unit 3]])</f>
        <v>0</v>
      </c>
      <c r="CV18" s="158">
        <f ca="1">1.8 * MIN(MAX(TblMili[[#This Row],[Spellblade]]+Races!$E$47,TblMili[[#This Row],[Adept-DP]]+Races!$F$47),6)  +  0.45 * MIN(MIN(TblMili[[#This Row],[Spellblade]]+Races!$E$47,TblMili[[#This Row],[Adept-DP]]+Races!$F$47),6)  +  0.2 * ( MAX(TblMili[[#This Row],[Spellblade]]+Races!$E$47-6,0) + MAX(TblMili[[#This Row],[Adept-DP]]+Races!$F$47-6,0) )  -  Races!$I$47</f>
        <v>0</v>
      </c>
      <c r="CW18" s="97">
        <f ca="1">dark_elf*(TblMili[[#This Row],[Adept bonus]]*TblMili[[#This Row],[Unit 3]])</f>
        <v>0</v>
      </c>
      <c r="CX18" s="158">
        <f ca="1">1.8 * MIN(MAX(TblMili[[#This Row],[Frost Mage]]+Races!$F$71,Races!$E$71),6)  +  0.45 * MIN(MIN(TblMili[[#This Row],[Frost Mage]]+Races!$F$71,Races!$E$71),6)  +  0.2 * ( MAX(TblMili[[#This Row],[Frost Mage]]+Races!$F$71-6,0) + MAX(Races!$E$71-6,0) )  -  Races!$I$71</f>
        <v>3.9599999999999991</v>
      </c>
      <c r="CY18" s="158">
        <f ca="1">1.8 * MIN(MAX(TblMili[[#This Row],[Ice Elemental]]+Races!$E$71,Races!$F$71),6)  +  0.45 * MIN(MIN(TblMili[[#This Row],[Ice Elemental]]+Races!$E$71,Races!$F$71),6)  +  0.2 * ( MAX(TblMili[[#This Row],[Ice Elemental]]+Races!$E$71-6,0) + MAX(Races!$F$71-6,0) )  -  Races!$I$71</f>
        <v>0.17999999999999972</v>
      </c>
      <c r="CZ18" s="97">
        <f ca="1">TblMili[[#This Row],[Frost Mage bonus]]*TblMili[[#This Row],[Unit 3]]+TblMili[[#This Row],[Ice Elemental bonus]]*TblMili[[#This Row],[Unit 4]]</f>
        <v>0</v>
      </c>
      <c r="DA18" s="268"/>
      <c r="DB18" s="146">
        <f ca="1">MIN(SUM(TblConstr[[#This Row],[Plain]:[Water]])/TblMili[[#This Row],[Land]]/favorable_terrain_bonus/100,favorable_terrain_max)</f>
        <v>0.1</v>
      </c>
      <c r="DC18" s="268"/>
      <c r="DD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8" s="145"/>
      <c r="DF18" s="269">
        <f ca="1">(TblMili[[#This Row],[Wizards]]+2*TblMili[[#This Row],[Archmages]])/TblConstr[[#This Row],[Land]]</f>
        <v>0.1</v>
      </c>
      <c r="DG18" s="269">
        <f ca="1">TblMili[[#This Row],[Raw (2)]]*(1+race_wizard_strength+IF(TblMili[[#This Row],[Hour]]&gt;72,tech_magical_weaponry_wiz*TblTech[[#This Row],[3-5]],0))</f>
        <v>0.1</v>
      </c>
    </row>
    <row r="19" spans="1:111"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45458.624999999964</v>
      </c>
      <c r="AG19" s="182"/>
      <c r="AH19" s="182"/>
      <c r="AI19" s="182"/>
      <c r="AJ19" s="182"/>
      <c r="AK19" s="182"/>
      <c r="AL19" s="182"/>
      <c r="AM19" s="182"/>
      <c r="AN19" s="182"/>
      <c r="AO19" s="449">
        <f ca="1">IF(AND(TblMagic[[#This Row],[Active DnD]]&lt;12,TblMagic[[#This Row],[Active DnD]]&gt;5),OFFSET(TblPop[[#This Row],[Draft Growth]],-1,0)/2,0)</f>
        <v>0</v>
      </c>
      <c r="AP19" s="145"/>
      <c r="AQ19" s="97">
        <f ca="1">TblProd[[#This Row],[Platinum]]</f>
        <v>200171</v>
      </c>
      <c r="AR19" s="97">
        <f ca="1">INDEX(TblProd[[#Headers],[Lumber]]:TblProd[[#This Row],[Ore]],COUNTA(TblProd[[#Headers],[Lumber]]:TblProd[[#This Row],[Lumber]]),MATCH(Military!$AQ$2,TblProd[[#Headers],[Lumber]:[Ore]],0))</f>
        <v>0</v>
      </c>
      <c r="AS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7">
        <f ca="1">TblMili[[#This Row],[Train Unit 1]]*TblMili[[#This Row],[OP Ore]]+TblMili[[#This Row],[Train Unit 2]]*TblMili[[#This Row],[DP Ore]]+TblMili[[#This Row],[Train Unit 3]]*TblMili[[#This Row],[E1 Ore]]+TblMili[[#This Row],[Train Unit 4]]*TblMili[[#This Row],[E2 Ore]]</f>
        <v>0</v>
      </c>
      <c r="AU19" s="145">
        <f>TblMili[[#This Row],[Hour]]</f>
        <v>16</v>
      </c>
      <c r="AV19" s="155">
        <f ca="1">TblMili[[#This Row],[Time]]</f>
        <v>45458.624999999964</v>
      </c>
      <c r="AW19" s="97">
        <f ca="1">TblMili[[#This Row],[Draftees]]</f>
        <v>324</v>
      </c>
      <c r="AX19" s="182"/>
      <c r="AY19" s="182"/>
      <c r="AZ19" s="182"/>
      <c r="BA19" s="182"/>
      <c r="BB19" s="182"/>
      <c r="BC19" s="182"/>
      <c r="BD19" s="182"/>
      <c r="BE19" s="182"/>
      <c r="BF19" s="182"/>
      <c r="BG19" s="145"/>
      <c r="BH19" s="160">
        <f ca="1">TblConstr[[#This Row],[Tot WG]]/TblConstr[[#This Row],[Land]]</f>
        <v>0</v>
      </c>
      <c r="BI19" s="160">
        <f ca="1">TblConstr[[#This Row],[Tot Hav]]/TblConstr[[#This Row],[Land]]</f>
        <v>0</v>
      </c>
      <c r="BJ19" s="97">
        <f ca="1">ROUNDUP((1-MIN(TblMili[[#This Row],[Smithies]]*smithy_bonus,smithy_bonus_cap) + tech_3_5*TblTech[[#This Row],[3-5]] + tech_5_3*TblTech[[#This Row],[5-3]] + tech_5_5*TblTech[[#This Row],[5-5]])*spec_op_plat,0)</f>
        <v>275</v>
      </c>
      <c r="BK19" s="97">
        <f ca="1">ROUNDUP(IF(race="Gnome",1,(1-MIN(TblMili[[#This Row],[Smithies]]*smithy_bonus,smithy_bonus_cap) + tech_3_5*TblTech[[#This Row],[3-5]] + tech_5_3*TblTech[[#This Row],[5-3]] + tech_5_5*TblTech[[#This Row],[5-5]]))*spec_op_ore,0)</f>
        <v>25</v>
      </c>
      <c r="BL19" s="97">
        <f ca="1">ROUNDUP((1-MIN(TblMili[[#This Row],[Smithies]]*smithy_bonus,smithy_bonus_cap) + tech_3_5*TblTech[[#This Row],[3-5]] + tech_5_3*TblTech[[#This Row],[5-3]] + tech_5_5*TblTech[[#This Row],[5-5]])*spec_dp_plat,0)</f>
        <v>275</v>
      </c>
      <c r="BM19" s="97">
        <f ca="1">ROUNDUP(IF(race="Gnome",1,(1-MIN(TblMili[[#This Row],[Smithies]]*smithy_bonus,smithy_bonus_cap) + tech_3_5*TblTech[[#This Row],[3-5]] + tech_5_3*TblTech[[#This Row],[5-3]] + tech_5_5*TblTech[[#This Row],[5-5]]))*spec_dp_ore,0)</f>
        <v>15</v>
      </c>
      <c r="BN19" s="97">
        <f ca="1">ROUNDUP((1-MIN(TblMili[[#This Row],[Smithies]]*smithy_bonus,smithy_bonus_cap) + tech_3_5*TblTech[[#This Row],[3-5]] + tech_5_3*TblTech[[#This Row],[5-3]] + tech_5_5*TblTech[[#This Row],[5-5]])*elite1_plat,0)</f>
        <v>1000</v>
      </c>
      <c r="BO19" s="97">
        <f ca="1">ROUNDUP(IF(race="Gnome",1,(1-MIN(TblMili[[#This Row],[Smithies]]*smithy_bonus,smithy_bonus_cap) + tech_3_5*TblTech[[#This Row],[3-5]] + tech_5_3*TblTech[[#This Row],[5-3]] + tech_5_5*TblTech[[#This Row],[5-5]]))*elite1_ore,0)</f>
        <v>75</v>
      </c>
      <c r="BP19" s="97">
        <f ca="1">ROUNDUP((1-MIN(TblMili[[#This Row],[Smithies]]*smithy_bonus,smithy_bonus_cap) + tech_3_5*TblTech[[#This Row],[3-5]] + tech_5_3*TblTech[[#This Row],[5-3]] + tech_5_5*TblTech[[#This Row],[5-5]])*elite2_plat,0)</f>
        <v>1250</v>
      </c>
      <c r="BQ19" s="97">
        <f ca="1">ROUNDUP(IF(race="Gnome",1,(1-MIN(TblMili[[#This Row],[Smithies]]*smithy_bonus,smithy_bonus_cap) + tech_3_5*TblTech[[#This Row],[3-5]] + tech_5_3*TblTech[[#This Row],[5-3]] + tech_5_5*TblTech[[#This Row],[5-5]]))*elite2_ore,0)</f>
        <v>100</v>
      </c>
      <c r="BR19" s="97">
        <f ca="1">ROUNDUP((1-MIN(ROUND(fh_spy_cost_red*TblMili[[#This Row],[FH''s]],4),fh_spy_cost_cap)+ tech_1_9*TblTech[[#This Row],[1-9]] + tech_9_1*TblTech[[#This Row],[9-1]])*spy_plat,0)</f>
        <v>500</v>
      </c>
      <c r="BS19" s="97">
        <f ca="1">ROUNDUP((1-MIN(ROUND(fh_spy_cost_red*TblMili[[#This Row],[FH''s]],4),fh_spy_cost_cap)+ tech_1_9*TblTech[[#This Row],[1-9]] + tech_9_1*TblTech[[#This Row],[9-1]])*archspy_plat,0)</f>
        <v>1000</v>
      </c>
      <c r="BT19" s="97">
        <f ca="1">ROUNDUP((1-MIN(ROUND(wg_wiz_cost_bonus*TblMili[[#This Row],[WG''s]],4),wg_wiz_cost_cap) + tech_1_9_2*TblTech[[#This Row],[1-9]] + tech_9_1_2*TblTech[[#This Row],[9-1]])*wizard_plat,0)</f>
        <v>500</v>
      </c>
      <c r="BU19" s="97">
        <f ca="1">ROUNDUP((1-MIN(ROUND(wg_wiz_cost_bonus*TblMili[[#This Row],[WG''s]],4),wg_wiz_cost_cap) + tech_1_9_2*TblTech[[#This Row],[1-9]] + tech_9_1_2*TblTech[[#This Row],[9-1]])*archmage_plat,0)</f>
        <v>1000</v>
      </c>
      <c r="BV19" s="145"/>
      <c r="BW19" s="160">
        <f ca="1">TblConstr[[#This Row],[Homeland]]/TblConstr[[#This Row],[Land]]</f>
        <v>0.44</v>
      </c>
      <c r="BX19" s="160">
        <f ca="1">TblMili[[#This Row],[WG''s]]</f>
        <v>0</v>
      </c>
      <c r="BY19" s="266">
        <f ca="1">IF(mystic_cap="none",TblMili[[#This Row],[Hill]]/mystic_bonus,MIN(mystic_cap,TblMili[[#This Row],[Hill]]/mystic_bonus))</f>
        <v>2.1999999999999997</v>
      </c>
      <c r="BZ19" s="266">
        <f ca="1">IF(druid_op_cap="none",TblMili[[#This Row],[Hill]]/druid_op_bonus,MIN(druid_op_cap,TblMili[[#This Row],[Hill]]/druid_op_bonus))</f>
        <v>2.1999999999999997</v>
      </c>
      <c r="CA19" s="266">
        <f ca="1">IF(druid_dp_cap="none",TblMili[[#This Row],[Hill]]/druid_dp_bonus,MIN(druid_dp_cap,TblMili[[#This Row],[Hill]]/druid_dp_bonus))</f>
        <v>2.1999999999999997</v>
      </c>
      <c r="CB19" s="266">
        <f ca="1">MIN(dryad_cap,TblMili[[#This Row],[Hill]]/dryad_bonus)</f>
        <v>2.1999999999999997</v>
      </c>
      <c r="CC19" s="266">
        <f ca="1">MIN(rocka_cap,TblMili[[#This Row],[Hill]]/rocka_bonus)</f>
        <v>2</v>
      </c>
      <c r="CD19" s="266">
        <f ca="1">MIN(adept_op_cap,TblMili[[#This Row],[WG]]/adept_op_bonus)</f>
        <v>0</v>
      </c>
      <c r="CE19" s="266">
        <f ca="1">MIN(adept_dp_cap,TblMili[[#This Row],[WG]]/adept_dp_bonus)</f>
        <v>0</v>
      </c>
      <c r="CF19" s="97">
        <f ca="1">MIN(TblMili[[#This Row],[Unit 3]],TblMili[[#This Row],[Unit 2]])*2</f>
        <v>0</v>
      </c>
      <c r="CG19" s="97">
        <f ca="1">MIN(TblMili[[#This Row],[Unit 1]],TblMili[[#This Row],[Unit 4]])*2</f>
        <v>0</v>
      </c>
      <c r="CH19" s="266">
        <f ca="1">MIN(frost_mage_cap,TblMili[[#This Row],[Hill]]/frost_mage_bonus)</f>
        <v>2.1999999999999997</v>
      </c>
      <c r="CI19" s="45">
        <f ca="1">MIN(ice_elem_cap,TblMili[[#This Row],[Raw (2)]]*ice_elem_bonus)</f>
        <v>0.1</v>
      </c>
      <c r="CJ19" s="266">
        <f t="shared" si="0"/>
        <v>0.83333333333333337</v>
      </c>
      <c r="CK19" s="266">
        <f ca="1">MIN(nox_nightshade_cap,TblConstr[[#This Row],[Homeland]]/TblConstr[[#This Row],[Land]]/nox_nightshade_swamp_bonus)</f>
        <v>4</v>
      </c>
      <c r="CL19" s="267" t="s">
        <v>522</v>
      </c>
      <c r="CM19" s="267">
        <f>VLOOKUP(Overview!$A24,Races!$D$4:$H$116,3,FALSE)</f>
        <v>6</v>
      </c>
      <c r="CN19" s="267"/>
      <c r="CO19" s="266">
        <f ca="1">MIN(6,TblMili[[#This Row],[Mystic]]+Races!$F$19)*1.8 +  IF(TblMili[[#This Row],[Mystic]]+Races!$F$19&gt;6,(TblMili[[#This Row],[Mystic]]+Races!$F$19-6)*0.2,0) - Races!$I$19</f>
        <v>3.6399999999999997</v>
      </c>
      <c r="CP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9" s="97">
        <f ca="1">TblMili[[#This Row],[Mystic bonus]]*TblMili[[#This Row],[Unit 3]]+TblMili[[#This Row],[Druid bonus]]*TblMili[[#This Row],[Unit 4]]</f>
        <v>0</v>
      </c>
      <c r="CR19" s="158">
        <f ca="1">MIN(6,TblMili[[#This Row],[Dryad]]+Races!$F$35)*1.8 +  IF(TblMili[[#This Row],[Dryad]]+Races!$F$35&gt;6,(TblMili[[#This Row],[Dryad]]+Races!$F$35-6)*0.2,0) - Races!$I$19</f>
        <v>2.1599999999999993</v>
      </c>
      <c r="CS19" s="97">
        <f ca="1">sylvan*(TblMili[[#This Row],[Mystic bonus]]*TblMili[[#This Row],[Unit 3]])</f>
        <v>0</v>
      </c>
      <c r="CT19" s="158">
        <f ca="1">1.8 * MIN(MAX(Races!$E$27,TblMili[[#This Row],[Rockapult]]+Races!$F$27),6)  +  0.45 * MIN(MIN(Races!$E$27,TblMili[[#This Row],[Rockapult]]+Races!$F$27),6)  +  0.2 * ( MAX(Races!$E$27-6,0) + MAX(TblMili[[#This Row],[Rockapult]]+Races!$F$27-6,0) )  -  Races!$I$20</f>
        <v>5.8500000000000005</v>
      </c>
      <c r="CU19" s="97">
        <f ca="1">gnome*(TblMili[[#This Row],[Rockapult bonus]]*TblMili[[#This Row],[Unit 3]])</f>
        <v>0</v>
      </c>
      <c r="CV19" s="158">
        <f ca="1">1.8 * MIN(MAX(TblMili[[#This Row],[Spellblade]]+Races!$E$47,TblMili[[#This Row],[Adept-DP]]+Races!$F$47),6)  +  0.45 * MIN(MIN(TblMili[[#This Row],[Spellblade]]+Races!$E$47,TblMili[[#This Row],[Adept-DP]]+Races!$F$47),6)  +  0.2 * ( MAX(TblMili[[#This Row],[Spellblade]]+Races!$E$47-6,0) + MAX(TblMili[[#This Row],[Adept-DP]]+Races!$F$47-6,0) )  -  Races!$I$47</f>
        <v>0</v>
      </c>
      <c r="CW19" s="97">
        <f ca="1">dark_elf*(TblMili[[#This Row],[Adept bonus]]*TblMili[[#This Row],[Unit 3]])</f>
        <v>0</v>
      </c>
      <c r="CX19" s="158">
        <f ca="1">1.8 * MIN(MAX(TblMili[[#This Row],[Frost Mage]]+Races!$F$71,Races!$E$71),6)  +  0.45 * MIN(MIN(TblMili[[#This Row],[Frost Mage]]+Races!$F$71,Races!$E$71),6)  +  0.2 * ( MAX(TblMili[[#This Row],[Frost Mage]]+Races!$F$71-6,0) + MAX(Races!$E$71-6,0) )  -  Races!$I$71</f>
        <v>3.9599999999999991</v>
      </c>
      <c r="CY19" s="158">
        <f ca="1">1.8 * MIN(MAX(TblMili[[#This Row],[Ice Elemental]]+Races!$E$71,Races!$F$71),6)  +  0.45 * MIN(MIN(TblMili[[#This Row],[Ice Elemental]]+Races!$E$71,Races!$F$71),6)  +  0.2 * ( MAX(TblMili[[#This Row],[Ice Elemental]]+Races!$E$71-6,0) + MAX(Races!$F$71-6,0) )  -  Races!$I$71</f>
        <v>0.17999999999999972</v>
      </c>
      <c r="CZ19" s="97">
        <f ca="1">TblMili[[#This Row],[Frost Mage bonus]]*TblMili[[#This Row],[Unit 3]]+TblMili[[#This Row],[Ice Elemental bonus]]*TblMili[[#This Row],[Unit 4]]</f>
        <v>0</v>
      </c>
      <c r="DA19" s="268"/>
      <c r="DB19" s="146">
        <f ca="1">MIN(SUM(TblConstr[[#This Row],[Plain]:[Water]])/TblMili[[#This Row],[Land]]/favorable_terrain_bonus/100,favorable_terrain_max)</f>
        <v>0.1</v>
      </c>
      <c r="DC19" s="268"/>
      <c r="DD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9" s="145"/>
      <c r="DF19" s="269">
        <f ca="1">(TblMili[[#This Row],[Wizards]]+2*TblMili[[#This Row],[Archmages]])/TblConstr[[#This Row],[Land]]</f>
        <v>0.1</v>
      </c>
      <c r="DG19" s="269">
        <f ca="1">TblMili[[#This Row],[Raw (2)]]*(1+race_wizard_strength+IF(TblMili[[#This Row],[Hour]]&gt;72,tech_magical_weaponry_wiz*TblTech[[#This Row],[3-5]],0))</f>
        <v>0.1</v>
      </c>
    </row>
    <row r="20" spans="1:111"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45458.666666666628</v>
      </c>
      <c r="AG20" s="182"/>
      <c r="AH20" s="182"/>
      <c r="AI20" s="182"/>
      <c r="AJ20" s="182"/>
      <c r="AK20" s="182"/>
      <c r="AL20" s="182"/>
      <c r="AM20" s="182"/>
      <c r="AN20" s="182"/>
      <c r="AO20" s="449">
        <f ca="1">IF(AND(TblMagic[[#This Row],[Active DnD]]&lt;12,TblMagic[[#This Row],[Active DnD]]&gt;5),OFFSET(TblPop[[#This Row],[Draft Growth]],-1,0)/2,0)</f>
        <v>0</v>
      </c>
      <c r="AP20" s="145"/>
      <c r="AQ20" s="97">
        <f ca="1">TblProd[[#This Row],[Platinum]]</f>
        <v>205841</v>
      </c>
      <c r="AR20" s="97">
        <f ca="1">INDEX(TblProd[[#Headers],[Lumber]]:TblProd[[#This Row],[Ore]],COUNTA(TblProd[[#Headers],[Lumber]]:TblProd[[#This Row],[Lumber]]),MATCH(Military!$AQ$2,TblProd[[#Headers],[Lumber]:[Ore]],0))</f>
        <v>0</v>
      </c>
      <c r="AS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7">
        <f ca="1">TblMili[[#This Row],[Train Unit 1]]*TblMili[[#This Row],[OP Ore]]+TblMili[[#This Row],[Train Unit 2]]*TblMili[[#This Row],[DP Ore]]+TblMili[[#This Row],[Train Unit 3]]*TblMili[[#This Row],[E1 Ore]]+TblMili[[#This Row],[Train Unit 4]]*TblMili[[#This Row],[E2 Ore]]</f>
        <v>0</v>
      </c>
      <c r="AU20" s="145">
        <f>TblMili[[#This Row],[Hour]]</f>
        <v>17</v>
      </c>
      <c r="AV20" s="155">
        <f ca="1">TblMili[[#This Row],[Time]]</f>
        <v>45458.666666666628</v>
      </c>
      <c r="AW20" s="97">
        <f ca="1">TblMili[[#This Row],[Draftees]]</f>
        <v>341</v>
      </c>
      <c r="AX20" s="182"/>
      <c r="AY20" s="182"/>
      <c r="AZ20" s="182"/>
      <c r="BA20" s="182"/>
      <c r="BB20" s="182"/>
      <c r="BC20" s="182"/>
      <c r="BD20" s="182"/>
      <c r="BE20" s="182"/>
      <c r="BF20" s="182"/>
      <c r="BG20" s="145"/>
      <c r="BH20" s="160">
        <f ca="1">TblConstr[[#This Row],[Tot WG]]/TblConstr[[#This Row],[Land]]</f>
        <v>0</v>
      </c>
      <c r="BI20" s="160">
        <f ca="1">TblConstr[[#This Row],[Tot Hav]]/TblConstr[[#This Row],[Land]]</f>
        <v>0</v>
      </c>
      <c r="BJ20" s="97">
        <f ca="1">ROUNDUP((1-MIN(TblMili[[#This Row],[Smithies]]*smithy_bonus,smithy_bonus_cap) + tech_3_5*TblTech[[#This Row],[3-5]] + tech_5_3*TblTech[[#This Row],[5-3]] + tech_5_5*TblTech[[#This Row],[5-5]])*spec_op_plat,0)</f>
        <v>275</v>
      </c>
      <c r="BK20" s="97">
        <f ca="1">ROUNDUP(IF(race="Gnome",1,(1-MIN(TblMili[[#This Row],[Smithies]]*smithy_bonus,smithy_bonus_cap) + tech_3_5*TblTech[[#This Row],[3-5]] + tech_5_3*TblTech[[#This Row],[5-3]] + tech_5_5*TblTech[[#This Row],[5-5]]))*spec_op_ore,0)</f>
        <v>25</v>
      </c>
      <c r="BL20" s="97">
        <f ca="1">ROUNDUP((1-MIN(TblMili[[#This Row],[Smithies]]*smithy_bonus,smithy_bonus_cap) + tech_3_5*TblTech[[#This Row],[3-5]] + tech_5_3*TblTech[[#This Row],[5-3]] + tech_5_5*TblTech[[#This Row],[5-5]])*spec_dp_plat,0)</f>
        <v>275</v>
      </c>
      <c r="BM20" s="97">
        <f ca="1">ROUNDUP(IF(race="Gnome",1,(1-MIN(TblMili[[#This Row],[Smithies]]*smithy_bonus,smithy_bonus_cap) + tech_3_5*TblTech[[#This Row],[3-5]] + tech_5_3*TblTech[[#This Row],[5-3]] + tech_5_5*TblTech[[#This Row],[5-5]]))*spec_dp_ore,0)</f>
        <v>15</v>
      </c>
      <c r="BN20" s="97">
        <f ca="1">ROUNDUP((1-MIN(TblMili[[#This Row],[Smithies]]*smithy_bonus,smithy_bonus_cap) + tech_3_5*TblTech[[#This Row],[3-5]] + tech_5_3*TblTech[[#This Row],[5-3]] + tech_5_5*TblTech[[#This Row],[5-5]])*elite1_plat,0)</f>
        <v>1000</v>
      </c>
      <c r="BO20" s="97">
        <f ca="1">ROUNDUP(IF(race="Gnome",1,(1-MIN(TblMili[[#This Row],[Smithies]]*smithy_bonus,smithy_bonus_cap) + tech_3_5*TblTech[[#This Row],[3-5]] + tech_5_3*TblTech[[#This Row],[5-3]] + tech_5_5*TblTech[[#This Row],[5-5]]))*elite1_ore,0)</f>
        <v>75</v>
      </c>
      <c r="BP20" s="97">
        <f ca="1">ROUNDUP((1-MIN(TblMili[[#This Row],[Smithies]]*smithy_bonus,smithy_bonus_cap) + tech_3_5*TblTech[[#This Row],[3-5]] + tech_5_3*TblTech[[#This Row],[5-3]] + tech_5_5*TblTech[[#This Row],[5-5]])*elite2_plat,0)</f>
        <v>1250</v>
      </c>
      <c r="BQ20" s="97">
        <f ca="1">ROUNDUP(IF(race="Gnome",1,(1-MIN(TblMili[[#This Row],[Smithies]]*smithy_bonus,smithy_bonus_cap) + tech_3_5*TblTech[[#This Row],[3-5]] + tech_5_3*TblTech[[#This Row],[5-3]] + tech_5_5*TblTech[[#This Row],[5-5]]))*elite2_ore,0)</f>
        <v>100</v>
      </c>
      <c r="BR20" s="97">
        <f ca="1">ROUNDUP((1-MIN(ROUND(fh_spy_cost_red*TblMili[[#This Row],[FH''s]],4),fh_spy_cost_cap)+ tech_1_9*TblTech[[#This Row],[1-9]] + tech_9_1*TblTech[[#This Row],[9-1]])*spy_plat,0)</f>
        <v>500</v>
      </c>
      <c r="BS20" s="97">
        <f ca="1">ROUNDUP((1-MIN(ROUND(fh_spy_cost_red*TblMili[[#This Row],[FH''s]],4),fh_spy_cost_cap)+ tech_1_9*TblTech[[#This Row],[1-9]] + tech_9_1*TblTech[[#This Row],[9-1]])*archspy_plat,0)</f>
        <v>1000</v>
      </c>
      <c r="BT20" s="97">
        <f ca="1">ROUNDUP((1-MIN(ROUND(wg_wiz_cost_bonus*TblMili[[#This Row],[WG''s]],4),wg_wiz_cost_cap) + tech_1_9_2*TblTech[[#This Row],[1-9]] + tech_9_1_2*TblTech[[#This Row],[9-1]])*wizard_plat,0)</f>
        <v>500</v>
      </c>
      <c r="BU20" s="97">
        <f ca="1">ROUNDUP((1-MIN(ROUND(wg_wiz_cost_bonus*TblMili[[#This Row],[WG''s]],4),wg_wiz_cost_cap) + tech_1_9_2*TblTech[[#This Row],[1-9]] + tech_9_1_2*TblTech[[#This Row],[9-1]])*archmage_plat,0)</f>
        <v>1000</v>
      </c>
      <c r="BV20" s="145"/>
      <c r="BW20" s="160">
        <f ca="1">TblConstr[[#This Row],[Homeland]]/TblConstr[[#This Row],[Land]]</f>
        <v>0.44</v>
      </c>
      <c r="BX20" s="160">
        <f ca="1">TblMili[[#This Row],[WG''s]]</f>
        <v>0</v>
      </c>
      <c r="BY20" s="266">
        <f ca="1">IF(mystic_cap="none",TblMili[[#This Row],[Hill]]/mystic_bonus,MIN(mystic_cap,TblMili[[#This Row],[Hill]]/mystic_bonus))</f>
        <v>2.1999999999999997</v>
      </c>
      <c r="BZ20" s="266">
        <f ca="1">IF(druid_op_cap="none",TblMili[[#This Row],[Hill]]/druid_op_bonus,MIN(druid_op_cap,TblMili[[#This Row],[Hill]]/druid_op_bonus))</f>
        <v>2.1999999999999997</v>
      </c>
      <c r="CA20" s="266">
        <f ca="1">IF(druid_dp_cap="none",TblMili[[#This Row],[Hill]]/druid_dp_bonus,MIN(druid_dp_cap,TblMili[[#This Row],[Hill]]/druid_dp_bonus))</f>
        <v>2.1999999999999997</v>
      </c>
      <c r="CB20" s="266">
        <f ca="1">MIN(dryad_cap,TblMili[[#This Row],[Hill]]/dryad_bonus)</f>
        <v>2.1999999999999997</v>
      </c>
      <c r="CC20" s="266">
        <f ca="1">MIN(rocka_cap,TblMili[[#This Row],[Hill]]/rocka_bonus)</f>
        <v>2</v>
      </c>
      <c r="CD20" s="266">
        <f ca="1">MIN(adept_op_cap,TblMili[[#This Row],[WG]]/adept_op_bonus)</f>
        <v>0</v>
      </c>
      <c r="CE20" s="266">
        <f ca="1">MIN(adept_dp_cap,TblMili[[#This Row],[WG]]/adept_dp_bonus)</f>
        <v>0</v>
      </c>
      <c r="CF20" s="97">
        <f ca="1">MIN(TblMili[[#This Row],[Unit 3]],TblMili[[#This Row],[Unit 2]])*2</f>
        <v>0</v>
      </c>
      <c r="CG20" s="97">
        <f ca="1">MIN(TblMili[[#This Row],[Unit 1]],TblMili[[#This Row],[Unit 4]])*2</f>
        <v>0</v>
      </c>
      <c r="CH20" s="266">
        <f ca="1">MIN(frost_mage_cap,TblMili[[#This Row],[Hill]]/frost_mage_bonus)</f>
        <v>2.1999999999999997</v>
      </c>
      <c r="CI20" s="45">
        <f ca="1">MIN(ice_elem_cap,TblMili[[#This Row],[Raw (2)]]*ice_elem_bonus)</f>
        <v>0.1</v>
      </c>
      <c r="CJ20" s="266">
        <f t="shared" si="0"/>
        <v>0.83333333333333337</v>
      </c>
      <c r="CK20" s="266">
        <f ca="1">MIN(nox_nightshade_cap,TblConstr[[#This Row],[Homeland]]/TblConstr[[#This Row],[Land]]/nox_nightshade_swamp_bonus)</f>
        <v>4</v>
      </c>
      <c r="CL20" s="267" t="s">
        <v>524</v>
      </c>
      <c r="CM20" s="267">
        <f>VLOOKUP(Overview!$A25,Races!$D$4:$H$116,2,FALSE)</f>
        <v>6</v>
      </c>
      <c r="CN20" s="267"/>
      <c r="CO20" s="266">
        <f ca="1">MIN(6,TblMili[[#This Row],[Mystic]]+Races!$F$19)*1.8 +  IF(TblMili[[#This Row],[Mystic]]+Races!$F$19&gt;6,(TblMili[[#This Row],[Mystic]]+Races!$F$19-6)*0.2,0) - Races!$I$19</f>
        <v>3.6399999999999997</v>
      </c>
      <c r="CP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0" s="97">
        <f ca="1">TblMili[[#This Row],[Mystic bonus]]*TblMili[[#This Row],[Unit 3]]+TblMili[[#This Row],[Druid bonus]]*TblMili[[#This Row],[Unit 4]]</f>
        <v>0</v>
      </c>
      <c r="CR20" s="158">
        <f ca="1">MIN(6,TblMili[[#This Row],[Dryad]]+Races!$F$35)*1.8 +  IF(TblMili[[#This Row],[Dryad]]+Races!$F$35&gt;6,(TblMili[[#This Row],[Dryad]]+Races!$F$35-6)*0.2,0) - Races!$I$19</f>
        <v>2.1599999999999993</v>
      </c>
      <c r="CS20" s="97">
        <f ca="1">sylvan*(TblMili[[#This Row],[Mystic bonus]]*TblMili[[#This Row],[Unit 3]])</f>
        <v>0</v>
      </c>
      <c r="CT20" s="158">
        <f ca="1">1.8 * MIN(MAX(Races!$E$27,TblMili[[#This Row],[Rockapult]]+Races!$F$27),6)  +  0.45 * MIN(MIN(Races!$E$27,TblMili[[#This Row],[Rockapult]]+Races!$F$27),6)  +  0.2 * ( MAX(Races!$E$27-6,0) + MAX(TblMili[[#This Row],[Rockapult]]+Races!$F$27-6,0) )  -  Races!$I$20</f>
        <v>5.8500000000000005</v>
      </c>
      <c r="CU20" s="97">
        <f ca="1">gnome*(TblMili[[#This Row],[Rockapult bonus]]*TblMili[[#This Row],[Unit 3]])</f>
        <v>0</v>
      </c>
      <c r="CV20" s="158">
        <f ca="1">1.8 * MIN(MAX(TblMili[[#This Row],[Spellblade]]+Races!$E$47,TblMili[[#This Row],[Adept-DP]]+Races!$F$47),6)  +  0.45 * MIN(MIN(TblMili[[#This Row],[Spellblade]]+Races!$E$47,TblMili[[#This Row],[Adept-DP]]+Races!$F$47),6)  +  0.2 * ( MAX(TblMili[[#This Row],[Spellblade]]+Races!$E$47-6,0) + MAX(TblMili[[#This Row],[Adept-DP]]+Races!$F$47-6,0) )  -  Races!$I$47</f>
        <v>0</v>
      </c>
      <c r="CW20" s="97">
        <f ca="1">dark_elf*(TblMili[[#This Row],[Adept bonus]]*TblMili[[#This Row],[Unit 3]])</f>
        <v>0</v>
      </c>
      <c r="CX20" s="158">
        <f ca="1">1.8 * MIN(MAX(TblMili[[#This Row],[Frost Mage]]+Races!$F$71,Races!$E$71),6)  +  0.45 * MIN(MIN(TblMili[[#This Row],[Frost Mage]]+Races!$F$71,Races!$E$71),6)  +  0.2 * ( MAX(TblMili[[#This Row],[Frost Mage]]+Races!$F$71-6,0) + MAX(Races!$E$71-6,0) )  -  Races!$I$71</f>
        <v>3.9599999999999991</v>
      </c>
      <c r="CY20" s="158">
        <f ca="1">1.8 * MIN(MAX(TblMili[[#This Row],[Ice Elemental]]+Races!$E$71,Races!$F$71),6)  +  0.45 * MIN(MIN(TblMili[[#This Row],[Ice Elemental]]+Races!$E$71,Races!$F$71),6)  +  0.2 * ( MAX(TblMili[[#This Row],[Ice Elemental]]+Races!$E$71-6,0) + MAX(Races!$F$71-6,0) )  -  Races!$I$71</f>
        <v>0.17999999999999972</v>
      </c>
      <c r="CZ20" s="97">
        <f ca="1">TblMili[[#This Row],[Frost Mage bonus]]*TblMili[[#This Row],[Unit 3]]+TblMili[[#This Row],[Ice Elemental bonus]]*TblMili[[#This Row],[Unit 4]]</f>
        <v>0</v>
      </c>
      <c r="DA20" s="268"/>
      <c r="DB20" s="146">
        <f ca="1">MIN(SUM(TblConstr[[#This Row],[Plain]:[Water]])/TblMili[[#This Row],[Land]]/favorable_terrain_bonus/100,favorable_terrain_max)</f>
        <v>0.1</v>
      </c>
      <c r="DC20" s="268"/>
      <c r="DD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0" s="145"/>
      <c r="DF20" s="269">
        <f ca="1">(TblMili[[#This Row],[Wizards]]+2*TblMili[[#This Row],[Archmages]])/TblConstr[[#This Row],[Land]]</f>
        <v>0.1</v>
      </c>
      <c r="DG20" s="269">
        <f ca="1">TblMili[[#This Row],[Raw (2)]]*(1+race_wizard_strength+IF(TblMili[[#This Row],[Hour]]&gt;72,tech_magical_weaponry_wiz*TblTech[[#This Row],[3-5]],0))</f>
        <v>0.1</v>
      </c>
    </row>
    <row r="21" spans="1:111"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45458.708333333292</v>
      </c>
      <c r="AG21" s="182"/>
      <c r="AH21" s="182"/>
      <c r="AI21" s="182"/>
      <c r="AJ21" s="182"/>
      <c r="AK21" s="182"/>
      <c r="AL21" s="182"/>
      <c r="AM21" s="182"/>
      <c r="AN21" s="182"/>
      <c r="AO21" s="449">
        <f ca="1">IF(AND(TblMagic[[#This Row],[Active DnD]]&lt;12,TblMagic[[#This Row],[Active DnD]]&gt;5),OFFSET(TblPop[[#This Row],[Draft Growth]],-1,0)/2,0)</f>
        <v>0</v>
      </c>
      <c r="AP21" s="145"/>
      <c r="AQ21" s="97">
        <f ca="1">TblProd[[#This Row],[Platinum]]</f>
        <v>211511</v>
      </c>
      <c r="AR21" s="97">
        <f ca="1">INDEX(TblProd[[#Headers],[Lumber]]:TblProd[[#This Row],[Ore]],COUNTA(TblProd[[#Headers],[Lumber]]:TblProd[[#This Row],[Lumber]]),MATCH(Military!$AQ$2,TblProd[[#Headers],[Lumber]:[Ore]],0))</f>
        <v>0</v>
      </c>
      <c r="AS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7">
        <f ca="1">TblMili[[#This Row],[Train Unit 1]]*TblMili[[#This Row],[OP Ore]]+TblMili[[#This Row],[Train Unit 2]]*TblMili[[#This Row],[DP Ore]]+TblMili[[#This Row],[Train Unit 3]]*TblMili[[#This Row],[E1 Ore]]+TblMili[[#This Row],[Train Unit 4]]*TblMili[[#This Row],[E2 Ore]]</f>
        <v>0</v>
      </c>
      <c r="AU21" s="145">
        <f>TblMili[[#This Row],[Hour]]</f>
        <v>18</v>
      </c>
      <c r="AV21" s="155">
        <f ca="1">TblMili[[#This Row],[Time]]</f>
        <v>45458.708333333292</v>
      </c>
      <c r="AW21" s="97">
        <f ca="1">TblMili[[#This Row],[Draftees]]</f>
        <v>359</v>
      </c>
      <c r="AX21" s="182"/>
      <c r="AY21" s="182"/>
      <c r="AZ21" s="182"/>
      <c r="BA21" s="182"/>
      <c r="BB21" s="182"/>
      <c r="BC21" s="182"/>
      <c r="BD21" s="182"/>
      <c r="BE21" s="182"/>
      <c r="BF21" s="182"/>
      <c r="BG21" s="145"/>
      <c r="BH21" s="160">
        <f ca="1">TblConstr[[#This Row],[Tot WG]]/TblConstr[[#This Row],[Land]]</f>
        <v>0</v>
      </c>
      <c r="BI21" s="160">
        <f ca="1">TblConstr[[#This Row],[Tot Hav]]/TblConstr[[#This Row],[Land]]</f>
        <v>0</v>
      </c>
      <c r="BJ21" s="97">
        <f ca="1">ROUNDUP((1-MIN(TblMili[[#This Row],[Smithies]]*smithy_bonus,smithy_bonus_cap) + tech_3_5*TblTech[[#This Row],[3-5]] + tech_5_3*TblTech[[#This Row],[5-3]] + tech_5_5*TblTech[[#This Row],[5-5]])*spec_op_plat,0)</f>
        <v>275</v>
      </c>
      <c r="BK21" s="97">
        <f ca="1">ROUNDUP(IF(race="Gnome",1,(1-MIN(TblMili[[#This Row],[Smithies]]*smithy_bonus,smithy_bonus_cap) + tech_3_5*TblTech[[#This Row],[3-5]] + tech_5_3*TblTech[[#This Row],[5-3]] + tech_5_5*TblTech[[#This Row],[5-5]]))*spec_op_ore,0)</f>
        <v>25</v>
      </c>
      <c r="BL21" s="97">
        <f ca="1">ROUNDUP((1-MIN(TblMili[[#This Row],[Smithies]]*smithy_bonus,smithy_bonus_cap) + tech_3_5*TblTech[[#This Row],[3-5]] + tech_5_3*TblTech[[#This Row],[5-3]] + tech_5_5*TblTech[[#This Row],[5-5]])*spec_dp_plat,0)</f>
        <v>275</v>
      </c>
      <c r="BM21" s="97">
        <f ca="1">ROUNDUP(IF(race="Gnome",1,(1-MIN(TblMili[[#This Row],[Smithies]]*smithy_bonus,smithy_bonus_cap) + tech_3_5*TblTech[[#This Row],[3-5]] + tech_5_3*TblTech[[#This Row],[5-3]] + tech_5_5*TblTech[[#This Row],[5-5]]))*spec_dp_ore,0)</f>
        <v>15</v>
      </c>
      <c r="BN21" s="97">
        <f ca="1">ROUNDUP((1-MIN(TblMili[[#This Row],[Smithies]]*smithy_bonus,smithy_bonus_cap) + tech_3_5*TblTech[[#This Row],[3-5]] + tech_5_3*TblTech[[#This Row],[5-3]] + tech_5_5*TblTech[[#This Row],[5-5]])*elite1_plat,0)</f>
        <v>1000</v>
      </c>
      <c r="BO21" s="97">
        <f ca="1">ROUNDUP(IF(race="Gnome",1,(1-MIN(TblMili[[#This Row],[Smithies]]*smithy_bonus,smithy_bonus_cap) + tech_3_5*TblTech[[#This Row],[3-5]] + tech_5_3*TblTech[[#This Row],[5-3]] + tech_5_5*TblTech[[#This Row],[5-5]]))*elite1_ore,0)</f>
        <v>75</v>
      </c>
      <c r="BP21" s="97">
        <f ca="1">ROUNDUP((1-MIN(TblMili[[#This Row],[Smithies]]*smithy_bonus,smithy_bonus_cap) + tech_3_5*TblTech[[#This Row],[3-5]] + tech_5_3*TblTech[[#This Row],[5-3]] + tech_5_5*TblTech[[#This Row],[5-5]])*elite2_plat,0)</f>
        <v>1250</v>
      </c>
      <c r="BQ21" s="97">
        <f ca="1">ROUNDUP(IF(race="Gnome",1,(1-MIN(TblMili[[#This Row],[Smithies]]*smithy_bonus,smithy_bonus_cap) + tech_3_5*TblTech[[#This Row],[3-5]] + tech_5_3*TblTech[[#This Row],[5-3]] + tech_5_5*TblTech[[#This Row],[5-5]]))*elite2_ore,0)</f>
        <v>100</v>
      </c>
      <c r="BR21" s="97">
        <f ca="1">ROUNDUP((1-MIN(ROUND(fh_spy_cost_red*TblMili[[#This Row],[FH''s]],4),fh_spy_cost_cap)+ tech_1_9*TblTech[[#This Row],[1-9]] + tech_9_1*TblTech[[#This Row],[9-1]])*spy_plat,0)</f>
        <v>500</v>
      </c>
      <c r="BS21" s="97">
        <f ca="1">ROUNDUP((1-MIN(ROUND(fh_spy_cost_red*TblMili[[#This Row],[FH''s]],4),fh_spy_cost_cap)+ tech_1_9*TblTech[[#This Row],[1-9]] + tech_9_1*TblTech[[#This Row],[9-1]])*archspy_plat,0)</f>
        <v>1000</v>
      </c>
      <c r="BT21" s="97">
        <f ca="1">ROUNDUP((1-MIN(ROUND(wg_wiz_cost_bonus*TblMili[[#This Row],[WG''s]],4),wg_wiz_cost_cap) + tech_1_9_2*TblTech[[#This Row],[1-9]] + tech_9_1_2*TblTech[[#This Row],[9-1]])*wizard_plat,0)</f>
        <v>500</v>
      </c>
      <c r="BU21" s="97">
        <f ca="1">ROUNDUP((1-MIN(ROUND(wg_wiz_cost_bonus*TblMili[[#This Row],[WG''s]],4),wg_wiz_cost_cap) + tech_1_9_2*TblTech[[#This Row],[1-9]] + tech_9_1_2*TblTech[[#This Row],[9-1]])*archmage_plat,0)</f>
        <v>1000</v>
      </c>
      <c r="BV21" s="145"/>
      <c r="BW21" s="160">
        <f ca="1">TblConstr[[#This Row],[Homeland]]/TblConstr[[#This Row],[Land]]</f>
        <v>0.44</v>
      </c>
      <c r="BX21" s="160">
        <f ca="1">TblMili[[#This Row],[WG''s]]</f>
        <v>0</v>
      </c>
      <c r="BY21" s="266">
        <f ca="1">IF(mystic_cap="none",TblMili[[#This Row],[Hill]]/mystic_bonus,MIN(mystic_cap,TblMili[[#This Row],[Hill]]/mystic_bonus))</f>
        <v>2.1999999999999997</v>
      </c>
      <c r="BZ21" s="266">
        <f ca="1">IF(druid_op_cap="none",TblMili[[#This Row],[Hill]]/druid_op_bonus,MIN(druid_op_cap,TblMili[[#This Row],[Hill]]/druid_op_bonus))</f>
        <v>2.1999999999999997</v>
      </c>
      <c r="CA21" s="266">
        <f ca="1">IF(druid_dp_cap="none",TblMili[[#This Row],[Hill]]/druid_dp_bonus,MIN(druid_dp_cap,TblMili[[#This Row],[Hill]]/druid_dp_bonus))</f>
        <v>2.1999999999999997</v>
      </c>
      <c r="CB21" s="266">
        <f ca="1">MIN(dryad_cap,TblMili[[#This Row],[Hill]]/dryad_bonus)</f>
        <v>2.1999999999999997</v>
      </c>
      <c r="CC21" s="266">
        <f ca="1">MIN(rocka_cap,TblMili[[#This Row],[Hill]]/rocka_bonus)</f>
        <v>2</v>
      </c>
      <c r="CD21" s="266">
        <f ca="1">MIN(adept_op_cap,TblMili[[#This Row],[WG]]/adept_op_bonus)</f>
        <v>0</v>
      </c>
      <c r="CE21" s="266">
        <f ca="1">MIN(adept_dp_cap,TblMili[[#This Row],[WG]]/adept_dp_bonus)</f>
        <v>0</v>
      </c>
      <c r="CF21" s="97">
        <f ca="1">MIN(TblMili[[#This Row],[Unit 3]],TblMili[[#This Row],[Unit 2]])*2</f>
        <v>0</v>
      </c>
      <c r="CG21" s="97">
        <f ca="1">MIN(TblMili[[#This Row],[Unit 1]],TblMili[[#This Row],[Unit 4]])*2</f>
        <v>0</v>
      </c>
      <c r="CH21" s="266">
        <f ca="1">MIN(frost_mage_cap,TblMili[[#This Row],[Hill]]/frost_mage_bonus)</f>
        <v>2.1999999999999997</v>
      </c>
      <c r="CI21" s="45">
        <f ca="1">MIN(ice_elem_cap,TblMili[[#This Row],[Raw (2)]]*ice_elem_bonus)</f>
        <v>0.1</v>
      </c>
      <c r="CJ21" s="266">
        <f t="shared" si="0"/>
        <v>0.83333333333333337</v>
      </c>
      <c r="CK21" s="266">
        <f ca="1">MIN(nox_nightshade_cap,TblConstr[[#This Row],[Homeland]]/TblConstr[[#This Row],[Land]]/nox_nightshade_swamp_bonus)</f>
        <v>4</v>
      </c>
      <c r="CL21" s="267" t="s">
        <v>523</v>
      </c>
      <c r="CM21" s="267">
        <f>VLOOKUP(Overview!$A25,Races!$D$4:$H$116,3,FALSE)</f>
        <v>3</v>
      </c>
      <c r="CN21" s="267"/>
      <c r="CO21" s="266">
        <f ca="1">MIN(6,TblMili[[#This Row],[Mystic]]+Races!$F$19)*1.8 +  IF(TblMili[[#This Row],[Mystic]]+Races!$F$19&gt;6,(TblMili[[#This Row],[Mystic]]+Races!$F$19-6)*0.2,0) - Races!$I$19</f>
        <v>3.6399999999999997</v>
      </c>
      <c r="CP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1" s="97">
        <f ca="1">TblMili[[#This Row],[Mystic bonus]]*TblMili[[#This Row],[Unit 3]]+TblMili[[#This Row],[Druid bonus]]*TblMili[[#This Row],[Unit 4]]</f>
        <v>0</v>
      </c>
      <c r="CR21" s="158">
        <f ca="1">MIN(6,TblMili[[#This Row],[Dryad]]+Races!$F$35)*1.8 +  IF(TblMili[[#This Row],[Dryad]]+Races!$F$35&gt;6,(TblMili[[#This Row],[Dryad]]+Races!$F$35-6)*0.2,0) - Races!$I$19</f>
        <v>2.1599999999999993</v>
      </c>
      <c r="CS21" s="97">
        <f ca="1">sylvan*(TblMili[[#This Row],[Mystic bonus]]*TblMili[[#This Row],[Unit 3]])</f>
        <v>0</v>
      </c>
      <c r="CT21" s="158">
        <f ca="1">1.8 * MIN(MAX(Races!$E$27,TblMili[[#This Row],[Rockapult]]+Races!$F$27),6)  +  0.45 * MIN(MIN(Races!$E$27,TblMili[[#This Row],[Rockapult]]+Races!$F$27),6)  +  0.2 * ( MAX(Races!$E$27-6,0) + MAX(TblMili[[#This Row],[Rockapult]]+Races!$F$27-6,0) )  -  Races!$I$20</f>
        <v>5.8500000000000005</v>
      </c>
      <c r="CU21" s="97">
        <f ca="1">gnome*(TblMili[[#This Row],[Rockapult bonus]]*TblMili[[#This Row],[Unit 3]])</f>
        <v>0</v>
      </c>
      <c r="CV21" s="158">
        <f ca="1">1.8 * MIN(MAX(TblMili[[#This Row],[Spellblade]]+Races!$E$47,TblMili[[#This Row],[Adept-DP]]+Races!$F$47),6)  +  0.45 * MIN(MIN(TblMili[[#This Row],[Spellblade]]+Races!$E$47,TblMili[[#This Row],[Adept-DP]]+Races!$F$47),6)  +  0.2 * ( MAX(TblMili[[#This Row],[Spellblade]]+Races!$E$47-6,0) + MAX(TblMili[[#This Row],[Adept-DP]]+Races!$F$47-6,0) )  -  Races!$I$47</f>
        <v>0</v>
      </c>
      <c r="CW21" s="97">
        <f ca="1">dark_elf*(TblMili[[#This Row],[Adept bonus]]*TblMili[[#This Row],[Unit 3]])</f>
        <v>0</v>
      </c>
      <c r="CX21" s="158">
        <f ca="1">1.8 * MIN(MAX(TblMili[[#This Row],[Frost Mage]]+Races!$F$71,Races!$E$71),6)  +  0.45 * MIN(MIN(TblMili[[#This Row],[Frost Mage]]+Races!$F$71,Races!$E$71),6)  +  0.2 * ( MAX(TblMili[[#This Row],[Frost Mage]]+Races!$F$71-6,0) + MAX(Races!$E$71-6,0) )  -  Races!$I$71</f>
        <v>3.9599999999999991</v>
      </c>
      <c r="CY21" s="158">
        <f ca="1">1.8 * MIN(MAX(TblMili[[#This Row],[Ice Elemental]]+Races!$E$71,Races!$F$71),6)  +  0.45 * MIN(MIN(TblMili[[#This Row],[Ice Elemental]]+Races!$E$71,Races!$F$71),6)  +  0.2 * ( MAX(TblMili[[#This Row],[Ice Elemental]]+Races!$E$71-6,0) + MAX(Races!$F$71-6,0) )  -  Races!$I$71</f>
        <v>0.17999999999999972</v>
      </c>
      <c r="CZ21" s="97">
        <f ca="1">TblMili[[#This Row],[Frost Mage bonus]]*TblMili[[#This Row],[Unit 3]]+TblMili[[#This Row],[Ice Elemental bonus]]*TblMili[[#This Row],[Unit 4]]</f>
        <v>0</v>
      </c>
      <c r="DA21" s="268"/>
      <c r="DB21" s="146">
        <f ca="1">MIN(SUM(TblConstr[[#This Row],[Plain]:[Water]])/TblMili[[#This Row],[Land]]/favorable_terrain_bonus/100,favorable_terrain_max)</f>
        <v>0.1</v>
      </c>
      <c r="DC21" s="268"/>
      <c r="DD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1" s="145"/>
      <c r="DF21" s="269">
        <f ca="1">(TblMili[[#This Row],[Wizards]]+2*TblMili[[#This Row],[Archmages]])/TblConstr[[#This Row],[Land]]</f>
        <v>0.1</v>
      </c>
      <c r="DG21" s="269">
        <f ca="1">TblMili[[#This Row],[Raw (2)]]*(1+race_wizard_strength+IF(TblMili[[#This Row],[Hour]]&gt;72,tech_magical_weaponry_wiz*TblTech[[#This Row],[3-5]],0))</f>
        <v>0.1</v>
      </c>
    </row>
    <row r="22" spans="1:111"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45458.749999999956</v>
      </c>
      <c r="AG22" s="182"/>
      <c r="AH22" s="182"/>
      <c r="AI22" s="182"/>
      <c r="AJ22" s="182"/>
      <c r="AK22" s="182"/>
      <c r="AL22" s="182"/>
      <c r="AM22" s="182"/>
      <c r="AN22" s="182"/>
      <c r="AO22" s="449">
        <f ca="1">IF(AND(TblMagic[[#This Row],[Active DnD]]&lt;12,TblMagic[[#This Row],[Active DnD]]&gt;5),OFFSET(TblPop[[#This Row],[Draft Growth]],-1,0)/2,0)</f>
        <v>0</v>
      </c>
      <c r="AP22" s="145"/>
      <c r="AQ22" s="97">
        <f ca="1">TblProd[[#This Row],[Platinum]]</f>
        <v>217181</v>
      </c>
      <c r="AR22" s="97">
        <f ca="1">INDEX(TblProd[[#Headers],[Lumber]]:TblProd[[#This Row],[Ore]],COUNTA(TblProd[[#Headers],[Lumber]]:TblProd[[#This Row],[Lumber]]),MATCH(Military!$AQ$2,TblProd[[#Headers],[Lumber]:[Ore]],0))</f>
        <v>0</v>
      </c>
      <c r="AS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7">
        <f ca="1">TblMili[[#This Row],[Train Unit 1]]*TblMili[[#This Row],[OP Ore]]+TblMili[[#This Row],[Train Unit 2]]*TblMili[[#This Row],[DP Ore]]+TblMili[[#This Row],[Train Unit 3]]*TblMili[[#This Row],[E1 Ore]]+TblMili[[#This Row],[Train Unit 4]]*TblMili[[#This Row],[E2 Ore]]</f>
        <v>0</v>
      </c>
      <c r="AU22" s="145">
        <f>TblMili[[#This Row],[Hour]]</f>
        <v>19</v>
      </c>
      <c r="AV22" s="155">
        <f ca="1">TblMili[[#This Row],[Time]]</f>
        <v>45458.749999999956</v>
      </c>
      <c r="AW22" s="97">
        <f ca="1">TblMili[[#This Row],[Draftees]]</f>
        <v>377</v>
      </c>
      <c r="AX22" s="182"/>
      <c r="AY22" s="182"/>
      <c r="AZ22" s="182"/>
      <c r="BA22" s="182"/>
      <c r="BB22" s="182"/>
      <c r="BC22" s="182"/>
      <c r="BD22" s="182"/>
      <c r="BE22" s="182"/>
      <c r="BF22" s="182"/>
      <c r="BG22" s="145"/>
      <c r="BH22" s="160">
        <f ca="1">TblConstr[[#This Row],[Tot WG]]/TblConstr[[#This Row],[Land]]</f>
        <v>0</v>
      </c>
      <c r="BI22" s="160">
        <f ca="1">TblConstr[[#This Row],[Tot Hav]]/TblConstr[[#This Row],[Land]]</f>
        <v>0</v>
      </c>
      <c r="BJ22" s="97">
        <f ca="1">ROUNDUP((1-MIN(TblMili[[#This Row],[Smithies]]*smithy_bonus,smithy_bonus_cap) + tech_3_5*TblTech[[#This Row],[3-5]] + tech_5_3*TblTech[[#This Row],[5-3]] + tech_5_5*TblTech[[#This Row],[5-5]])*spec_op_plat,0)</f>
        <v>275</v>
      </c>
      <c r="BK22" s="97">
        <f ca="1">ROUNDUP(IF(race="Gnome",1,(1-MIN(TblMili[[#This Row],[Smithies]]*smithy_bonus,smithy_bonus_cap) + tech_3_5*TblTech[[#This Row],[3-5]] + tech_5_3*TblTech[[#This Row],[5-3]] + tech_5_5*TblTech[[#This Row],[5-5]]))*spec_op_ore,0)</f>
        <v>25</v>
      </c>
      <c r="BL22" s="97">
        <f ca="1">ROUNDUP((1-MIN(TblMili[[#This Row],[Smithies]]*smithy_bonus,smithy_bonus_cap) + tech_3_5*TblTech[[#This Row],[3-5]] + tech_5_3*TblTech[[#This Row],[5-3]] + tech_5_5*TblTech[[#This Row],[5-5]])*spec_dp_plat,0)</f>
        <v>275</v>
      </c>
      <c r="BM22" s="97">
        <f ca="1">ROUNDUP(IF(race="Gnome",1,(1-MIN(TblMili[[#This Row],[Smithies]]*smithy_bonus,smithy_bonus_cap) + tech_3_5*TblTech[[#This Row],[3-5]] + tech_5_3*TblTech[[#This Row],[5-3]] + tech_5_5*TblTech[[#This Row],[5-5]]))*spec_dp_ore,0)</f>
        <v>15</v>
      </c>
      <c r="BN22" s="97">
        <f ca="1">ROUNDUP((1-MIN(TblMili[[#This Row],[Smithies]]*smithy_bonus,smithy_bonus_cap) + tech_3_5*TblTech[[#This Row],[3-5]] + tech_5_3*TblTech[[#This Row],[5-3]] + tech_5_5*TblTech[[#This Row],[5-5]])*elite1_plat,0)</f>
        <v>1000</v>
      </c>
      <c r="BO22" s="97">
        <f ca="1">ROUNDUP(IF(race="Gnome",1,(1-MIN(TblMili[[#This Row],[Smithies]]*smithy_bonus,smithy_bonus_cap) + tech_3_5*TblTech[[#This Row],[3-5]] + tech_5_3*TblTech[[#This Row],[5-3]] + tech_5_5*TblTech[[#This Row],[5-5]]))*elite1_ore,0)</f>
        <v>75</v>
      </c>
      <c r="BP22" s="97">
        <f ca="1">ROUNDUP((1-MIN(TblMili[[#This Row],[Smithies]]*smithy_bonus,smithy_bonus_cap) + tech_3_5*TblTech[[#This Row],[3-5]] + tech_5_3*TblTech[[#This Row],[5-3]] + tech_5_5*TblTech[[#This Row],[5-5]])*elite2_plat,0)</f>
        <v>1250</v>
      </c>
      <c r="BQ22" s="97">
        <f ca="1">ROUNDUP(IF(race="Gnome",1,(1-MIN(TblMili[[#This Row],[Smithies]]*smithy_bonus,smithy_bonus_cap) + tech_3_5*TblTech[[#This Row],[3-5]] + tech_5_3*TblTech[[#This Row],[5-3]] + tech_5_5*TblTech[[#This Row],[5-5]]))*elite2_ore,0)</f>
        <v>100</v>
      </c>
      <c r="BR22" s="97">
        <f ca="1">ROUNDUP((1-MIN(ROUND(fh_spy_cost_red*TblMili[[#This Row],[FH''s]],4),fh_spy_cost_cap)+ tech_1_9*TblTech[[#This Row],[1-9]] + tech_9_1*TblTech[[#This Row],[9-1]])*spy_plat,0)</f>
        <v>500</v>
      </c>
      <c r="BS22" s="97">
        <f ca="1">ROUNDUP((1-MIN(ROUND(fh_spy_cost_red*TblMili[[#This Row],[FH''s]],4),fh_spy_cost_cap)+ tech_1_9*TblTech[[#This Row],[1-9]] + tech_9_1*TblTech[[#This Row],[9-1]])*archspy_plat,0)</f>
        <v>1000</v>
      </c>
      <c r="BT22" s="97">
        <f ca="1">ROUNDUP((1-MIN(ROUND(wg_wiz_cost_bonus*TblMili[[#This Row],[WG''s]],4),wg_wiz_cost_cap) + tech_1_9_2*TblTech[[#This Row],[1-9]] + tech_9_1_2*TblTech[[#This Row],[9-1]])*wizard_plat,0)</f>
        <v>500</v>
      </c>
      <c r="BU22" s="97">
        <f ca="1">ROUNDUP((1-MIN(ROUND(wg_wiz_cost_bonus*TblMili[[#This Row],[WG''s]],4),wg_wiz_cost_cap) + tech_1_9_2*TblTech[[#This Row],[1-9]] + tech_9_1_2*TblTech[[#This Row],[9-1]])*archmage_plat,0)</f>
        <v>1000</v>
      </c>
      <c r="BV22" s="145"/>
      <c r="BW22" s="160">
        <f ca="1">TblConstr[[#This Row],[Homeland]]/TblConstr[[#This Row],[Land]]</f>
        <v>0.44</v>
      </c>
      <c r="BX22" s="160">
        <f ca="1">TblMili[[#This Row],[WG''s]]</f>
        <v>0</v>
      </c>
      <c r="BY22" s="266">
        <f ca="1">IF(mystic_cap="none",TblMili[[#This Row],[Hill]]/mystic_bonus,MIN(mystic_cap,TblMili[[#This Row],[Hill]]/mystic_bonus))</f>
        <v>2.1999999999999997</v>
      </c>
      <c r="BZ22" s="266">
        <f ca="1">IF(druid_op_cap="none",TblMili[[#This Row],[Hill]]/druid_op_bonus,MIN(druid_op_cap,TblMili[[#This Row],[Hill]]/druid_op_bonus))</f>
        <v>2.1999999999999997</v>
      </c>
      <c r="CA22" s="266">
        <f ca="1">IF(druid_dp_cap="none",TblMili[[#This Row],[Hill]]/druid_dp_bonus,MIN(druid_dp_cap,TblMili[[#This Row],[Hill]]/druid_dp_bonus))</f>
        <v>2.1999999999999997</v>
      </c>
      <c r="CB22" s="266">
        <f ca="1">MIN(dryad_cap,TblMili[[#This Row],[Hill]]/dryad_bonus)</f>
        <v>2.1999999999999997</v>
      </c>
      <c r="CC22" s="266">
        <f ca="1">MIN(rocka_cap,TblMili[[#This Row],[Hill]]/rocka_bonus)</f>
        <v>2</v>
      </c>
      <c r="CD22" s="266">
        <f ca="1">MIN(adept_op_cap,TblMili[[#This Row],[WG]]/adept_op_bonus)</f>
        <v>0</v>
      </c>
      <c r="CE22" s="266">
        <f ca="1">MIN(adept_dp_cap,TblMili[[#This Row],[WG]]/adept_dp_bonus)</f>
        <v>0</v>
      </c>
      <c r="CF22" s="97">
        <f ca="1">MIN(TblMili[[#This Row],[Unit 3]],TblMili[[#This Row],[Unit 2]])*2</f>
        <v>0</v>
      </c>
      <c r="CG22" s="97">
        <f ca="1">MIN(TblMili[[#This Row],[Unit 1]],TblMili[[#This Row],[Unit 4]])*2</f>
        <v>0</v>
      </c>
      <c r="CH22" s="266">
        <f ca="1">MIN(frost_mage_cap,TblMili[[#This Row],[Hill]]/frost_mage_bonus)</f>
        <v>2.1999999999999997</v>
      </c>
      <c r="CI22" s="45">
        <f ca="1">MIN(ice_elem_cap,TblMili[[#This Row],[Raw (2)]]*ice_elem_bonus)</f>
        <v>0.1</v>
      </c>
      <c r="CJ22" s="266">
        <f t="shared" si="0"/>
        <v>0.83333333333333337</v>
      </c>
      <c r="CK22" s="266">
        <f ca="1">MIN(nox_nightshade_cap,TblConstr[[#This Row],[Homeland]]/TblConstr[[#This Row],[Land]]/nox_nightshade_swamp_bonus)</f>
        <v>4</v>
      </c>
      <c r="CL22" s="267"/>
      <c r="CM22" s="267"/>
      <c r="CN22" s="267"/>
      <c r="CO22" s="266">
        <f ca="1">MIN(6,TblMili[[#This Row],[Mystic]]+Races!$F$19)*1.8 +  IF(TblMili[[#This Row],[Mystic]]+Races!$F$19&gt;6,(TblMili[[#This Row],[Mystic]]+Races!$F$19-6)*0.2,0) - Races!$I$19</f>
        <v>3.6399999999999997</v>
      </c>
      <c r="CP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2" s="97">
        <f ca="1">TblMili[[#This Row],[Mystic bonus]]*TblMili[[#This Row],[Unit 3]]+TblMili[[#This Row],[Druid bonus]]*TblMili[[#This Row],[Unit 4]]</f>
        <v>0</v>
      </c>
      <c r="CR22" s="158">
        <f ca="1">MIN(6,TblMili[[#This Row],[Dryad]]+Races!$F$35)*1.8 +  IF(TblMili[[#This Row],[Dryad]]+Races!$F$35&gt;6,(TblMili[[#This Row],[Dryad]]+Races!$F$35-6)*0.2,0) - Races!$I$19</f>
        <v>2.1599999999999993</v>
      </c>
      <c r="CS22" s="97">
        <f ca="1">sylvan*(TblMili[[#This Row],[Mystic bonus]]*TblMili[[#This Row],[Unit 3]])</f>
        <v>0</v>
      </c>
      <c r="CT22" s="158">
        <f ca="1">1.8 * MIN(MAX(Races!$E$27,TblMili[[#This Row],[Rockapult]]+Races!$F$27),6)  +  0.45 * MIN(MIN(Races!$E$27,TblMili[[#This Row],[Rockapult]]+Races!$F$27),6)  +  0.2 * ( MAX(Races!$E$27-6,0) + MAX(TblMili[[#This Row],[Rockapult]]+Races!$F$27-6,0) )  -  Races!$I$20</f>
        <v>5.8500000000000005</v>
      </c>
      <c r="CU22" s="97">
        <f ca="1">gnome*(TblMili[[#This Row],[Rockapult bonus]]*TblMili[[#This Row],[Unit 3]])</f>
        <v>0</v>
      </c>
      <c r="CV22" s="158">
        <f ca="1">1.8 * MIN(MAX(TblMili[[#This Row],[Spellblade]]+Races!$E$47,TblMili[[#This Row],[Adept-DP]]+Races!$F$47),6)  +  0.45 * MIN(MIN(TblMili[[#This Row],[Spellblade]]+Races!$E$47,TblMili[[#This Row],[Adept-DP]]+Races!$F$47),6)  +  0.2 * ( MAX(TblMili[[#This Row],[Spellblade]]+Races!$E$47-6,0) + MAX(TblMili[[#This Row],[Adept-DP]]+Races!$F$47-6,0) )  -  Races!$I$47</f>
        <v>0</v>
      </c>
      <c r="CW22" s="97">
        <f ca="1">dark_elf*(TblMili[[#This Row],[Adept bonus]]*TblMili[[#This Row],[Unit 3]])</f>
        <v>0</v>
      </c>
      <c r="CX22" s="158">
        <f ca="1">1.8 * MIN(MAX(TblMili[[#This Row],[Frost Mage]]+Races!$F$71,Races!$E$71),6)  +  0.45 * MIN(MIN(TblMili[[#This Row],[Frost Mage]]+Races!$F$71,Races!$E$71),6)  +  0.2 * ( MAX(TblMili[[#This Row],[Frost Mage]]+Races!$F$71-6,0) + MAX(Races!$E$71-6,0) )  -  Races!$I$71</f>
        <v>3.9599999999999991</v>
      </c>
      <c r="CY22" s="158">
        <f ca="1">1.8 * MIN(MAX(TblMili[[#This Row],[Ice Elemental]]+Races!$E$71,Races!$F$71),6)  +  0.45 * MIN(MIN(TblMili[[#This Row],[Ice Elemental]]+Races!$E$71,Races!$F$71),6)  +  0.2 * ( MAX(TblMili[[#This Row],[Ice Elemental]]+Races!$E$71-6,0) + MAX(Races!$F$71-6,0) )  -  Races!$I$71</f>
        <v>0.17999999999999972</v>
      </c>
      <c r="CZ22" s="97">
        <f ca="1">TblMili[[#This Row],[Frost Mage bonus]]*TblMili[[#This Row],[Unit 3]]+TblMili[[#This Row],[Ice Elemental bonus]]*TblMili[[#This Row],[Unit 4]]</f>
        <v>0</v>
      </c>
      <c r="DA22" s="268"/>
      <c r="DB22" s="146">
        <f ca="1">MIN(SUM(TblConstr[[#This Row],[Plain]:[Water]])/TblMili[[#This Row],[Land]]/favorable_terrain_bonus/100,favorable_terrain_max)</f>
        <v>0.1</v>
      </c>
      <c r="DC22" s="268"/>
      <c r="DD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2" s="145"/>
      <c r="DF22" s="269">
        <f ca="1">(TblMili[[#This Row],[Wizards]]+2*TblMili[[#This Row],[Archmages]])/TblConstr[[#This Row],[Land]]</f>
        <v>0.1</v>
      </c>
      <c r="DG22" s="269">
        <f ca="1">TblMili[[#This Row],[Raw (2)]]*(1+race_wizard_strength+IF(TblMili[[#This Row],[Hour]]&gt;72,tech_magical_weaponry_wiz*TblTech[[#This Row],[3-5]],0))</f>
        <v>0.1</v>
      </c>
    </row>
    <row r="23" spans="1:111"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45458.791666666621</v>
      </c>
      <c r="AG23" s="182"/>
      <c r="AH23" s="182"/>
      <c r="AI23" s="182"/>
      <c r="AJ23" s="182"/>
      <c r="AK23" s="182"/>
      <c r="AL23" s="182"/>
      <c r="AM23" s="182"/>
      <c r="AN23" s="182"/>
      <c r="AO23" s="449">
        <f ca="1">IF(AND(TblMagic[[#This Row],[Active DnD]]&lt;12,TblMagic[[#This Row],[Active DnD]]&gt;5),OFFSET(TblPop[[#This Row],[Draft Growth]],-1,0)/2,0)</f>
        <v>0</v>
      </c>
      <c r="AP23" s="145"/>
      <c r="AQ23" s="97">
        <f ca="1">TblProd[[#This Row],[Platinum]]</f>
        <v>222851</v>
      </c>
      <c r="AR23" s="97">
        <f ca="1">INDEX(TblProd[[#Headers],[Lumber]]:TblProd[[#This Row],[Ore]],COUNTA(TblProd[[#Headers],[Lumber]]:TblProd[[#This Row],[Lumber]]),MATCH(Military!$AQ$2,TblProd[[#Headers],[Lumber]:[Ore]],0))</f>
        <v>0</v>
      </c>
      <c r="AS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7">
        <f ca="1">TblMili[[#This Row],[Train Unit 1]]*TblMili[[#This Row],[OP Ore]]+TblMili[[#This Row],[Train Unit 2]]*TblMili[[#This Row],[DP Ore]]+TblMili[[#This Row],[Train Unit 3]]*TblMili[[#This Row],[E1 Ore]]+TblMili[[#This Row],[Train Unit 4]]*TblMili[[#This Row],[E2 Ore]]</f>
        <v>0</v>
      </c>
      <c r="AU23" s="145">
        <f>TblMili[[#This Row],[Hour]]</f>
        <v>20</v>
      </c>
      <c r="AV23" s="155">
        <f ca="1">TblMili[[#This Row],[Time]]</f>
        <v>45458.791666666621</v>
      </c>
      <c r="AW23" s="97">
        <f ca="1">TblMili[[#This Row],[Draftees]]</f>
        <v>395</v>
      </c>
      <c r="AX23" s="182"/>
      <c r="AY23" s="182"/>
      <c r="AZ23" s="182"/>
      <c r="BA23" s="182"/>
      <c r="BB23" s="182"/>
      <c r="BC23" s="182"/>
      <c r="BD23" s="182"/>
      <c r="BE23" s="182"/>
      <c r="BF23" s="182"/>
      <c r="BG23" s="145"/>
      <c r="BH23" s="160">
        <f ca="1">TblConstr[[#This Row],[Tot WG]]/TblConstr[[#This Row],[Land]]</f>
        <v>0</v>
      </c>
      <c r="BI23" s="160">
        <f ca="1">TblConstr[[#This Row],[Tot Hav]]/TblConstr[[#This Row],[Land]]</f>
        <v>0</v>
      </c>
      <c r="BJ23" s="97">
        <f ca="1">ROUNDUP((1-MIN(TblMili[[#This Row],[Smithies]]*smithy_bonus,smithy_bonus_cap) + tech_3_5*TblTech[[#This Row],[3-5]] + tech_5_3*TblTech[[#This Row],[5-3]] + tech_5_5*TblTech[[#This Row],[5-5]])*spec_op_plat,0)</f>
        <v>275</v>
      </c>
      <c r="BK23" s="97">
        <f ca="1">ROUNDUP(IF(race="Gnome",1,(1-MIN(TblMili[[#This Row],[Smithies]]*smithy_bonus,smithy_bonus_cap) + tech_3_5*TblTech[[#This Row],[3-5]] + tech_5_3*TblTech[[#This Row],[5-3]] + tech_5_5*TblTech[[#This Row],[5-5]]))*spec_op_ore,0)</f>
        <v>25</v>
      </c>
      <c r="BL23" s="97">
        <f ca="1">ROUNDUP((1-MIN(TblMili[[#This Row],[Smithies]]*smithy_bonus,smithy_bonus_cap) + tech_3_5*TblTech[[#This Row],[3-5]] + tech_5_3*TblTech[[#This Row],[5-3]] + tech_5_5*TblTech[[#This Row],[5-5]])*spec_dp_plat,0)</f>
        <v>275</v>
      </c>
      <c r="BM23" s="97">
        <f ca="1">ROUNDUP(IF(race="Gnome",1,(1-MIN(TblMili[[#This Row],[Smithies]]*smithy_bonus,smithy_bonus_cap) + tech_3_5*TblTech[[#This Row],[3-5]] + tech_5_3*TblTech[[#This Row],[5-3]] + tech_5_5*TblTech[[#This Row],[5-5]]))*spec_dp_ore,0)</f>
        <v>15</v>
      </c>
      <c r="BN23" s="97">
        <f ca="1">ROUNDUP((1-MIN(TblMili[[#This Row],[Smithies]]*smithy_bonus,smithy_bonus_cap) + tech_3_5*TblTech[[#This Row],[3-5]] + tech_5_3*TblTech[[#This Row],[5-3]] + tech_5_5*TblTech[[#This Row],[5-5]])*elite1_plat,0)</f>
        <v>1000</v>
      </c>
      <c r="BO23" s="97">
        <f ca="1">ROUNDUP(IF(race="Gnome",1,(1-MIN(TblMili[[#This Row],[Smithies]]*smithy_bonus,smithy_bonus_cap) + tech_3_5*TblTech[[#This Row],[3-5]] + tech_5_3*TblTech[[#This Row],[5-3]] + tech_5_5*TblTech[[#This Row],[5-5]]))*elite1_ore,0)</f>
        <v>75</v>
      </c>
      <c r="BP23" s="97">
        <f ca="1">ROUNDUP((1-MIN(TblMili[[#This Row],[Smithies]]*smithy_bonus,smithy_bonus_cap) + tech_3_5*TblTech[[#This Row],[3-5]] + tech_5_3*TblTech[[#This Row],[5-3]] + tech_5_5*TblTech[[#This Row],[5-5]])*elite2_plat,0)</f>
        <v>1250</v>
      </c>
      <c r="BQ23" s="97">
        <f ca="1">ROUNDUP(IF(race="Gnome",1,(1-MIN(TblMili[[#This Row],[Smithies]]*smithy_bonus,smithy_bonus_cap) + tech_3_5*TblTech[[#This Row],[3-5]] + tech_5_3*TblTech[[#This Row],[5-3]] + tech_5_5*TblTech[[#This Row],[5-5]]))*elite2_ore,0)</f>
        <v>100</v>
      </c>
      <c r="BR23" s="97">
        <f ca="1">ROUNDUP((1-MIN(ROUND(fh_spy_cost_red*TblMili[[#This Row],[FH''s]],4),fh_spy_cost_cap)+ tech_1_9*TblTech[[#This Row],[1-9]] + tech_9_1*TblTech[[#This Row],[9-1]])*spy_plat,0)</f>
        <v>500</v>
      </c>
      <c r="BS23" s="97">
        <f ca="1">ROUNDUP((1-MIN(ROUND(fh_spy_cost_red*TblMili[[#This Row],[FH''s]],4),fh_spy_cost_cap)+ tech_1_9*TblTech[[#This Row],[1-9]] + tech_9_1*TblTech[[#This Row],[9-1]])*archspy_plat,0)</f>
        <v>1000</v>
      </c>
      <c r="BT23" s="97">
        <f ca="1">ROUNDUP((1-MIN(ROUND(wg_wiz_cost_bonus*TblMili[[#This Row],[WG''s]],4),wg_wiz_cost_cap) + tech_1_9_2*TblTech[[#This Row],[1-9]] + tech_9_1_2*TblTech[[#This Row],[9-1]])*wizard_plat,0)</f>
        <v>500</v>
      </c>
      <c r="BU23" s="97">
        <f ca="1">ROUNDUP((1-MIN(ROUND(wg_wiz_cost_bonus*TblMili[[#This Row],[WG''s]],4),wg_wiz_cost_cap) + tech_1_9_2*TblTech[[#This Row],[1-9]] + tech_9_1_2*TblTech[[#This Row],[9-1]])*archmage_plat,0)</f>
        <v>1000</v>
      </c>
      <c r="BV23" s="145"/>
      <c r="BW23" s="160">
        <f ca="1">TblConstr[[#This Row],[Homeland]]/TblConstr[[#This Row],[Land]]</f>
        <v>0.44</v>
      </c>
      <c r="BX23" s="160">
        <f ca="1">TblMili[[#This Row],[WG''s]]</f>
        <v>0</v>
      </c>
      <c r="BY23" s="266">
        <f ca="1">IF(mystic_cap="none",TblMili[[#This Row],[Hill]]/mystic_bonus,MIN(mystic_cap,TblMili[[#This Row],[Hill]]/mystic_bonus))</f>
        <v>2.1999999999999997</v>
      </c>
      <c r="BZ23" s="266">
        <f ca="1">IF(druid_op_cap="none",TblMili[[#This Row],[Hill]]/druid_op_bonus,MIN(druid_op_cap,TblMili[[#This Row],[Hill]]/druid_op_bonus))</f>
        <v>2.1999999999999997</v>
      </c>
      <c r="CA23" s="266">
        <f ca="1">IF(druid_dp_cap="none",TblMili[[#This Row],[Hill]]/druid_dp_bonus,MIN(druid_dp_cap,TblMili[[#This Row],[Hill]]/druid_dp_bonus))</f>
        <v>2.1999999999999997</v>
      </c>
      <c r="CB23" s="266">
        <f ca="1">MIN(dryad_cap,TblMili[[#This Row],[Hill]]/dryad_bonus)</f>
        <v>2.1999999999999997</v>
      </c>
      <c r="CC23" s="266">
        <f ca="1">MIN(rocka_cap,TblMili[[#This Row],[Hill]]/rocka_bonus)</f>
        <v>2</v>
      </c>
      <c r="CD23" s="266">
        <f ca="1">MIN(adept_op_cap,TblMili[[#This Row],[WG]]/adept_op_bonus)</f>
        <v>0</v>
      </c>
      <c r="CE23" s="266">
        <f ca="1">MIN(adept_dp_cap,TblMili[[#This Row],[WG]]/adept_dp_bonus)</f>
        <v>0</v>
      </c>
      <c r="CF23" s="97">
        <f ca="1">MIN(TblMili[[#This Row],[Unit 3]],TblMili[[#This Row],[Unit 2]])*2</f>
        <v>0</v>
      </c>
      <c r="CG23" s="97">
        <f ca="1">MIN(TblMili[[#This Row],[Unit 1]],TblMili[[#This Row],[Unit 4]])*2</f>
        <v>0</v>
      </c>
      <c r="CH23" s="266">
        <f ca="1">MIN(frost_mage_cap,TblMili[[#This Row],[Hill]]/frost_mage_bonus)</f>
        <v>2.1999999999999997</v>
      </c>
      <c r="CI23" s="45">
        <f ca="1">MIN(ice_elem_cap,TblMili[[#This Row],[Raw (2)]]*ice_elem_bonus)</f>
        <v>0.1</v>
      </c>
      <c r="CJ23" s="266">
        <f t="shared" si="0"/>
        <v>0.83333333333333337</v>
      </c>
      <c r="CK23" s="266">
        <f ca="1">MIN(nox_nightshade_cap,TblConstr[[#This Row],[Homeland]]/TblConstr[[#This Row],[Land]]/nox_nightshade_swamp_bonus)</f>
        <v>4</v>
      </c>
      <c r="CL23" s="267"/>
      <c r="CM23" s="267"/>
      <c r="CN23" s="267"/>
      <c r="CO23" s="266">
        <f ca="1">MIN(6,TblMili[[#This Row],[Mystic]]+Races!$F$19)*1.8 +  IF(TblMili[[#This Row],[Mystic]]+Races!$F$19&gt;6,(TblMili[[#This Row],[Mystic]]+Races!$F$19-6)*0.2,0) - Races!$I$19</f>
        <v>3.6399999999999997</v>
      </c>
      <c r="CP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3" s="97">
        <f ca="1">TblMili[[#This Row],[Mystic bonus]]*TblMili[[#This Row],[Unit 3]]+TblMili[[#This Row],[Druid bonus]]*TblMili[[#This Row],[Unit 4]]</f>
        <v>0</v>
      </c>
      <c r="CR23" s="158">
        <f ca="1">MIN(6,TblMili[[#This Row],[Dryad]]+Races!$F$35)*1.8 +  IF(TblMili[[#This Row],[Dryad]]+Races!$F$35&gt;6,(TblMili[[#This Row],[Dryad]]+Races!$F$35-6)*0.2,0) - Races!$I$19</f>
        <v>2.1599999999999993</v>
      </c>
      <c r="CS23" s="97">
        <f ca="1">sylvan*(TblMili[[#This Row],[Mystic bonus]]*TblMili[[#This Row],[Unit 3]])</f>
        <v>0</v>
      </c>
      <c r="CT23" s="158">
        <f ca="1">1.8 * MIN(MAX(Races!$E$27,TblMili[[#This Row],[Rockapult]]+Races!$F$27),6)  +  0.45 * MIN(MIN(Races!$E$27,TblMili[[#This Row],[Rockapult]]+Races!$F$27),6)  +  0.2 * ( MAX(Races!$E$27-6,0) + MAX(TblMili[[#This Row],[Rockapult]]+Races!$F$27-6,0) )  -  Races!$I$20</f>
        <v>5.8500000000000005</v>
      </c>
      <c r="CU23" s="97">
        <f ca="1">gnome*(TblMili[[#This Row],[Rockapult bonus]]*TblMili[[#This Row],[Unit 3]])</f>
        <v>0</v>
      </c>
      <c r="CV23" s="158">
        <f ca="1">1.8 * MIN(MAX(TblMili[[#This Row],[Spellblade]]+Races!$E$47,TblMili[[#This Row],[Adept-DP]]+Races!$F$47),6)  +  0.45 * MIN(MIN(TblMili[[#This Row],[Spellblade]]+Races!$E$47,TblMili[[#This Row],[Adept-DP]]+Races!$F$47),6)  +  0.2 * ( MAX(TblMili[[#This Row],[Spellblade]]+Races!$E$47-6,0) + MAX(TblMili[[#This Row],[Adept-DP]]+Races!$F$47-6,0) )  -  Races!$I$47</f>
        <v>0</v>
      </c>
      <c r="CW23" s="97">
        <f ca="1">dark_elf*(TblMili[[#This Row],[Adept bonus]]*TblMili[[#This Row],[Unit 3]])</f>
        <v>0</v>
      </c>
      <c r="CX23" s="158">
        <f ca="1">1.8 * MIN(MAX(TblMili[[#This Row],[Frost Mage]]+Races!$F$71,Races!$E$71),6)  +  0.45 * MIN(MIN(TblMili[[#This Row],[Frost Mage]]+Races!$F$71,Races!$E$71),6)  +  0.2 * ( MAX(TblMili[[#This Row],[Frost Mage]]+Races!$F$71-6,0) + MAX(Races!$E$71-6,0) )  -  Races!$I$71</f>
        <v>3.9599999999999991</v>
      </c>
      <c r="CY23" s="158">
        <f ca="1">1.8 * MIN(MAX(TblMili[[#This Row],[Ice Elemental]]+Races!$E$71,Races!$F$71),6)  +  0.45 * MIN(MIN(TblMili[[#This Row],[Ice Elemental]]+Races!$E$71,Races!$F$71),6)  +  0.2 * ( MAX(TblMili[[#This Row],[Ice Elemental]]+Races!$E$71-6,0) + MAX(Races!$F$71-6,0) )  -  Races!$I$71</f>
        <v>0.17999999999999972</v>
      </c>
      <c r="CZ23" s="97">
        <f ca="1">TblMili[[#This Row],[Frost Mage bonus]]*TblMili[[#This Row],[Unit 3]]+TblMili[[#This Row],[Ice Elemental bonus]]*TblMili[[#This Row],[Unit 4]]</f>
        <v>0</v>
      </c>
      <c r="DA23" s="268"/>
      <c r="DB23" s="146">
        <f ca="1">MIN(SUM(TblConstr[[#This Row],[Plain]:[Water]])/TblMili[[#This Row],[Land]]/favorable_terrain_bonus/100,favorable_terrain_max)</f>
        <v>0.1</v>
      </c>
      <c r="DC23" s="268"/>
      <c r="DD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3" s="145"/>
      <c r="DF23" s="269">
        <f ca="1">(TblMili[[#This Row],[Wizards]]+2*TblMili[[#This Row],[Archmages]])/TblConstr[[#This Row],[Land]]</f>
        <v>0.1</v>
      </c>
      <c r="DG23" s="269">
        <f ca="1">TblMili[[#This Row],[Raw (2)]]*(1+race_wizard_strength+IF(TblMili[[#This Row],[Hour]]&gt;72,tech_magical_weaponry_wiz*TblTech[[#This Row],[3-5]],0))</f>
        <v>0.1</v>
      </c>
    </row>
    <row r="24" spans="1:111"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45458.833333333285</v>
      </c>
      <c r="AG24" s="182"/>
      <c r="AH24" s="182"/>
      <c r="AI24" s="182"/>
      <c r="AJ24" s="182"/>
      <c r="AK24" s="182"/>
      <c r="AL24" s="182"/>
      <c r="AM24" s="182"/>
      <c r="AN24" s="182"/>
      <c r="AO24" s="449">
        <f ca="1">IF(AND(TblMagic[[#This Row],[Active DnD]]&lt;12,TblMagic[[#This Row],[Active DnD]]&gt;5),OFFSET(TblPop[[#This Row],[Draft Growth]],-1,0)/2,0)</f>
        <v>0</v>
      </c>
      <c r="AP24" s="145"/>
      <c r="AQ24" s="97">
        <f ca="1">TblProd[[#This Row],[Platinum]]</f>
        <v>228521</v>
      </c>
      <c r="AR24" s="97">
        <f ca="1">INDEX(TblProd[[#Headers],[Lumber]]:TblProd[[#This Row],[Ore]],COUNTA(TblProd[[#Headers],[Lumber]]:TblProd[[#This Row],[Lumber]]),MATCH(Military!$AQ$2,TblProd[[#Headers],[Lumber]:[Ore]],0))</f>
        <v>0</v>
      </c>
      <c r="AS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7">
        <f ca="1">TblMili[[#This Row],[Train Unit 1]]*TblMili[[#This Row],[OP Ore]]+TblMili[[#This Row],[Train Unit 2]]*TblMili[[#This Row],[DP Ore]]+TblMili[[#This Row],[Train Unit 3]]*TblMili[[#This Row],[E1 Ore]]+TblMili[[#This Row],[Train Unit 4]]*TblMili[[#This Row],[E2 Ore]]</f>
        <v>0</v>
      </c>
      <c r="AU24" s="145">
        <f>TblMili[[#This Row],[Hour]]</f>
        <v>21</v>
      </c>
      <c r="AV24" s="155">
        <f ca="1">TblMili[[#This Row],[Time]]</f>
        <v>45458.833333333285</v>
      </c>
      <c r="AW24" s="97">
        <f ca="1">TblMili[[#This Row],[Draftees]]</f>
        <v>413</v>
      </c>
      <c r="AX24" s="182"/>
      <c r="AY24" s="182"/>
      <c r="AZ24" s="182"/>
      <c r="BA24" s="182"/>
      <c r="BB24" s="182"/>
      <c r="BC24" s="182"/>
      <c r="BD24" s="182"/>
      <c r="BE24" s="182"/>
      <c r="BF24" s="182"/>
      <c r="BG24" s="145"/>
      <c r="BH24" s="160">
        <f ca="1">TblConstr[[#This Row],[Tot WG]]/TblConstr[[#This Row],[Land]]</f>
        <v>0</v>
      </c>
      <c r="BI24" s="160">
        <f ca="1">TblConstr[[#This Row],[Tot Hav]]/TblConstr[[#This Row],[Land]]</f>
        <v>0</v>
      </c>
      <c r="BJ24" s="97">
        <f ca="1">ROUNDUP((1-MIN(TblMili[[#This Row],[Smithies]]*smithy_bonus,smithy_bonus_cap) + tech_3_5*TblTech[[#This Row],[3-5]] + tech_5_3*TblTech[[#This Row],[5-3]] + tech_5_5*TblTech[[#This Row],[5-5]])*spec_op_plat,0)</f>
        <v>275</v>
      </c>
      <c r="BK24" s="97">
        <f ca="1">ROUNDUP(IF(race="Gnome",1,(1-MIN(TblMili[[#This Row],[Smithies]]*smithy_bonus,smithy_bonus_cap) + tech_3_5*TblTech[[#This Row],[3-5]] + tech_5_3*TblTech[[#This Row],[5-3]] + tech_5_5*TblTech[[#This Row],[5-5]]))*spec_op_ore,0)</f>
        <v>25</v>
      </c>
      <c r="BL24" s="97">
        <f ca="1">ROUNDUP((1-MIN(TblMili[[#This Row],[Smithies]]*smithy_bonus,smithy_bonus_cap) + tech_3_5*TblTech[[#This Row],[3-5]] + tech_5_3*TblTech[[#This Row],[5-3]] + tech_5_5*TblTech[[#This Row],[5-5]])*spec_dp_plat,0)</f>
        <v>275</v>
      </c>
      <c r="BM24" s="97">
        <f ca="1">ROUNDUP(IF(race="Gnome",1,(1-MIN(TblMili[[#This Row],[Smithies]]*smithy_bonus,smithy_bonus_cap) + tech_3_5*TblTech[[#This Row],[3-5]] + tech_5_3*TblTech[[#This Row],[5-3]] + tech_5_5*TblTech[[#This Row],[5-5]]))*spec_dp_ore,0)</f>
        <v>15</v>
      </c>
      <c r="BN24" s="97">
        <f ca="1">ROUNDUP((1-MIN(TblMili[[#This Row],[Smithies]]*smithy_bonus,smithy_bonus_cap) + tech_3_5*TblTech[[#This Row],[3-5]] + tech_5_3*TblTech[[#This Row],[5-3]] + tech_5_5*TblTech[[#This Row],[5-5]])*elite1_plat,0)</f>
        <v>1000</v>
      </c>
      <c r="BO24" s="97">
        <f ca="1">ROUNDUP(IF(race="Gnome",1,(1-MIN(TblMili[[#This Row],[Smithies]]*smithy_bonus,smithy_bonus_cap) + tech_3_5*TblTech[[#This Row],[3-5]] + tech_5_3*TblTech[[#This Row],[5-3]] + tech_5_5*TblTech[[#This Row],[5-5]]))*elite1_ore,0)</f>
        <v>75</v>
      </c>
      <c r="BP24" s="97">
        <f ca="1">ROUNDUP((1-MIN(TblMili[[#This Row],[Smithies]]*smithy_bonus,smithy_bonus_cap) + tech_3_5*TblTech[[#This Row],[3-5]] + tech_5_3*TblTech[[#This Row],[5-3]] + tech_5_5*TblTech[[#This Row],[5-5]])*elite2_plat,0)</f>
        <v>1250</v>
      </c>
      <c r="BQ24" s="97">
        <f ca="1">ROUNDUP(IF(race="Gnome",1,(1-MIN(TblMili[[#This Row],[Smithies]]*smithy_bonus,smithy_bonus_cap) + tech_3_5*TblTech[[#This Row],[3-5]] + tech_5_3*TblTech[[#This Row],[5-3]] + tech_5_5*TblTech[[#This Row],[5-5]]))*elite2_ore,0)</f>
        <v>100</v>
      </c>
      <c r="BR24" s="97">
        <f ca="1">ROUNDUP((1-MIN(ROUND(fh_spy_cost_red*TblMili[[#This Row],[FH''s]],4),fh_spy_cost_cap)+ tech_1_9*TblTech[[#This Row],[1-9]] + tech_9_1*TblTech[[#This Row],[9-1]])*spy_plat,0)</f>
        <v>500</v>
      </c>
      <c r="BS24" s="97">
        <f ca="1">ROUNDUP((1-MIN(ROUND(fh_spy_cost_red*TblMili[[#This Row],[FH''s]],4),fh_spy_cost_cap)+ tech_1_9*TblTech[[#This Row],[1-9]] + tech_9_1*TblTech[[#This Row],[9-1]])*archspy_plat,0)</f>
        <v>1000</v>
      </c>
      <c r="BT24" s="97">
        <f ca="1">ROUNDUP((1-MIN(ROUND(wg_wiz_cost_bonus*TblMili[[#This Row],[WG''s]],4),wg_wiz_cost_cap) + tech_1_9_2*TblTech[[#This Row],[1-9]] + tech_9_1_2*TblTech[[#This Row],[9-1]])*wizard_plat,0)</f>
        <v>500</v>
      </c>
      <c r="BU24" s="97">
        <f ca="1">ROUNDUP((1-MIN(ROUND(wg_wiz_cost_bonus*TblMili[[#This Row],[WG''s]],4),wg_wiz_cost_cap) + tech_1_9_2*TblTech[[#This Row],[1-9]] + tech_9_1_2*TblTech[[#This Row],[9-1]])*archmage_plat,0)</f>
        <v>1000</v>
      </c>
      <c r="BV24" s="145"/>
      <c r="BW24" s="160">
        <f ca="1">TblConstr[[#This Row],[Homeland]]/TblConstr[[#This Row],[Land]]</f>
        <v>0.44</v>
      </c>
      <c r="BX24" s="160">
        <f ca="1">TblMili[[#This Row],[WG''s]]</f>
        <v>0</v>
      </c>
      <c r="BY24" s="266">
        <f ca="1">IF(mystic_cap="none",TblMili[[#This Row],[Hill]]/mystic_bonus,MIN(mystic_cap,TblMili[[#This Row],[Hill]]/mystic_bonus))</f>
        <v>2.1999999999999997</v>
      </c>
      <c r="BZ24" s="266">
        <f ca="1">IF(druid_op_cap="none",TblMili[[#This Row],[Hill]]/druid_op_bonus,MIN(druid_op_cap,TblMili[[#This Row],[Hill]]/druid_op_bonus))</f>
        <v>2.1999999999999997</v>
      </c>
      <c r="CA24" s="266">
        <f ca="1">IF(druid_dp_cap="none",TblMili[[#This Row],[Hill]]/druid_dp_bonus,MIN(druid_dp_cap,TblMili[[#This Row],[Hill]]/druid_dp_bonus))</f>
        <v>2.1999999999999997</v>
      </c>
      <c r="CB24" s="266">
        <f ca="1">MIN(dryad_cap,TblMili[[#This Row],[Hill]]/dryad_bonus)</f>
        <v>2.1999999999999997</v>
      </c>
      <c r="CC24" s="266">
        <f ca="1">MIN(rocka_cap,TblMili[[#This Row],[Hill]]/rocka_bonus)</f>
        <v>2</v>
      </c>
      <c r="CD24" s="266">
        <f ca="1">MIN(adept_op_cap,TblMili[[#This Row],[WG]]/adept_op_bonus)</f>
        <v>0</v>
      </c>
      <c r="CE24" s="266">
        <f ca="1">MIN(adept_dp_cap,TblMili[[#This Row],[WG]]/adept_dp_bonus)</f>
        <v>0</v>
      </c>
      <c r="CF24" s="97">
        <f ca="1">MIN(TblMili[[#This Row],[Unit 3]],TblMili[[#This Row],[Unit 2]])*2</f>
        <v>0</v>
      </c>
      <c r="CG24" s="97">
        <f ca="1">MIN(TblMili[[#This Row],[Unit 1]],TblMili[[#This Row],[Unit 4]])*2</f>
        <v>0</v>
      </c>
      <c r="CH24" s="266">
        <f ca="1">MIN(frost_mage_cap,TblMili[[#This Row],[Hill]]/frost_mage_bonus)</f>
        <v>2.1999999999999997</v>
      </c>
      <c r="CI24" s="45">
        <f ca="1">MIN(ice_elem_cap,TblMili[[#This Row],[Raw (2)]]*ice_elem_bonus)</f>
        <v>0.1</v>
      </c>
      <c r="CJ24" s="266">
        <f t="shared" si="0"/>
        <v>0.83333333333333337</v>
      </c>
      <c r="CK24" s="266">
        <f ca="1">MIN(nox_nightshade_cap,TblConstr[[#This Row],[Homeland]]/TblConstr[[#This Row],[Land]]/nox_nightshade_swamp_bonus)</f>
        <v>4</v>
      </c>
      <c r="CL24" s="267" t="s">
        <v>3</v>
      </c>
      <c r="CM24" s="267" t="b">
        <f>CL24=secondary_resource</f>
        <v>1</v>
      </c>
      <c r="CN24" s="267"/>
      <c r="CO24" s="266">
        <f ca="1">MIN(6,TblMili[[#This Row],[Mystic]]+Races!$F$19)*1.8 +  IF(TblMili[[#This Row],[Mystic]]+Races!$F$19&gt;6,(TblMili[[#This Row],[Mystic]]+Races!$F$19-6)*0.2,0) - Races!$I$19</f>
        <v>3.6399999999999997</v>
      </c>
      <c r="CP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4" s="97">
        <f ca="1">TblMili[[#This Row],[Mystic bonus]]*TblMili[[#This Row],[Unit 3]]+TblMili[[#This Row],[Druid bonus]]*TblMili[[#This Row],[Unit 4]]</f>
        <v>0</v>
      </c>
      <c r="CR24" s="158">
        <f ca="1">MIN(6,TblMili[[#This Row],[Dryad]]+Races!$F$35)*1.8 +  IF(TblMili[[#This Row],[Dryad]]+Races!$F$35&gt;6,(TblMili[[#This Row],[Dryad]]+Races!$F$35-6)*0.2,0) - Races!$I$19</f>
        <v>2.1599999999999993</v>
      </c>
      <c r="CS24" s="97">
        <f ca="1">sylvan*(TblMili[[#This Row],[Mystic bonus]]*TblMili[[#This Row],[Unit 3]])</f>
        <v>0</v>
      </c>
      <c r="CT24" s="158">
        <f ca="1">1.8 * MIN(MAX(Races!$E$27,TblMili[[#This Row],[Rockapult]]+Races!$F$27),6)  +  0.45 * MIN(MIN(Races!$E$27,TblMili[[#This Row],[Rockapult]]+Races!$F$27),6)  +  0.2 * ( MAX(Races!$E$27-6,0) + MAX(TblMili[[#This Row],[Rockapult]]+Races!$F$27-6,0) )  -  Races!$I$20</f>
        <v>5.8500000000000005</v>
      </c>
      <c r="CU24" s="97">
        <f ca="1">gnome*(TblMili[[#This Row],[Rockapult bonus]]*TblMili[[#This Row],[Unit 3]])</f>
        <v>0</v>
      </c>
      <c r="CV24" s="158">
        <f ca="1">1.8 * MIN(MAX(TblMili[[#This Row],[Spellblade]]+Races!$E$47,TblMili[[#This Row],[Adept-DP]]+Races!$F$47),6)  +  0.45 * MIN(MIN(TblMili[[#This Row],[Spellblade]]+Races!$E$47,TblMili[[#This Row],[Adept-DP]]+Races!$F$47),6)  +  0.2 * ( MAX(TblMili[[#This Row],[Spellblade]]+Races!$E$47-6,0) + MAX(TblMili[[#This Row],[Adept-DP]]+Races!$F$47-6,0) )  -  Races!$I$47</f>
        <v>0</v>
      </c>
      <c r="CW24" s="97">
        <f ca="1">dark_elf*(TblMili[[#This Row],[Adept bonus]]*TblMili[[#This Row],[Unit 3]])</f>
        <v>0</v>
      </c>
      <c r="CX24" s="158">
        <f ca="1">1.8 * MIN(MAX(TblMili[[#This Row],[Frost Mage]]+Races!$F$71,Races!$E$71),6)  +  0.45 * MIN(MIN(TblMili[[#This Row],[Frost Mage]]+Races!$F$71,Races!$E$71),6)  +  0.2 * ( MAX(TblMili[[#This Row],[Frost Mage]]+Races!$F$71-6,0) + MAX(Races!$E$71-6,0) )  -  Races!$I$71</f>
        <v>3.9599999999999991</v>
      </c>
      <c r="CY24" s="158">
        <f ca="1">1.8 * MIN(MAX(TblMili[[#This Row],[Ice Elemental]]+Races!$E$71,Races!$F$71),6)  +  0.45 * MIN(MIN(TblMili[[#This Row],[Ice Elemental]]+Races!$E$71,Races!$F$71),6)  +  0.2 * ( MAX(TblMili[[#This Row],[Ice Elemental]]+Races!$E$71-6,0) + MAX(Races!$F$71-6,0) )  -  Races!$I$71</f>
        <v>0.17999999999999972</v>
      </c>
      <c r="CZ24" s="97">
        <f ca="1">TblMili[[#This Row],[Frost Mage bonus]]*TblMili[[#This Row],[Unit 3]]+TblMili[[#This Row],[Ice Elemental bonus]]*TblMili[[#This Row],[Unit 4]]</f>
        <v>0</v>
      </c>
      <c r="DA24" s="268"/>
      <c r="DB24" s="146">
        <f ca="1">MIN(SUM(TblConstr[[#This Row],[Plain]:[Water]])/TblMili[[#This Row],[Land]]/favorable_terrain_bonus/100,favorable_terrain_max)</f>
        <v>0.1</v>
      </c>
      <c r="DC24" s="268"/>
      <c r="DD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4" s="145"/>
      <c r="DF24" s="269">
        <f ca="1">(TblMili[[#This Row],[Wizards]]+2*TblMili[[#This Row],[Archmages]])/TblConstr[[#This Row],[Land]]</f>
        <v>0.1</v>
      </c>
      <c r="DG24" s="269">
        <f ca="1">TblMili[[#This Row],[Raw (2)]]*(1+race_wizard_strength+IF(TblMili[[#This Row],[Hour]]&gt;72,tech_magical_weaponry_wiz*TblTech[[#This Row],[3-5]],0))</f>
        <v>0.1</v>
      </c>
    </row>
    <row r="25" spans="1:111"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45458.874999999949</v>
      </c>
      <c r="AG25" s="182"/>
      <c r="AH25" s="182"/>
      <c r="AI25" s="182"/>
      <c r="AJ25" s="182"/>
      <c r="AK25" s="182"/>
      <c r="AL25" s="182"/>
      <c r="AM25" s="182"/>
      <c r="AN25" s="182"/>
      <c r="AO25" s="449">
        <f ca="1">IF(AND(TblMagic[[#This Row],[Active DnD]]&lt;12,TblMagic[[#This Row],[Active DnD]]&gt;5),OFFSET(TblPop[[#This Row],[Draft Growth]],-1,0)/2,0)</f>
        <v>0</v>
      </c>
      <c r="AP25" s="145"/>
      <c r="AQ25" s="97">
        <f ca="1">TblProd[[#This Row],[Platinum]]</f>
        <v>234191</v>
      </c>
      <c r="AR25" s="97">
        <f ca="1">INDEX(TblProd[[#Headers],[Lumber]]:TblProd[[#This Row],[Ore]],COUNTA(TblProd[[#Headers],[Lumber]]:TblProd[[#This Row],[Lumber]]),MATCH(Military!$AQ$2,TblProd[[#Headers],[Lumber]:[Ore]],0))</f>
        <v>0</v>
      </c>
      <c r="AS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7">
        <f ca="1">TblMili[[#This Row],[Train Unit 1]]*TblMili[[#This Row],[OP Ore]]+TblMili[[#This Row],[Train Unit 2]]*TblMili[[#This Row],[DP Ore]]+TblMili[[#This Row],[Train Unit 3]]*TblMili[[#This Row],[E1 Ore]]+TblMili[[#This Row],[Train Unit 4]]*TblMili[[#This Row],[E2 Ore]]</f>
        <v>0</v>
      </c>
      <c r="AU25" s="145">
        <f>TblMili[[#This Row],[Hour]]</f>
        <v>22</v>
      </c>
      <c r="AV25" s="155">
        <f ca="1">TblMili[[#This Row],[Time]]</f>
        <v>45458.874999999949</v>
      </c>
      <c r="AW25" s="97">
        <f ca="1">TblMili[[#This Row],[Draftees]]</f>
        <v>430</v>
      </c>
      <c r="AX25" s="182"/>
      <c r="AY25" s="182"/>
      <c r="AZ25" s="182"/>
      <c r="BA25" s="182"/>
      <c r="BB25" s="182"/>
      <c r="BC25" s="182"/>
      <c r="BD25" s="182"/>
      <c r="BE25" s="182"/>
      <c r="BF25" s="182"/>
      <c r="BG25" s="145"/>
      <c r="BH25" s="160">
        <f ca="1">TblConstr[[#This Row],[Tot WG]]/TblConstr[[#This Row],[Land]]</f>
        <v>0</v>
      </c>
      <c r="BI25" s="160">
        <f ca="1">TblConstr[[#This Row],[Tot Hav]]/TblConstr[[#This Row],[Land]]</f>
        <v>0</v>
      </c>
      <c r="BJ25" s="97">
        <f ca="1">ROUNDUP((1-MIN(TblMili[[#This Row],[Smithies]]*smithy_bonus,smithy_bonus_cap) + tech_3_5*TblTech[[#This Row],[3-5]] + tech_5_3*TblTech[[#This Row],[5-3]] + tech_5_5*TblTech[[#This Row],[5-5]])*spec_op_plat,0)</f>
        <v>275</v>
      </c>
      <c r="BK25" s="97">
        <f ca="1">ROUNDUP(IF(race="Gnome",1,(1-MIN(TblMili[[#This Row],[Smithies]]*smithy_bonus,smithy_bonus_cap) + tech_3_5*TblTech[[#This Row],[3-5]] + tech_5_3*TblTech[[#This Row],[5-3]] + tech_5_5*TblTech[[#This Row],[5-5]]))*spec_op_ore,0)</f>
        <v>25</v>
      </c>
      <c r="BL25" s="97">
        <f ca="1">ROUNDUP((1-MIN(TblMili[[#This Row],[Smithies]]*smithy_bonus,smithy_bonus_cap) + tech_3_5*TblTech[[#This Row],[3-5]] + tech_5_3*TblTech[[#This Row],[5-3]] + tech_5_5*TblTech[[#This Row],[5-5]])*spec_dp_plat,0)</f>
        <v>275</v>
      </c>
      <c r="BM25" s="97">
        <f ca="1">ROUNDUP(IF(race="Gnome",1,(1-MIN(TblMili[[#This Row],[Smithies]]*smithy_bonus,smithy_bonus_cap) + tech_3_5*TblTech[[#This Row],[3-5]] + tech_5_3*TblTech[[#This Row],[5-3]] + tech_5_5*TblTech[[#This Row],[5-5]]))*spec_dp_ore,0)</f>
        <v>15</v>
      </c>
      <c r="BN25" s="97">
        <f ca="1">ROUNDUP((1-MIN(TblMili[[#This Row],[Smithies]]*smithy_bonus,smithy_bonus_cap) + tech_3_5*TblTech[[#This Row],[3-5]] + tech_5_3*TblTech[[#This Row],[5-3]] + tech_5_5*TblTech[[#This Row],[5-5]])*elite1_plat,0)</f>
        <v>1000</v>
      </c>
      <c r="BO25" s="97">
        <f ca="1">ROUNDUP(IF(race="Gnome",1,(1-MIN(TblMili[[#This Row],[Smithies]]*smithy_bonus,smithy_bonus_cap) + tech_3_5*TblTech[[#This Row],[3-5]] + tech_5_3*TblTech[[#This Row],[5-3]] + tech_5_5*TblTech[[#This Row],[5-5]]))*elite1_ore,0)</f>
        <v>75</v>
      </c>
      <c r="BP25" s="97">
        <f ca="1">ROUNDUP((1-MIN(TblMili[[#This Row],[Smithies]]*smithy_bonus,smithy_bonus_cap) + tech_3_5*TblTech[[#This Row],[3-5]] + tech_5_3*TblTech[[#This Row],[5-3]] + tech_5_5*TblTech[[#This Row],[5-5]])*elite2_plat,0)</f>
        <v>1250</v>
      </c>
      <c r="BQ25" s="97">
        <f ca="1">ROUNDUP(IF(race="Gnome",1,(1-MIN(TblMili[[#This Row],[Smithies]]*smithy_bonus,smithy_bonus_cap) + tech_3_5*TblTech[[#This Row],[3-5]] + tech_5_3*TblTech[[#This Row],[5-3]] + tech_5_5*TblTech[[#This Row],[5-5]]))*elite2_ore,0)</f>
        <v>100</v>
      </c>
      <c r="BR25" s="97">
        <f ca="1">ROUNDUP((1-MIN(ROUND(fh_spy_cost_red*TblMili[[#This Row],[FH''s]],4),fh_spy_cost_cap)+ tech_1_9*TblTech[[#This Row],[1-9]] + tech_9_1*TblTech[[#This Row],[9-1]])*spy_plat,0)</f>
        <v>500</v>
      </c>
      <c r="BS25" s="97">
        <f ca="1">ROUNDUP((1-MIN(ROUND(fh_spy_cost_red*TblMili[[#This Row],[FH''s]],4),fh_spy_cost_cap)+ tech_1_9*TblTech[[#This Row],[1-9]] + tech_9_1*TblTech[[#This Row],[9-1]])*archspy_plat,0)</f>
        <v>1000</v>
      </c>
      <c r="BT25" s="97">
        <f ca="1">ROUNDUP((1-MIN(ROUND(wg_wiz_cost_bonus*TblMili[[#This Row],[WG''s]],4),wg_wiz_cost_cap) + tech_1_9_2*TblTech[[#This Row],[1-9]] + tech_9_1_2*TblTech[[#This Row],[9-1]])*wizard_plat,0)</f>
        <v>500</v>
      </c>
      <c r="BU25" s="97">
        <f ca="1">ROUNDUP((1-MIN(ROUND(wg_wiz_cost_bonus*TblMili[[#This Row],[WG''s]],4),wg_wiz_cost_cap) + tech_1_9_2*TblTech[[#This Row],[1-9]] + tech_9_1_2*TblTech[[#This Row],[9-1]])*archmage_plat,0)</f>
        <v>1000</v>
      </c>
      <c r="BV25" s="145"/>
      <c r="BW25" s="160">
        <f ca="1">TblConstr[[#This Row],[Homeland]]/TblConstr[[#This Row],[Land]]</f>
        <v>0.44</v>
      </c>
      <c r="BX25" s="160">
        <f ca="1">TblMili[[#This Row],[WG''s]]</f>
        <v>0</v>
      </c>
      <c r="BY25" s="266">
        <f ca="1">IF(mystic_cap="none",TblMili[[#This Row],[Hill]]/mystic_bonus,MIN(mystic_cap,TblMili[[#This Row],[Hill]]/mystic_bonus))</f>
        <v>2.1999999999999997</v>
      </c>
      <c r="BZ25" s="266">
        <f ca="1">IF(druid_op_cap="none",TblMili[[#This Row],[Hill]]/druid_op_bonus,MIN(druid_op_cap,TblMili[[#This Row],[Hill]]/druid_op_bonus))</f>
        <v>2.1999999999999997</v>
      </c>
      <c r="CA25" s="266">
        <f ca="1">IF(druid_dp_cap="none",TblMili[[#This Row],[Hill]]/druid_dp_bonus,MIN(druid_dp_cap,TblMili[[#This Row],[Hill]]/druid_dp_bonus))</f>
        <v>2.1999999999999997</v>
      </c>
      <c r="CB25" s="266">
        <f ca="1">MIN(dryad_cap,TblMili[[#This Row],[Hill]]/dryad_bonus)</f>
        <v>2.1999999999999997</v>
      </c>
      <c r="CC25" s="266">
        <f ca="1">MIN(rocka_cap,TblMili[[#This Row],[Hill]]/rocka_bonus)</f>
        <v>2</v>
      </c>
      <c r="CD25" s="266">
        <f ca="1">MIN(adept_op_cap,TblMili[[#This Row],[WG]]/adept_op_bonus)</f>
        <v>0</v>
      </c>
      <c r="CE25" s="266">
        <f ca="1">MIN(adept_dp_cap,TblMili[[#This Row],[WG]]/adept_dp_bonus)</f>
        <v>0</v>
      </c>
      <c r="CF25" s="97">
        <f ca="1">MIN(TblMili[[#This Row],[Unit 3]],TblMili[[#This Row],[Unit 2]])*2</f>
        <v>0</v>
      </c>
      <c r="CG25" s="97">
        <f ca="1">MIN(TblMili[[#This Row],[Unit 1]],TblMili[[#This Row],[Unit 4]])*2</f>
        <v>0</v>
      </c>
      <c r="CH25" s="266">
        <f ca="1">MIN(frost_mage_cap,TblMili[[#This Row],[Hill]]/frost_mage_bonus)</f>
        <v>2.1999999999999997</v>
      </c>
      <c r="CI25" s="45">
        <f ca="1">MIN(ice_elem_cap,TblMili[[#This Row],[Raw (2)]]*ice_elem_bonus)</f>
        <v>0.1</v>
      </c>
      <c r="CJ25" s="266">
        <f t="shared" si="0"/>
        <v>0.83333333333333337</v>
      </c>
      <c r="CK25" s="266">
        <f ca="1">MIN(nox_nightshade_cap,TblConstr[[#This Row],[Homeland]]/TblConstr[[#This Row],[Land]]/nox_nightshade_swamp_bonus)</f>
        <v>4</v>
      </c>
      <c r="CL25" s="267" t="s">
        <v>7</v>
      </c>
      <c r="CM25" s="267" t="b">
        <f>CL25=secondary_resource</f>
        <v>0</v>
      </c>
      <c r="CN25" s="267"/>
      <c r="CO25" s="266">
        <f ca="1">MIN(6,TblMili[[#This Row],[Mystic]]+Races!$F$19)*1.8 +  IF(TblMili[[#This Row],[Mystic]]+Races!$F$19&gt;6,(TblMili[[#This Row],[Mystic]]+Races!$F$19-6)*0.2,0) - Races!$I$19</f>
        <v>3.6399999999999997</v>
      </c>
      <c r="CP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5" s="97">
        <f ca="1">TblMili[[#This Row],[Mystic bonus]]*TblMili[[#This Row],[Unit 3]]+TblMili[[#This Row],[Druid bonus]]*TblMili[[#This Row],[Unit 4]]</f>
        <v>0</v>
      </c>
      <c r="CR25" s="158">
        <f ca="1">MIN(6,TblMili[[#This Row],[Dryad]]+Races!$F$35)*1.8 +  IF(TblMili[[#This Row],[Dryad]]+Races!$F$35&gt;6,(TblMili[[#This Row],[Dryad]]+Races!$F$35-6)*0.2,0) - Races!$I$19</f>
        <v>2.1599999999999993</v>
      </c>
      <c r="CS25" s="97">
        <f ca="1">sylvan*(TblMili[[#This Row],[Mystic bonus]]*TblMili[[#This Row],[Unit 3]])</f>
        <v>0</v>
      </c>
      <c r="CT25" s="158">
        <f ca="1">1.8 * MIN(MAX(Races!$E$27,TblMili[[#This Row],[Rockapult]]+Races!$F$27),6)  +  0.45 * MIN(MIN(Races!$E$27,TblMili[[#This Row],[Rockapult]]+Races!$F$27),6)  +  0.2 * ( MAX(Races!$E$27-6,0) + MAX(TblMili[[#This Row],[Rockapult]]+Races!$F$27-6,0) )  -  Races!$I$20</f>
        <v>5.8500000000000005</v>
      </c>
      <c r="CU25" s="97">
        <f ca="1">gnome*(TblMili[[#This Row],[Rockapult bonus]]*TblMili[[#This Row],[Unit 3]])</f>
        <v>0</v>
      </c>
      <c r="CV25" s="158">
        <f ca="1">1.8 * MIN(MAX(TblMili[[#This Row],[Spellblade]]+Races!$E$47,TblMili[[#This Row],[Adept-DP]]+Races!$F$47),6)  +  0.45 * MIN(MIN(TblMili[[#This Row],[Spellblade]]+Races!$E$47,TblMili[[#This Row],[Adept-DP]]+Races!$F$47),6)  +  0.2 * ( MAX(TblMili[[#This Row],[Spellblade]]+Races!$E$47-6,0) + MAX(TblMili[[#This Row],[Adept-DP]]+Races!$F$47-6,0) )  -  Races!$I$47</f>
        <v>0</v>
      </c>
      <c r="CW25" s="97">
        <f ca="1">dark_elf*(TblMili[[#This Row],[Adept bonus]]*TblMili[[#This Row],[Unit 3]])</f>
        <v>0</v>
      </c>
      <c r="CX25" s="158">
        <f ca="1">1.8 * MIN(MAX(TblMili[[#This Row],[Frost Mage]]+Races!$F$71,Races!$E$71),6)  +  0.45 * MIN(MIN(TblMili[[#This Row],[Frost Mage]]+Races!$F$71,Races!$E$71),6)  +  0.2 * ( MAX(TblMili[[#This Row],[Frost Mage]]+Races!$F$71-6,0) + MAX(Races!$E$71-6,0) )  -  Races!$I$71</f>
        <v>3.9599999999999991</v>
      </c>
      <c r="CY25" s="158">
        <f ca="1">1.8 * MIN(MAX(TblMili[[#This Row],[Ice Elemental]]+Races!$E$71,Races!$F$71),6)  +  0.45 * MIN(MIN(TblMili[[#This Row],[Ice Elemental]]+Races!$E$71,Races!$F$71),6)  +  0.2 * ( MAX(TblMili[[#This Row],[Ice Elemental]]+Races!$E$71-6,0) + MAX(Races!$F$71-6,0) )  -  Races!$I$71</f>
        <v>0.17999999999999972</v>
      </c>
      <c r="CZ25" s="97">
        <f ca="1">TblMili[[#This Row],[Frost Mage bonus]]*TblMili[[#This Row],[Unit 3]]+TblMili[[#This Row],[Ice Elemental bonus]]*TblMili[[#This Row],[Unit 4]]</f>
        <v>0</v>
      </c>
      <c r="DA25" s="268"/>
      <c r="DB25" s="146">
        <f ca="1">MIN(SUM(TblConstr[[#This Row],[Plain]:[Water]])/TblMili[[#This Row],[Land]]/favorable_terrain_bonus/100,favorable_terrain_max)</f>
        <v>0.1</v>
      </c>
      <c r="DC25" s="268"/>
      <c r="DD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5" s="145"/>
      <c r="DF25" s="269">
        <f ca="1">(TblMili[[#This Row],[Wizards]]+2*TblMili[[#This Row],[Archmages]])/TblConstr[[#This Row],[Land]]</f>
        <v>0.1</v>
      </c>
      <c r="DG25" s="269">
        <f ca="1">TblMili[[#This Row],[Raw (2)]]*(1+race_wizard_strength+IF(TblMili[[#This Row],[Hour]]&gt;72,tech_magical_weaponry_wiz*TblTech[[#This Row],[3-5]],0))</f>
        <v>0.1</v>
      </c>
    </row>
    <row r="26" spans="1:111"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45458.916666666613</v>
      </c>
      <c r="AG26" s="182"/>
      <c r="AH26" s="182"/>
      <c r="AI26" s="182"/>
      <c r="AJ26" s="182"/>
      <c r="AK26" s="182"/>
      <c r="AL26" s="182"/>
      <c r="AM26" s="182"/>
      <c r="AN26" s="182"/>
      <c r="AO26" s="449">
        <f ca="1">IF(AND(TblMagic[[#This Row],[Active DnD]]&lt;12,TblMagic[[#This Row],[Active DnD]]&gt;5),OFFSET(TblPop[[#This Row],[Draft Growth]],-1,0)/2,0)</f>
        <v>0</v>
      </c>
      <c r="AP26" s="145"/>
      <c r="AQ26" s="97">
        <f ca="1">TblProd[[#This Row],[Platinum]]</f>
        <v>239861</v>
      </c>
      <c r="AR26" s="97">
        <f ca="1">INDEX(TblProd[[#Headers],[Lumber]]:TblProd[[#This Row],[Ore]],COUNTA(TblProd[[#Headers],[Lumber]]:TblProd[[#This Row],[Lumber]]),MATCH(Military!$AQ$2,TblProd[[#Headers],[Lumber]:[Ore]],0))</f>
        <v>0</v>
      </c>
      <c r="AS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7">
        <f ca="1">TblMili[[#This Row],[Train Unit 1]]*TblMili[[#This Row],[OP Ore]]+TblMili[[#This Row],[Train Unit 2]]*TblMili[[#This Row],[DP Ore]]+TblMili[[#This Row],[Train Unit 3]]*TblMili[[#This Row],[E1 Ore]]+TblMili[[#This Row],[Train Unit 4]]*TblMili[[#This Row],[E2 Ore]]</f>
        <v>0</v>
      </c>
      <c r="AU26" s="145">
        <f>TblMili[[#This Row],[Hour]]</f>
        <v>23</v>
      </c>
      <c r="AV26" s="155">
        <f ca="1">TblMili[[#This Row],[Time]]</f>
        <v>45458.916666666613</v>
      </c>
      <c r="AW26" s="97">
        <f ca="1">TblMili[[#This Row],[Draftees]]</f>
        <v>447</v>
      </c>
      <c r="AX26" s="182"/>
      <c r="AY26" s="182"/>
      <c r="AZ26" s="182"/>
      <c r="BA26" s="182"/>
      <c r="BB26" s="182"/>
      <c r="BC26" s="182"/>
      <c r="BD26" s="182"/>
      <c r="BE26" s="182"/>
      <c r="BF26" s="182"/>
      <c r="BG26" s="145"/>
      <c r="BH26" s="160">
        <f ca="1">TblConstr[[#This Row],[Tot WG]]/TblConstr[[#This Row],[Land]]</f>
        <v>0</v>
      </c>
      <c r="BI26" s="160">
        <f ca="1">TblConstr[[#This Row],[Tot Hav]]/TblConstr[[#This Row],[Land]]</f>
        <v>0</v>
      </c>
      <c r="BJ26" s="97">
        <f ca="1">ROUNDUP((1-MIN(TblMili[[#This Row],[Smithies]]*smithy_bonus,smithy_bonus_cap) + tech_3_5*TblTech[[#This Row],[3-5]] + tech_5_3*TblTech[[#This Row],[5-3]] + tech_5_5*TblTech[[#This Row],[5-5]])*spec_op_plat,0)</f>
        <v>275</v>
      </c>
      <c r="BK26" s="97">
        <f ca="1">ROUNDUP(IF(race="Gnome",1,(1-MIN(TblMili[[#This Row],[Smithies]]*smithy_bonus,smithy_bonus_cap) + tech_3_5*TblTech[[#This Row],[3-5]] + tech_5_3*TblTech[[#This Row],[5-3]] + tech_5_5*TblTech[[#This Row],[5-5]]))*spec_op_ore,0)</f>
        <v>25</v>
      </c>
      <c r="BL26" s="97">
        <f ca="1">ROUNDUP((1-MIN(TblMili[[#This Row],[Smithies]]*smithy_bonus,smithy_bonus_cap) + tech_3_5*TblTech[[#This Row],[3-5]] + tech_5_3*TblTech[[#This Row],[5-3]] + tech_5_5*TblTech[[#This Row],[5-5]])*spec_dp_plat,0)</f>
        <v>275</v>
      </c>
      <c r="BM26" s="97">
        <f ca="1">ROUNDUP(IF(race="Gnome",1,(1-MIN(TblMili[[#This Row],[Smithies]]*smithy_bonus,smithy_bonus_cap) + tech_3_5*TblTech[[#This Row],[3-5]] + tech_5_3*TblTech[[#This Row],[5-3]] + tech_5_5*TblTech[[#This Row],[5-5]]))*spec_dp_ore,0)</f>
        <v>15</v>
      </c>
      <c r="BN26" s="97">
        <f ca="1">ROUNDUP((1-MIN(TblMili[[#This Row],[Smithies]]*smithy_bonus,smithy_bonus_cap) + tech_3_5*TblTech[[#This Row],[3-5]] + tech_5_3*TblTech[[#This Row],[5-3]] + tech_5_5*TblTech[[#This Row],[5-5]])*elite1_plat,0)</f>
        <v>1000</v>
      </c>
      <c r="BO26" s="97">
        <f ca="1">ROUNDUP(IF(race="Gnome",1,(1-MIN(TblMili[[#This Row],[Smithies]]*smithy_bonus,smithy_bonus_cap) + tech_3_5*TblTech[[#This Row],[3-5]] + tech_5_3*TblTech[[#This Row],[5-3]] + tech_5_5*TblTech[[#This Row],[5-5]]))*elite1_ore,0)</f>
        <v>75</v>
      </c>
      <c r="BP26" s="97">
        <f ca="1">ROUNDUP((1-MIN(TblMili[[#This Row],[Smithies]]*smithy_bonus,smithy_bonus_cap) + tech_3_5*TblTech[[#This Row],[3-5]] + tech_5_3*TblTech[[#This Row],[5-3]] + tech_5_5*TblTech[[#This Row],[5-5]])*elite2_plat,0)</f>
        <v>1250</v>
      </c>
      <c r="BQ26" s="97">
        <f ca="1">ROUNDUP(IF(race="Gnome",1,(1-MIN(TblMili[[#This Row],[Smithies]]*smithy_bonus,smithy_bonus_cap) + tech_3_5*TblTech[[#This Row],[3-5]] + tech_5_3*TblTech[[#This Row],[5-3]] + tech_5_5*TblTech[[#This Row],[5-5]]))*elite2_ore,0)</f>
        <v>100</v>
      </c>
      <c r="BR26" s="97">
        <f ca="1">ROUNDUP((1-MIN(ROUND(fh_spy_cost_red*TblMili[[#This Row],[FH''s]],4),fh_spy_cost_cap)+ tech_1_9*TblTech[[#This Row],[1-9]] + tech_9_1*TblTech[[#This Row],[9-1]])*spy_plat,0)</f>
        <v>500</v>
      </c>
      <c r="BS26" s="97">
        <f ca="1">ROUNDUP((1-MIN(ROUND(fh_spy_cost_red*TblMili[[#This Row],[FH''s]],4),fh_spy_cost_cap)+ tech_1_9*TblTech[[#This Row],[1-9]] + tech_9_1*TblTech[[#This Row],[9-1]])*archspy_plat,0)</f>
        <v>1000</v>
      </c>
      <c r="BT26" s="97">
        <f ca="1">ROUNDUP((1-MIN(ROUND(wg_wiz_cost_bonus*TblMili[[#This Row],[WG''s]],4),wg_wiz_cost_cap) + tech_1_9_2*TblTech[[#This Row],[1-9]] + tech_9_1_2*TblTech[[#This Row],[9-1]])*wizard_plat,0)</f>
        <v>500</v>
      </c>
      <c r="BU26" s="97">
        <f ca="1">ROUNDUP((1-MIN(ROUND(wg_wiz_cost_bonus*TblMili[[#This Row],[WG''s]],4),wg_wiz_cost_cap) + tech_1_9_2*TblTech[[#This Row],[1-9]] + tech_9_1_2*TblTech[[#This Row],[9-1]])*archmage_plat,0)</f>
        <v>1000</v>
      </c>
      <c r="BV26" s="145"/>
      <c r="BW26" s="160">
        <f ca="1">TblConstr[[#This Row],[Homeland]]/TblConstr[[#This Row],[Land]]</f>
        <v>0.44</v>
      </c>
      <c r="BX26" s="160">
        <f ca="1">TblMili[[#This Row],[WG''s]]</f>
        <v>0</v>
      </c>
      <c r="BY26" s="266">
        <f ca="1">IF(mystic_cap="none",TblMili[[#This Row],[Hill]]/mystic_bonus,MIN(mystic_cap,TblMili[[#This Row],[Hill]]/mystic_bonus))</f>
        <v>2.1999999999999997</v>
      </c>
      <c r="BZ26" s="266">
        <f ca="1">IF(druid_op_cap="none",TblMili[[#This Row],[Hill]]/druid_op_bonus,MIN(druid_op_cap,TblMili[[#This Row],[Hill]]/druid_op_bonus))</f>
        <v>2.1999999999999997</v>
      </c>
      <c r="CA26" s="266">
        <f ca="1">IF(druid_dp_cap="none",TblMili[[#This Row],[Hill]]/druid_dp_bonus,MIN(druid_dp_cap,TblMili[[#This Row],[Hill]]/druid_dp_bonus))</f>
        <v>2.1999999999999997</v>
      </c>
      <c r="CB26" s="266">
        <f ca="1">MIN(dryad_cap,TblMili[[#This Row],[Hill]]/dryad_bonus)</f>
        <v>2.1999999999999997</v>
      </c>
      <c r="CC26" s="266">
        <f ca="1">MIN(rocka_cap,TblMili[[#This Row],[Hill]]/rocka_bonus)</f>
        <v>2</v>
      </c>
      <c r="CD26" s="266">
        <f ca="1">MIN(adept_op_cap,TblMili[[#This Row],[WG]]/adept_op_bonus)</f>
        <v>0</v>
      </c>
      <c r="CE26" s="266">
        <f ca="1">MIN(adept_dp_cap,TblMili[[#This Row],[WG]]/adept_dp_bonus)</f>
        <v>0</v>
      </c>
      <c r="CF26" s="97">
        <f ca="1">MIN(TblMili[[#This Row],[Unit 3]],TblMili[[#This Row],[Unit 2]])*2</f>
        <v>0</v>
      </c>
      <c r="CG26" s="97">
        <f ca="1">MIN(TblMili[[#This Row],[Unit 1]],TblMili[[#This Row],[Unit 4]])*2</f>
        <v>0</v>
      </c>
      <c r="CH26" s="266">
        <f ca="1">MIN(frost_mage_cap,TblMili[[#This Row],[Hill]]/frost_mage_bonus)</f>
        <v>2.1999999999999997</v>
      </c>
      <c r="CI26" s="45">
        <f ca="1">MIN(ice_elem_cap,TblMili[[#This Row],[Raw (2)]]*ice_elem_bonus)</f>
        <v>0.1</v>
      </c>
      <c r="CJ26" s="266">
        <f t="shared" si="0"/>
        <v>0.83333333333333337</v>
      </c>
      <c r="CK26" s="266">
        <f ca="1">MIN(nox_nightshade_cap,TblConstr[[#This Row],[Homeland]]/TblConstr[[#This Row],[Land]]/nox_nightshade_swamp_bonus)</f>
        <v>4</v>
      </c>
      <c r="CL26" s="267" t="s">
        <v>12</v>
      </c>
      <c r="CM26" s="267" t="b">
        <f>CL26=secondary_resource</f>
        <v>0</v>
      </c>
      <c r="CN26" s="267"/>
      <c r="CO26" s="266">
        <f ca="1">MIN(6,TblMili[[#This Row],[Mystic]]+Races!$F$19)*1.8 +  IF(TblMili[[#This Row],[Mystic]]+Races!$F$19&gt;6,(TblMili[[#This Row],[Mystic]]+Races!$F$19-6)*0.2,0) - Races!$I$19</f>
        <v>3.6399999999999997</v>
      </c>
      <c r="CP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6" s="97">
        <f ca="1">TblMili[[#This Row],[Mystic bonus]]*TblMili[[#This Row],[Unit 3]]+TblMili[[#This Row],[Druid bonus]]*TblMili[[#This Row],[Unit 4]]</f>
        <v>0</v>
      </c>
      <c r="CR26" s="158">
        <f ca="1">MIN(6,TblMili[[#This Row],[Dryad]]+Races!$F$35)*1.8 +  IF(TblMili[[#This Row],[Dryad]]+Races!$F$35&gt;6,(TblMili[[#This Row],[Dryad]]+Races!$F$35-6)*0.2,0) - Races!$I$19</f>
        <v>2.1599999999999993</v>
      </c>
      <c r="CS26" s="97">
        <f ca="1">sylvan*(TblMili[[#This Row],[Mystic bonus]]*TblMili[[#This Row],[Unit 3]])</f>
        <v>0</v>
      </c>
      <c r="CT26" s="158">
        <f ca="1">1.8 * MIN(MAX(Races!$E$27,TblMili[[#This Row],[Rockapult]]+Races!$F$27),6)  +  0.45 * MIN(MIN(Races!$E$27,TblMili[[#This Row],[Rockapult]]+Races!$F$27),6)  +  0.2 * ( MAX(Races!$E$27-6,0) + MAX(TblMili[[#This Row],[Rockapult]]+Races!$F$27-6,0) )  -  Races!$I$20</f>
        <v>5.8500000000000005</v>
      </c>
      <c r="CU26" s="97">
        <f ca="1">gnome*(TblMili[[#This Row],[Rockapult bonus]]*TblMili[[#This Row],[Unit 3]])</f>
        <v>0</v>
      </c>
      <c r="CV26" s="158">
        <f ca="1">1.8 * MIN(MAX(TblMili[[#This Row],[Spellblade]]+Races!$E$47,TblMili[[#This Row],[Adept-DP]]+Races!$F$47),6)  +  0.45 * MIN(MIN(TblMili[[#This Row],[Spellblade]]+Races!$E$47,TblMili[[#This Row],[Adept-DP]]+Races!$F$47),6)  +  0.2 * ( MAX(TblMili[[#This Row],[Spellblade]]+Races!$E$47-6,0) + MAX(TblMili[[#This Row],[Adept-DP]]+Races!$F$47-6,0) )  -  Races!$I$47</f>
        <v>0</v>
      </c>
      <c r="CW26" s="97">
        <f ca="1">dark_elf*(TblMili[[#This Row],[Adept bonus]]*TblMili[[#This Row],[Unit 3]])</f>
        <v>0</v>
      </c>
      <c r="CX26" s="158">
        <f ca="1">1.8 * MIN(MAX(TblMili[[#This Row],[Frost Mage]]+Races!$F$71,Races!$E$71),6)  +  0.45 * MIN(MIN(TblMili[[#This Row],[Frost Mage]]+Races!$F$71,Races!$E$71),6)  +  0.2 * ( MAX(TblMili[[#This Row],[Frost Mage]]+Races!$F$71-6,0) + MAX(Races!$E$71-6,0) )  -  Races!$I$71</f>
        <v>3.9599999999999991</v>
      </c>
      <c r="CY26" s="158">
        <f ca="1">1.8 * MIN(MAX(TblMili[[#This Row],[Ice Elemental]]+Races!$E$71,Races!$F$71),6)  +  0.45 * MIN(MIN(TblMili[[#This Row],[Ice Elemental]]+Races!$E$71,Races!$F$71),6)  +  0.2 * ( MAX(TblMili[[#This Row],[Ice Elemental]]+Races!$E$71-6,0) + MAX(Races!$F$71-6,0) )  -  Races!$I$71</f>
        <v>0.17999999999999972</v>
      </c>
      <c r="CZ26" s="97">
        <f ca="1">TblMili[[#This Row],[Frost Mage bonus]]*TblMili[[#This Row],[Unit 3]]+TblMili[[#This Row],[Ice Elemental bonus]]*TblMili[[#This Row],[Unit 4]]</f>
        <v>0</v>
      </c>
      <c r="DA26" s="268"/>
      <c r="DB26" s="146">
        <f ca="1">MIN(SUM(TblConstr[[#This Row],[Plain]:[Water]])/TblMili[[#This Row],[Land]]/favorable_terrain_bonus/100,favorable_terrain_max)</f>
        <v>0.1</v>
      </c>
      <c r="DC26" s="268"/>
      <c r="DD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6" s="145"/>
      <c r="DF26" s="269">
        <f ca="1">(TblMili[[#This Row],[Wizards]]+2*TblMili[[#This Row],[Archmages]])/TblConstr[[#This Row],[Land]]</f>
        <v>0.1</v>
      </c>
      <c r="DG26" s="269">
        <f ca="1">TblMili[[#This Row],[Raw (2)]]*(1+race_wizard_strength+IF(TblMili[[#This Row],[Hour]]&gt;72,tech_magical_weaponry_wiz*TblTech[[#This Row],[3-5]],0))</f>
        <v>0.1</v>
      </c>
    </row>
    <row r="27" spans="1:111"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45458.958333333278</v>
      </c>
      <c r="AG27" s="182"/>
      <c r="AH27" s="182"/>
      <c r="AI27" s="182"/>
      <c r="AJ27" s="182"/>
      <c r="AK27" s="182"/>
      <c r="AL27" s="182"/>
      <c r="AM27" s="182"/>
      <c r="AN27" s="182"/>
      <c r="AO27" s="449">
        <f ca="1">IF(AND(TblMagic[[#This Row],[Active DnD]]&lt;12,TblMagic[[#This Row],[Active DnD]]&gt;5),OFFSET(TblPop[[#This Row],[Draft Growth]],-1,0)/2,0)</f>
        <v>0</v>
      </c>
      <c r="AP27" s="145"/>
      <c r="AQ27" s="97">
        <f ca="1">TblProd[[#This Row],[Platinum]]</f>
        <v>245531</v>
      </c>
      <c r="AR27" s="97">
        <f ca="1">INDEX(TblProd[[#Headers],[Lumber]]:TblProd[[#This Row],[Ore]],COUNTA(TblProd[[#Headers],[Lumber]]:TblProd[[#This Row],[Lumber]]),MATCH(Military!$AQ$2,TblProd[[#Headers],[Lumber]:[Ore]],0))</f>
        <v>0</v>
      </c>
      <c r="AS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7">
        <f ca="1">TblMili[[#This Row],[Train Unit 1]]*TblMili[[#This Row],[OP Ore]]+TblMili[[#This Row],[Train Unit 2]]*TblMili[[#This Row],[DP Ore]]+TblMili[[#This Row],[Train Unit 3]]*TblMili[[#This Row],[E1 Ore]]+TblMili[[#This Row],[Train Unit 4]]*TblMili[[#This Row],[E2 Ore]]</f>
        <v>0</v>
      </c>
      <c r="AU27" s="145">
        <f>TblMili[[#This Row],[Hour]]</f>
        <v>24</v>
      </c>
      <c r="AV27" s="155">
        <f ca="1">TblMili[[#This Row],[Time]]</f>
        <v>45458.958333333278</v>
      </c>
      <c r="AW27" s="97">
        <f ca="1">TblMili[[#This Row],[Draftees]]</f>
        <v>464</v>
      </c>
      <c r="AX27" s="182"/>
      <c r="AY27" s="182"/>
      <c r="AZ27" s="182"/>
      <c r="BA27" s="182"/>
      <c r="BB27" s="182"/>
      <c r="BC27" s="182"/>
      <c r="BD27" s="182"/>
      <c r="BE27" s="182"/>
      <c r="BF27" s="182"/>
      <c r="BG27" s="145"/>
      <c r="BH27" s="160">
        <f ca="1">TblConstr[[#This Row],[Tot WG]]/TblConstr[[#This Row],[Land]]</f>
        <v>0</v>
      </c>
      <c r="BI27" s="160">
        <f ca="1">TblConstr[[#This Row],[Tot Hav]]/TblConstr[[#This Row],[Land]]</f>
        <v>0</v>
      </c>
      <c r="BJ27" s="97">
        <f ca="1">ROUNDUP((1-MIN(TblMili[[#This Row],[Smithies]]*smithy_bonus,smithy_bonus_cap) + tech_3_5*TblTech[[#This Row],[3-5]] + tech_5_3*TblTech[[#This Row],[5-3]] + tech_5_5*TblTech[[#This Row],[5-5]])*spec_op_plat,0)</f>
        <v>275</v>
      </c>
      <c r="BK27" s="97">
        <f ca="1">ROUNDUP(IF(race="Gnome",1,(1-MIN(TblMili[[#This Row],[Smithies]]*smithy_bonus,smithy_bonus_cap) + tech_3_5*TblTech[[#This Row],[3-5]] + tech_5_3*TblTech[[#This Row],[5-3]] + tech_5_5*TblTech[[#This Row],[5-5]]))*spec_op_ore,0)</f>
        <v>25</v>
      </c>
      <c r="BL27" s="97">
        <f ca="1">ROUNDUP((1-MIN(TblMili[[#This Row],[Smithies]]*smithy_bonus,smithy_bonus_cap) + tech_3_5*TblTech[[#This Row],[3-5]] + tech_5_3*TblTech[[#This Row],[5-3]] + tech_5_5*TblTech[[#This Row],[5-5]])*spec_dp_plat,0)</f>
        <v>275</v>
      </c>
      <c r="BM27" s="97">
        <f ca="1">ROUNDUP(IF(race="Gnome",1,(1-MIN(TblMili[[#This Row],[Smithies]]*smithy_bonus,smithy_bonus_cap) + tech_3_5*TblTech[[#This Row],[3-5]] + tech_5_3*TblTech[[#This Row],[5-3]] + tech_5_5*TblTech[[#This Row],[5-5]]))*spec_dp_ore,0)</f>
        <v>15</v>
      </c>
      <c r="BN27" s="97">
        <f ca="1">ROUNDUP((1-MIN(TblMili[[#This Row],[Smithies]]*smithy_bonus,smithy_bonus_cap) + tech_3_5*TblTech[[#This Row],[3-5]] + tech_5_3*TblTech[[#This Row],[5-3]] + tech_5_5*TblTech[[#This Row],[5-5]])*elite1_plat,0)</f>
        <v>1000</v>
      </c>
      <c r="BO27" s="97">
        <f ca="1">ROUNDUP(IF(race="Gnome",1,(1-MIN(TblMili[[#This Row],[Smithies]]*smithy_bonus,smithy_bonus_cap) + tech_3_5*TblTech[[#This Row],[3-5]] + tech_5_3*TblTech[[#This Row],[5-3]] + tech_5_5*TblTech[[#This Row],[5-5]]))*elite1_ore,0)</f>
        <v>75</v>
      </c>
      <c r="BP27" s="97">
        <f ca="1">ROUNDUP((1-MIN(TblMili[[#This Row],[Smithies]]*smithy_bonus,smithy_bonus_cap) + tech_3_5*TblTech[[#This Row],[3-5]] + tech_5_3*TblTech[[#This Row],[5-3]] + tech_5_5*TblTech[[#This Row],[5-5]])*elite2_plat,0)</f>
        <v>1250</v>
      </c>
      <c r="BQ27" s="97">
        <f ca="1">ROUNDUP(IF(race="Gnome",1,(1-MIN(TblMili[[#This Row],[Smithies]]*smithy_bonus,smithy_bonus_cap) + tech_3_5*TblTech[[#This Row],[3-5]] + tech_5_3*TblTech[[#This Row],[5-3]] + tech_5_5*TblTech[[#This Row],[5-5]]))*elite2_ore,0)</f>
        <v>100</v>
      </c>
      <c r="BR27" s="97">
        <f ca="1">ROUNDUP((1-MIN(ROUND(fh_spy_cost_red*TblMili[[#This Row],[FH''s]],4),fh_spy_cost_cap)+ tech_1_9*TblTech[[#This Row],[1-9]] + tech_9_1*TblTech[[#This Row],[9-1]])*spy_plat,0)</f>
        <v>500</v>
      </c>
      <c r="BS27" s="97">
        <f ca="1">ROUNDUP((1-MIN(ROUND(fh_spy_cost_red*TblMili[[#This Row],[FH''s]],4),fh_spy_cost_cap)+ tech_1_9*TblTech[[#This Row],[1-9]] + tech_9_1*TblTech[[#This Row],[9-1]])*archspy_plat,0)</f>
        <v>1000</v>
      </c>
      <c r="BT27" s="97">
        <f ca="1">ROUNDUP((1-MIN(ROUND(wg_wiz_cost_bonus*TblMili[[#This Row],[WG''s]],4),wg_wiz_cost_cap) + tech_1_9_2*TblTech[[#This Row],[1-9]] + tech_9_1_2*TblTech[[#This Row],[9-1]])*wizard_plat,0)</f>
        <v>500</v>
      </c>
      <c r="BU27" s="97">
        <f ca="1">ROUNDUP((1-MIN(ROUND(wg_wiz_cost_bonus*TblMili[[#This Row],[WG''s]],4),wg_wiz_cost_cap) + tech_1_9_2*TblTech[[#This Row],[1-9]] + tech_9_1_2*TblTech[[#This Row],[9-1]])*archmage_plat,0)</f>
        <v>1000</v>
      </c>
      <c r="BV27" s="145"/>
      <c r="BW27" s="160">
        <f ca="1">TblConstr[[#This Row],[Homeland]]/TblConstr[[#This Row],[Land]]</f>
        <v>0.44</v>
      </c>
      <c r="BX27" s="160">
        <f ca="1">TblMili[[#This Row],[WG''s]]</f>
        <v>0</v>
      </c>
      <c r="BY27" s="266">
        <f ca="1">IF(mystic_cap="none",TblMili[[#This Row],[Hill]]/mystic_bonus,MIN(mystic_cap,TblMili[[#This Row],[Hill]]/mystic_bonus))</f>
        <v>2.1999999999999997</v>
      </c>
      <c r="BZ27" s="266">
        <f ca="1">IF(druid_op_cap="none",TblMili[[#This Row],[Hill]]/druid_op_bonus,MIN(druid_op_cap,TblMili[[#This Row],[Hill]]/druid_op_bonus))</f>
        <v>2.1999999999999997</v>
      </c>
      <c r="CA27" s="266">
        <f ca="1">IF(druid_dp_cap="none",TblMili[[#This Row],[Hill]]/druid_dp_bonus,MIN(druid_dp_cap,TblMili[[#This Row],[Hill]]/druid_dp_bonus))</f>
        <v>2.1999999999999997</v>
      </c>
      <c r="CB27" s="266">
        <f ca="1">MIN(dryad_cap,TblMili[[#This Row],[Hill]]/dryad_bonus)</f>
        <v>2.1999999999999997</v>
      </c>
      <c r="CC27" s="266">
        <f ca="1">MIN(rocka_cap,TblMili[[#This Row],[Hill]]/rocka_bonus)</f>
        <v>2</v>
      </c>
      <c r="CD27" s="266">
        <f ca="1">MIN(adept_op_cap,TblMili[[#This Row],[WG]]/adept_op_bonus)</f>
        <v>0</v>
      </c>
      <c r="CE27" s="266">
        <f ca="1">MIN(adept_dp_cap,TblMili[[#This Row],[WG]]/adept_dp_bonus)</f>
        <v>0</v>
      </c>
      <c r="CF27" s="97">
        <f ca="1">MIN(TblMili[[#This Row],[Unit 3]],TblMili[[#This Row],[Unit 2]])*2</f>
        <v>0</v>
      </c>
      <c r="CG27" s="97">
        <f ca="1">MIN(TblMili[[#This Row],[Unit 1]],TblMili[[#This Row],[Unit 4]])*2</f>
        <v>0</v>
      </c>
      <c r="CH27" s="266">
        <f ca="1">MIN(frost_mage_cap,TblMili[[#This Row],[Hill]]/frost_mage_bonus)</f>
        <v>2.1999999999999997</v>
      </c>
      <c r="CI27" s="45">
        <f ca="1">MIN(ice_elem_cap,TblMili[[#This Row],[Raw (2)]]*ice_elem_bonus)</f>
        <v>0.1</v>
      </c>
      <c r="CJ27" s="266">
        <f t="shared" si="0"/>
        <v>0.83333333333333337</v>
      </c>
      <c r="CK27" s="266">
        <f ca="1">MIN(nox_nightshade_cap,TblConstr[[#This Row],[Homeland]]/TblConstr[[#This Row],[Land]]/nox_nightshade_swamp_bonus)</f>
        <v>4</v>
      </c>
      <c r="CL27" s="267"/>
      <c r="CM27" s="267"/>
      <c r="CN27" s="267"/>
      <c r="CO27" s="266">
        <f ca="1">MIN(6,TblMili[[#This Row],[Mystic]]+Races!$F$19)*1.8 +  IF(TblMili[[#This Row],[Mystic]]+Races!$F$19&gt;6,(TblMili[[#This Row],[Mystic]]+Races!$F$19-6)*0.2,0) - Races!$I$19</f>
        <v>3.6399999999999997</v>
      </c>
      <c r="CP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7" s="97">
        <f ca="1">TblMili[[#This Row],[Mystic bonus]]*TblMili[[#This Row],[Unit 3]]+TblMili[[#This Row],[Druid bonus]]*TblMili[[#This Row],[Unit 4]]</f>
        <v>0</v>
      </c>
      <c r="CR27" s="158">
        <f ca="1">MIN(6,TblMili[[#This Row],[Dryad]]+Races!$F$35)*1.8 +  IF(TblMili[[#This Row],[Dryad]]+Races!$F$35&gt;6,(TblMili[[#This Row],[Dryad]]+Races!$F$35-6)*0.2,0) - Races!$I$19</f>
        <v>2.1599999999999993</v>
      </c>
      <c r="CS27" s="97">
        <f ca="1">sylvan*(TblMili[[#This Row],[Mystic bonus]]*TblMili[[#This Row],[Unit 3]])</f>
        <v>0</v>
      </c>
      <c r="CT27" s="158">
        <f ca="1">1.8 * MIN(MAX(Races!$E$27,TblMili[[#This Row],[Rockapult]]+Races!$F$27),6)  +  0.45 * MIN(MIN(Races!$E$27,TblMili[[#This Row],[Rockapult]]+Races!$F$27),6)  +  0.2 * ( MAX(Races!$E$27-6,0) + MAX(TblMili[[#This Row],[Rockapult]]+Races!$F$27-6,0) )  -  Races!$I$20</f>
        <v>5.8500000000000005</v>
      </c>
      <c r="CU27" s="97">
        <f ca="1">gnome*(TblMili[[#This Row],[Rockapult bonus]]*TblMili[[#This Row],[Unit 3]])</f>
        <v>0</v>
      </c>
      <c r="CV27" s="158">
        <f ca="1">1.8 * MIN(MAX(TblMili[[#This Row],[Spellblade]]+Races!$E$47,TblMili[[#This Row],[Adept-DP]]+Races!$F$47),6)  +  0.45 * MIN(MIN(TblMili[[#This Row],[Spellblade]]+Races!$E$47,TblMili[[#This Row],[Adept-DP]]+Races!$F$47),6)  +  0.2 * ( MAX(TblMili[[#This Row],[Spellblade]]+Races!$E$47-6,0) + MAX(TblMili[[#This Row],[Adept-DP]]+Races!$F$47-6,0) )  -  Races!$I$47</f>
        <v>0</v>
      </c>
      <c r="CW27" s="97">
        <f ca="1">dark_elf*(TblMili[[#This Row],[Adept bonus]]*TblMili[[#This Row],[Unit 3]])</f>
        <v>0</v>
      </c>
      <c r="CX27" s="158">
        <f ca="1">1.8 * MIN(MAX(TblMili[[#This Row],[Frost Mage]]+Races!$F$71,Races!$E$71),6)  +  0.45 * MIN(MIN(TblMili[[#This Row],[Frost Mage]]+Races!$F$71,Races!$E$71),6)  +  0.2 * ( MAX(TblMili[[#This Row],[Frost Mage]]+Races!$F$71-6,0) + MAX(Races!$E$71-6,0) )  -  Races!$I$71</f>
        <v>3.9599999999999991</v>
      </c>
      <c r="CY27" s="158">
        <f ca="1">1.8 * MIN(MAX(TblMili[[#This Row],[Ice Elemental]]+Races!$E$71,Races!$F$71),6)  +  0.45 * MIN(MIN(TblMili[[#This Row],[Ice Elemental]]+Races!$E$71,Races!$F$71),6)  +  0.2 * ( MAX(TblMili[[#This Row],[Ice Elemental]]+Races!$E$71-6,0) + MAX(Races!$F$71-6,0) )  -  Races!$I$71</f>
        <v>0.17999999999999972</v>
      </c>
      <c r="CZ27" s="97">
        <f ca="1">TblMili[[#This Row],[Frost Mage bonus]]*TblMili[[#This Row],[Unit 3]]+TblMili[[#This Row],[Ice Elemental bonus]]*TblMili[[#This Row],[Unit 4]]</f>
        <v>0</v>
      </c>
      <c r="DA27" s="268"/>
      <c r="DB27" s="146">
        <f ca="1">MIN(SUM(TblConstr[[#This Row],[Plain]:[Water]])/TblMili[[#This Row],[Land]]/favorable_terrain_bonus/100,favorable_terrain_max)</f>
        <v>0.1</v>
      </c>
      <c r="DC27" s="268"/>
      <c r="DD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7" s="145"/>
      <c r="DF27" s="269">
        <f ca="1">(TblMili[[#This Row],[Wizards]]+2*TblMili[[#This Row],[Archmages]])/TblConstr[[#This Row],[Land]]</f>
        <v>0.1</v>
      </c>
      <c r="DG27" s="269">
        <f ca="1">TblMili[[#This Row],[Raw (2)]]*(1+race_wizard_strength+IF(TblMili[[#This Row],[Hour]]&gt;72,tech_magical_weaponry_wiz*TblTech[[#This Row],[3-5]],0))</f>
        <v>0.1</v>
      </c>
    </row>
    <row r="28" spans="1:111"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45458.999999999942</v>
      </c>
      <c r="AG28" s="182"/>
      <c r="AH28" s="182"/>
      <c r="AI28" s="182"/>
      <c r="AJ28" s="182"/>
      <c r="AK28" s="182"/>
      <c r="AL28" s="182"/>
      <c r="AM28" s="182"/>
      <c r="AN28" s="182"/>
      <c r="AO28" s="449">
        <f ca="1">IF(AND(TblMagic[[#This Row],[Active DnD]]&lt;12,TblMagic[[#This Row],[Active DnD]]&gt;5),OFFSET(TblPop[[#This Row],[Draft Growth]],-1,0)/2,0)</f>
        <v>0</v>
      </c>
      <c r="AP28" s="145"/>
      <c r="AQ28" s="97">
        <f ca="1">TblProd[[#This Row],[Platinum]]</f>
        <v>251201</v>
      </c>
      <c r="AR28" s="97">
        <f ca="1">INDEX(TblProd[[#Headers],[Lumber]]:TblProd[[#This Row],[Ore]],COUNTA(TblProd[[#Headers],[Lumber]]:TblProd[[#This Row],[Lumber]]),MATCH(Military!$AQ$2,TblProd[[#Headers],[Lumber]:[Ore]],0))</f>
        <v>0</v>
      </c>
      <c r="AS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7">
        <f ca="1">TblMili[[#This Row],[Train Unit 1]]*TblMili[[#This Row],[OP Ore]]+TblMili[[#This Row],[Train Unit 2]]*TblMili[[#This Row],[DP Ore]]+TblMili[[#This Row],[Train Unit 3]]*TblMili[[#This Row],[E1 Ore]]+TblMili[[#This Row],[Train Unit 4]]*TblMili[[#This Row],[E2 Ore]]</f>
        <v>0</v>
      </c>
      <c r="AU28" s="145">
        <f>TblMili[[#This Row],[Hour]]</f>
        <v>25</v>
      </c>
      <c r="AV28" s="155">
        <f ca="1">TblMili[[#This Row],[Time]]</f>
        <v>45458.999999999942</v>
      </c>
      <c r="AW28" s="97">
        <f ca="1">TblMili[[#This Row],[Draftees]]</f>
        <v>481</v>
      </c>
      <c r="AX28" s="182"/>
      <c r="AY28" s="182"/>
      <c r="AZ28" s="182"/>
      <c r="BA28" s="182"/>
      <c r="BB28" s="182"/>
      <c r="BC28" s="182"/>
      <c r="BD28" s="182"/>
      <c r="BE28" s="182"/>
      <c r="BF28" s="182"/>
      <c r="BG28" s="145"/>
      <c r="BH28" s="160">
        <f ca="1">TblConstr[[#This Row],[Tot WG]]/TblConstr[[#This Row],[Land]]</f>
        <v>0</v>
      </c>
      <c r="BI28" s="160">
        <f ca="1">TblConstr[[#This Row],[Tot Hav]]/TblConstr[[#This Row],[Land]]</f>
        <v>0</v>
      </c>
      <c r="BJ28" s="97">
        <f ca="1">ROUNDUP((1-MIN(TblMili[[#This Row],[Smithies]]*smithy_bonus,smithy_bonus_cap) + tech_3_5*TblTech[[#This Row],[3-5]] + tech_5_3*TblTech[[#This Row],[5-3]] + tech_5_5*TblTech[[#This Row],[5-5]])*spec_op_plat,0)</f>
        <v>275</v>
      </c>
      <c r="BK28" s="97">
        <f ca="1">ROUNDUP(IF(race="Gnome",1,(1-MIN(TblMili[[#This Row],[Smithies]]*smithy_bonus,smithy_bonus_cap) + tech_3_5*TblTech[[#This Row],[3-5]] + tech_5_3*TblTech[[#This Row],[5-3]] + tech_5_5*TblTech[[#This Row],[5-5]]))*spec_op_ore,0)</f>
        <v>25</v>
      </c>
      <c r="BL28" s="97">
        <f ca="1">ROUNDUP((1-MIN(TblMili[[#This Row],[Smithies]]*smithy_bonus,smithy_bonus_cap) + tech_3_5*TblTech[[#This Row],[3-5]] + tech_5_3*TblTech[[#This Row],[5-3]] + tech_5_5*TblTech[[#This Row],[5-5]])*spec_dp_plat,0)</f>
        <v>275</v>
      </c>
      <c r="BM28" s="97">
        <f ca="1">ROUNDUP(IF(race="Gnome",1,(1-MIN(TblMili[[#This Row],[Smithies]]*smithy_bonus,smithy_bonus_cap) + tech_3_5*TblTech[[#This Row],[3-5]] + tech_5_3*TblTech[[#This Row],[5-3]] + tech_5_5*TblTech[[#This Row],[5-5]]))*spec_dp_ore,0)</f>
        <v>15</v>
      </c>
      <c r="BN28" s="97">
        <f ca="1">ROUNDUP((1-MIN(TblMili[[#This Row],[Smithies]]*smithy_bonus,smithy_bonus_cap) + tech_3_5*TblTech[[#This Row],[3-5]] + tech_5_3*TblTech[[#This Row],[5-3]] + tech_5_5*TblTech[[#This Row],[5-5]])*elite1_plat,0)</f>
        <v>1000</v>
      </c>
      <c r="BO28" s="97">
        <f ca="1">ROUNDUP(IF(race="Gnome",1,(1-MIN(TblMili[[#This Row],[Smithies]]*smithy_bonus,smithy_bonus_cap) + tech_3_5*TblTech[[#This Row],[3-5]] + tech_5_3*TblTech[[#This Row],[5-3]] + tech_5_5*TblTech[[#This Row],[5-5]]))*elite1_ore,0)</f>
        <v>75</v>
      </c>
      <c r="BP28" s="97">
        <f ca="1">ROUNDUP((1-MIN(TblMili[[#This Row],[Smithies]]*smithy_bonus,smithy_bonus_cap) + tech_3_5*TblTech[[#This Row],[3-5]] + tech_5_3*TblTech[[#This Row],[5-3]] + tech_5_5*TblTech[[#This Row],[5-5]])*elite2_plat,0)</f>
        <v>1250</v>
      </c>
      <c r="BQ28" s="97">
        <f ca="1">ROUNDUP(IF(race="Gnome",1,(1-MIN(TblMili[[#This Row],[Smithies]]*smithy_bonus,smithy_bonus_cap) + tech_3_5*TblTech[[#This Row],[3-5]] + tech_5_3*TblTech[[#This Row],[5-3]] + tech_5_5*TblTech[[#This Row],[5-5]]))*elite2_ore,0)</f>
        <v>100</v>
      </c>
      <c r="BR28" s="97">
        <f ca="1">ROUNDUP((1-MIN(ROUND(fh_spy_cost_red*TblMili[[#This Row],[FH''s]],4),fh_spy_cost_cap)+ tech_1_9*TblTech[[#This Row],[1-9]] + tech_9_1*TblTech[[#This Row],[9-1]])*spy_plat,0)</f>
        <v>500</v>
      </c>
      <c r="BS28" s="97">
        <f ca="1">ROUNDUP((1-MIN(ROUND(fh_spy_cost_red*TblMili[[#This Row],[FH''s]],4),fh_spy_cost_cap)+ tech_1_9*TblTech[[#This Row],[1-9]] + tech_9_1*TblTech[[#This Row],[9-1]])*archspy_plat,0)</f>
        <v>1000</v>
      </c>
      <c r="BT28" s="97">
        <f ca="1">ROUNDUP((1-MIN(ROUND(wg_wiz_cost_bonus*TblMili[[#This Row],[WG''s]],4),wg_wiz_cost_cap) + tech_1_9_2*TblTech[[#This Row],[1-9]] + tech_9_1_2*TblTech[[#This Row],[9-1]])*wizard_plat,0)</f>
        <v>500</v>
      </c>
      <c r="BU28" s="97">
        <f ca="1">ROUNDUP((1-MIN(ROUND(wg_wiz_cost_bonus*TblMili[[#This Row],[WG''s]],4),wg_wiz_cost_cap) + tech_1_9_2*TblTech[[#This Row],[1-9]] + tech_9_1_2*TblTech[[#This Row],[9-1]])*archmage_plat,0)</f>
        <v>1000</v>
      </c>
      <c r="BV28" s="145"/>
      <c r="BW28" s="160">
        <f ca="1">TblConstr[[#This Row],[Homeland]]/TblConstr[[#This Row],[Land]]</f>
        <v>0.44</v>
      </c>
      <c r="BX28" s="160">
        <f ca="1">TblMili[[#This Row],[WG''s]]</f>
        <v>0</v>
      </c>
      <c r="BY28" s="266">
        <f ca="1">IF(mystic_cap="none",TblMili[[#This Row],[Hill]]/mystic_bonus,MIN(mystic_cap,TblMili[[#This Row],[Hill]]/mystic_bonus))</f>
        <v>2.1999999999999997</v>
      </c>
      <c r="BZ28" s="266">
        <f ca="1">IF(druid_op_cap="none",TblMili[[#This Row],[Hill]]/druid_op_bonus,MIN(druid_op_cap,TblMili[[#This Row],[Hill]]/druid_op_bonus))</f>
        <v>2.1999999999999997</v>
      </c>
      <c r="CA28" s="266">
        <f ca="1">IF(druid_dp_cap="none",TblMili[[#This Row],[Hill]]/druid_dp_bonus,MIN(druid_dp_cap,TblMili[[#This Row],[Hill]]/druid_dp_bonus))</f>
        <v>2.1999999999999997</v>
      </c>
      <c r="CB28" s="266">
        <f ca="1">MIN(dryad_cap,TblMili[[#This Row],[Hill]]/dryad_bonus)</f>
        <v>2.1999999999999997</v>
      </c>
      <c r="CC28" s="266">
        <f ca="1">MIN(rocka_cap,TblMili[[#This Row],[Hill]]/rocka_bonus)</f>
        <v>2</v>
      </c>
      <c r="CD28" s="266">
        <f ca="1">MIN(adept_op_cap,TblMili[[#This Row],[WG]]/adept_op_bonus)</f>
        <v>0</v>
      </c>
      <c r="CE28" s="266">
        <f ca="1">MIN(adept_dp_cap,TblMili[[#This Row],[WG]]/adept_dp_bonus)</f>
        <v>0</v>
      </c>
      <c r="CF28" s="97">
        <f ca="1">MIN(TblMili[[#This Row],[Unit 3]],TblMili[[#This Row],[Unit 2]])*2</f>
        <v>0</v>
      </c>
      <c r="CG28" s="97">
        <f ca="1">MIN(TblMili[[#This Row],[Unit 1]],TblMili[[#This Row],[Unit 4]])*2</f>
        <v>0</v>
      </c>
      <c r="CH28" s="266">
        <f ca="1">MIN(frost_mage_cap,TblMili[[#This Row],[Hill]]/frost_mage_bonus)</f>
        <v>2.1999999999999997</v>
      </c>
      <c r="CI28" s="45">
        <f ca="1">MIN(ice_elem_cap,TblMili[[#This Row],[Raw (2)]]*ice_elem_bonus)</f>
        <v>0.1</v>
      </c>
      <c r="CJ28" s="266">
        <f t="shared" si="0"/>
        <v>0.83333333333333337</v>
      </c>
      <c r="CK28" s="266">
        <f ca="1">MIN(nox_nightshade_cap,TblConstr[[#This Row],[Homeland]]/TblConstr[[#This Row],[Land]]/nox_nightshade_swamp_bonus)</f>
        <v>4</v>
      </c>
      <c r="CL28" s="267"/>
      <c r="CM28" s="267"/>
      <c r="CN28" s="267"/>
      <c r="CO28" s="266">
        <f ca="1">MIN(6,TblMili[[#This Row],[Mystic]]+Races!$F$19)*1.8 +  IF(TblMili[[#This Row],[Mystic]]+Races!$F$19&gt;6,(TblMili[[#This Row],[Mystic]]+Races!$F$19-6)*0.2,0) - Races!$I$19</f>
        <v>3.6399999999999997</v>
      </c>
      <c r="CP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8" s="97">
        <f ca="1">TblMili[[#This Row],[Mystic bonus]]*TblMili[[#This Row],[Unit 3]]+TblMili[[#This Row],[Druid bonus]]*TblMili[[#This Row],[Unit 4]]</f>
        <v>0</v>
      </c>
      <c r="CR28" s="158">
        <f ca="1">MIN(6,TblMili[[#This Row],[Dryad]]+Races!$F$35)*1.8 +  IF(TblMili[[#This Row],[Dryad]]+Races!$F$35&gt;6,(TblMili[[#This Row],[Dryad]]+Races!$F$35-6)*0.2,0) - Races!$I$19</f>
        <v>2.1599999999999993</v>
      </c>
      <c r="CS28" s="97">
        <f ca="1">sylvan*(TblMili[[#This Row],[Mystic bonus]]*TblMili[[#This Row],[Unit 3]])</f>
        <v>0</v>
      </c>
      <c r="CT28" s="158">
        <f ca="1">1.8 * MIN(MAX(Races!$E$27,TblMili[[#This Row],[Rockapult]]+Races!$F$27),6)  +  0.45 * MIN(MIN(Races!$E$27,TblMili[[#This Row],[Rockapult]]+Races!$F$27),6)  +  0.2 * ( MAX(Races!$E$27-6,0) + MAX(TblMili[[#This Row],[Rockapult]]+Races!$F$27-6,0) )  -  Races!$I$20</f>
        <v>5.8500000000000005</v>
      </c>
      <c r="CU28" s="97">
        <f ca="1">gnome*(TblMili[[#This Row],[Rockapult bonus]]*TblMili[[#This Row],[Unit 3]])</f>
        <v>0</v>
      </c>
      <c r="CV28" s="158">
        <f ca="1">1.8 * MIN(MAX(TblMili[[#This Row],[Spellblade]]+Races!$E$47,TblMili[[#This Row],[Adept-DP]]+Races!$F$47),6)  +  0.45 * MIN(MIN(TblMili[[#This Row],[Spellblade]]+Races!$E$47,TblMili[[#This Row],[Adept-DP]]+Races!$F$47),6)  +  0.2 * ( MAX(TblMili[[#This Row],[Spellblade]]+Races!$E$47-6,0) + MAX(TblMili[[#This Row],[Adept-DP]]+Races!$F$47-6,0) )  -  Races!$I$47</f>
        <v>0</v>
      </c>
      <c r="CW28" s="97">
        <f ca="1">dark_elf*(TblMili[[#This Row],[Adept bonus]]*TblMili[[#This Row],[Unit 3]])</f>
        <v>0</v>
      </c>
      <c r="CX28" s="158">
        <f ca="1">1.8 * MIN(MAX(TblMili[[#This Row],[Frost Mage]]+Races!$F$71,Races!$E$71),6)  +  0.45 * MIN(MIN(TblMili[[#This Row],[Frost Mage]]+Races!$F$71,Races!$E$71),6)  +  0.2 * ( MAX(TblMili[[#This Row],[Frost Mage]]+Races!$F$71-6,0) + MAX(Races!$E$71-6,0) )  -  Races!$I$71</f>
        <v>3.9599999999999991</v>
      </c>
      <c r="CY28" s="158">
        <f ca="1">1.8 * MIN(MAX(TblMili[[#This Row],[Ice Elemental]]+Races!$E$71,Races!$F$71),6)  +  0.45 * MIN(MIN(TblMili[[#This Row],[Ice Elemental]]+Races!$E$71,Races!$F$71),6)  +  0.2 * ( MAX(TblMili[[#This Row],[Ice Elemental]]+Races!$E$71-6,0) + MAX(Races!$F$71-6,0) )  -  Races!$I$71</f>
        <v>0.17999999999999972</v>
      </c>
      <c r="CZ28" s="97">
        <f ca="1">TblMili[[#This Row],[Frost Mage bonus]]*TblMili[[#This Row],[Unit 3]]+TblMili[[#This Row],[Ice Elemental bonus]]*TblMili[[#This Row],[Unit 4]]</f>
        <v>0</v>
      </c>
      <c r="DA28" s="268"/>
      <c r="DB28" s="146">
        <f ca="1">MIN(SUM(TblConstr[[#This Row],[Plain]:[Water]])/TblMili[[#This Row],[Land]]/favorable_terrain_bonus/100,favorable_terrain_max)</f>
        <v>0.1</v>
      </c>
      <c r="DC28" s="268"/>
      <c r="DD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8" s="145"/>
      <c r="DF28" s="269">
        <f ca="1">(TblMili[[#This Row],[Wizards]]+2*TblMili[[#This Row],[Archmages]])/TblConstr[[#This Row],[Land]]</f>
        <v>0.1</v>
      </c>
      <c r="DG28" s="269">
        <f ca="1">TblMili[[#This Row],[Raw (2)]]*(1+race_wizard_strength+IF(TblMili[[#This Row],[Hour]]&gt;72,tech_magical_weaponry_wiz*TblTech[[#This Row],[3-5]],0))</f>
        <v>0.1</v>
      </c>
    </row>
    <row r="29" spans="1:111"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45459.041666666606</v>
      </c>
      <c r="AG29" s="182"/>
      <c r="AH29" s="182"/>
      <c r="AI29" s="182"/>
      <c r="AJ29" s="182"/>
      <c r="AK29" s="182"/>
      <c r="AL29" s="182"/>
      <c r="AM29" s="182"/>
      <c r="AN29" s="182"/>
      <c r="AO29" s="449">
        <f ca="1">IF(AND(TblMagic[[#This Row],[Active DnD]]&lt;12,TblMagic[[#This Row],[Active DnD]]&gt;5),OFFSET(TblPop[[#This Row],[Draft Growth]],-1,0)/2,0)</f>
        <v>0</v>
      </c>
      <c r="AP29" s="145"/>
      <c r="AQ29" s="97">
        <f ca="1">TblProd[[#This Row],[Platinum]]</f>
        <v>256871</v>
      </c>
      <c r="AR29" s="97">
        <f ca="1">INDEX(TblProd[[#Headers],[Lumber]]:TblProd[[#This Row],[Ore]],COUNTA(TblProd[[#Headers],[Lumber]]:TblProd[[#This Row],[Lumber]]),MATCH(Military!$AQ$2,TblProd[[#Headers],[Lumber]:[Ore]],0))</f>
        <v>0</v>
      </c>
      <c r="AS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7">
        <f ca="1">TblMili[[#This Row],[Train Unit 1]]*TblMili[[#This Row],[OP Ore]]+TblMili[[#This Row],[Train Unit 2]]*TblMili[[#This Row],[DP Ore]]+TblMili[[#This Row],[Train Unit 3]]*TblMili[[#This Row],[E1 Ore]]+TblMili[[#This Row],[Train Unit 4]]*TblMili[[#This Row],[E2 Ore]]</f>
        <v>0</v>
      </c>
      <c r="AU29" s="145">
        <f>TblMili[[#This Row],[Hour]]</f>
        <v>26</v>
      </c>
      <c r="AV29" s="155">
        <f ca="1">TblMili[[#This Row],[Time]]</f>
        <v>45459.041666666606</v>
      </c>
      <c r="AW29" s="97">
        <f ca="1">TblMili[[#This Row],[Draftees]]</f>
        <v>498</v>
      </c>
      <c r="AX29" s="182"/>
      <c r="AY29" s="182"/>
      <c r="AZ29" s="182"/>
      <c r="BA29" s="182"/>
      <c r="BB29" s="182"/>
      <c r="BC29" s="182"/>
      <c r="BD29" s="182"/>
      <c r="BE29" s="182"/>
      <c r="BF29" s="182"/>
      <c r="BG29" s="145"/>
      <c r="BH29" s="160">
        <f ca="1">TblConstr[[#This Row],[Tot WG]]/TblConstr[[#This Row],[Land]]</f>
        <v>0</v>
      </c>
      <c r="BI29" s="160">
        <f ca="1">TblConstr[[#This Row],[Tot Hav]]/TblConstr[[#This Row],[Land]]</f>
        <v>0</v>
      </c>
      <c r="BJ29" s="97">
        <f ca="1">ROUNDUP((1-MIN(TblMili[[#This Row],[Smithies]]*smithy_bonus,smithy_bonus_cap) + tech_3_5*TblTech[[#This Row],[3-5]] + tech_5_3*TblTech[[#This Row],[5-3]] + tech_5_5*TblTech[[#This Row],[5-5]])*spec_op_plat,0)</f>
        <v>275</v>
      </c>
      <c r="BK29" s="97">
        <f ca="1">ROUNDUP(IF(race="Gnome",1,(1-MIN(TblMili[[#This Row],[Smithies]]*smithy_bonus,smithy_bonus_cap) + tech_3_5*TblTech[[#This Row],[3-5]] + tech_5_3*TblTech[[#This Row],[5-3]] + tech_5_5*TblTech[[#This Row],[5-5]]))*spec_op_ore,0)</f>
        <v>25</v>
      </c>
      <c r="BL29" s="97">
        <f ca="1">ROUNDUP((1-MIN(TblMili[[#This Row],[Smithies]]*smithy_bonus,smithy_bonus_cap) + tech_3_5*TblTech[[#This Row],[3-5]] + tech_5_3*TblTech[[#This Row],[5-3]] + tech_5_5*TblTech[[#This Row],[5-5]])*spec_dp_plat,0)</f>
        <v>275</v>
      </c>
      <c r="BM29" s="97">
        <f ca="1">ROUNDUP(IF(race="Gnome",1,(1-MIN(TblMili[[#This Row],[Smithies]]*smithy_bonus,smithy_bonus_cap) + tech_3_5*TblTech[[#This Row],[3-5]] + tech_5_3*TblTech[[#This Row],[5-3]] + tech_5_5*TblTech[[#This Row],[5-5]]))*spec_dp_ore,0)</f>
        <v>15</v>
      </c>
      <c r="BN29" s="97">
        <f ca="1">ROUNDUP((1-MIN(TblMili[[#This Row],[Smithies]]*smithy_bonus,smithy_bonus_cap) + tech_3_5*TblTech[[#This Row],[3-5]] + tech_5_3*TblTech[[#This Row],[5-3]] + tech_5_5*TblTech[[#This Row],[5-5]])*elite1_plat,0)</f>
        <v>1000</v>
      </c>
      <c r="BO29" s="97">
        <f ca="1">ROUNDUP(IF(race="Gnome",1,(1-MIN(TblMili[[#This Row],[Smithies]]*smithy_bonus,smithy_bonus_cap) + tech_3_5*TblTech[[#This Row],[3-5]] + tech_5_3*TblTech[[#This Row],[5-3]] + tech_5_5*TblTech[[#This Row],[5-5]]))*elite1_ore,0)</f>
        <v>75</v>
      </c>
      <c r="BP29" s="97">
        <f ca="1">ROUNDUP((1-MIN(TblMili[[#This Row],[Smithies]]*smithy_bonus,smithy_bonus_cap) + tech_3_5*TblTech[[#This Row],[3-5]] + tech_5_3*TblTech[[#This Row],[5-3]] + tech_5_5*TblTech[[#This Row],[5-5]])*elite2_plat,0)</f>
        <v>1250</v>
      </c>
      <c r="BQ29" s="97">
        <f ca="1">ROUNDUP(IF(race="Gnome",1,(1-MIN(TblMili[[#This Row],[Smithies]]*smithy_bonus,smithy_bonus_cap) + tech_3_5*TblTech[[#This Row],[3-5]] + tech_5_3*TblTech[[#This Row],[5-3]] + tech_5_5*TblTech[[#This Row],[5-5]]))*elite2_ore,0)</f>
        <v>100</v>
      </c>
      <c r="BR29" s="97">
        <f ca="1">ROUNDUP((1-MIN(ROUND(fh_spy_cost_red*TblMili[[#This Row],[FH''s]],4),fh_spy_cost_cap)+ tech_1_9*TblTech[[#This Row],[1-9]] + tech_9_1*TblTech[[#This Row],[9-1]])*spy_plat,0)</f>
        <v>500</v>
      </c>
      <c r="BS29" s="97">
        <f ca="1">ROUNDUP((1-MIN(ROUND(fh_spy_cost_red*TblMili[[#This Row],[FH''s]],4),fh_spy_cost_cap)+ tech_1_9*TblTech[[#This Row],[1-9]] + tech_9_1*TblTech[[#This Row],[9-1]])*archspy_plat,0)</f>
        <v>1000</v>
      </c>
      <c r="BT29" s="97">
        <f ca="1">ROUNDUP((1-MIN(ROUND(wg_wiz_cost_bonus*TblMili[[#This Row],[WG''s]],4),wg_wiz_cost_cap) + tech_1_9_2*TblTech[[#This Row],[1-9]] + tech_9_1_2*TblTech[[#This Row],[9-1]])*wizard_plat,0)</f>
        <v>500</v>
      </c>
      <c r="BU29" s="97">
        <f ca="1">ROUNDUP((1-MIN(ROUND(wg_wiz_cost_bonus*TblMili[[#This Row],[WG''s]],4),wg_wiz_cost_cap) + tech_1_9_2*TblTech[[#This Row],[1-9]] + tech_9_1_2*TblTech[[#This Row],[9-1]])*archmage_plat,0)</f>
        <v>1000</v>
      </c>
      <c r="BV29" s="145"/>
      <c r="BW29" s="160">
        <f ca="1">TblConstr[[#This Row],[Homeland]]/TblConstr[[#This Row],[Land]]</f>
        <v>0.44</v>
      </c>
      <c r="BX29" s="160">
        <f ca="1">TblMili[[#This Row],[WG''s]]</f>
        <v>0</v>
      </c>
      <c r="BY29" s="266">
        <f ca="1">IF(mystic_cap="none",TblMili[[#This Row],[Hill]]/mystic_bonus,MIN(mystic_cap,TblMili[[#This Row],[Hill]]/mystic_bonus))</f>
        <v>2.1999999999999997</v>
      </c>
      <c r="BZ29" s="266">
        <f ca="1">IF(druid_op_cap="none",TblMili[[#This Row],[Hill]]/druid_op_bonus,MIN(druid_op_cap,TblMili[[#This Row],[Hill]]/druid_op_bonus))</f>
        <v>2.1999999999999997</v>
      </c>
      <c r="CA29" s="266">
        <f ca="1">IF(druid_dp_cap="none",TblMili[[#This Row],[Hill]]/druid_dp_bonus,MIN(druid_dp_cap,TblMili[[#This Row],[Hill]]/druid_dp_bonus))</f>
        <v>2.1999999999999997</v>
      </c>
      <c r="CB29" s="266">
        <f ca="1">MIN(dryad_cap,TblMili[[#This Row],[Hill]]/dryad_bonus)</f>
        <v>2.1999999999999997</v>
      </c>
      <c r="CC29" s="266">
        <f ca="1">MIN(rocka_cap,TblMili[[#This Row],[Hill]]/rocka_bonus)</f>
        <v>2</v>
      </c>
      <c r="CD29" s="266">
        <f ca="1">MIN(adept_op_cap,TblMili[[#This Row],[WG]]/adept_op_bonus)</f>
        <v>0</v>
      </c>
      <c r="CE29" s="266">
        <f ca="1">MIN(adept_dp_cap,TblMili[[#This Row],[WG]]/adept_dp_bonus)</f>
        <v>0</v>
      </c>
      <c r="CF29" s="97">
        <f ca="1">MIN(TblMili[[#This Row],[Unit 3]],TblMili[[#This Row],[Unit 2]])*2</f>
        <v>0</v>
      </c>
      <c r="CG29" s="97">
        <f ca="1">MIN(TblMili[[#This Row],[Unit 1]],TblMili[[#This Row],[Unit 4]])*2</f>
        <v>0</v>
      </c>
      <c r="CH29" s="266">
        <f ca="1">MIN(frost_mage_cap,TblMili[[#This Row],[Hill]]/frost_mage_bonus)</f>
        <v>2.1999999999999997</v>
      </c>
      <c r="CI29" s="45">
        <f ca="1">MIN(ice_elem_cap,TblMili[[#This Row],[Raw (2)]]*ice_elem_bonus)</f>
        <v>0.1</v>
      </c>
      <c r="CJ29" s="266">
        <f t="shared" si="0"/>
        <v>0.83333333333333337</v>
      </c>
      <c r="CK29" s="266">
        <f ca="1">MIN(nox_nightshade_cap,TblConstr[[#This Row],[Homeland]]/TblConstr[[#This Row],[Land]]/nox_nightshade_swamp_bonus)</f>
        <v>4</v>
      </c>
      <c r="CL29" s="267"/>
      <c r="CM29" s="267"/>
      <c r="CN29" s="267"/>
      <c r="CO29" s="266">
        <f ca="1">MIN(6,TblMili[[#This Row],[Mystic]]+Races!$F$19)*1.8 +  IF(TblMili[[#This Row],[Mystic]]+Races!$F$19&gt;6,(TblMili[[#This Row],[Mystic]]+Races!$F$19-6)*0.2,0) - Races!$I$19</f>
        <v>3.6399999999999997</v>
      </c>
      <c r="CP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9" s="97">
        <f ca="1">TblMili[[#This Row],[Mystic bonus]]*TblMili[[#This Row],[Unit 3]]+TblMili[[#This Row],[Druid bonus]]*TblMili[[#This Row],[Unit 4]]</f>
        <v>0</v>
      </c>
      <c r="CR29" s="158">
        <f ca="1">MIN(6,TblMili[[#This Row],[Dryad]]+Races!$F$35)*1.8 +  IF(TblMili[[#This Row],[Dryad]]+Races!$F$35&gt;6,(TblMili[[#This Row],[Dryad]]+Races!$F$35-6)*0.2,0) - Races!$I$19</f>
        <v>2.1599999999999993</v>
      </c>
      <c r="CS29" s="97">
        <f ca="1">sylvan*(TblMili[[#This Row],[Mystic bonus]]*TblMili[[#This Row],[Unit 3]])</f>
        <v>0</v>
      </c>
      <c r="CT29" s="158">
        <f ca="1">1.8 * MIN(MAX(Races!$E$27,TblMili[[#This Row],[Rockapult]]+Races!$F$27),6)  +  0.45 * MIN(MIN(Races!$E$27,TblMili[[#This Row],[Rockapult]]+Races!$F$27),6)  +  0.2 * ( MAX(Races!$E$27-6,0) + MAX(TblMili[[#This Row],[Rockapult]]+Races!$F$27-6,0) )  -  Races!$I$20</f>
        <v>5.8500000000000005</v>
      </c>
      <c r="CU29" s="97">
        <f ca="1">gnome*(TblMili[[#This Row],[Rockapult bonus]]*TblMili[[#This Row],[Unit 3]])</f>
        <v>0</v>
      </c>
      <c r="CV29" s="158">
        <f ca="1">1.8 * MIN(MAX(TblMili[[#This Row],[Spellblade]]+Races!$E$47,TblMili[[#This Row],[Adept-DP]]+Races!$F$47),6)  +  0.45 * MIN(MIN(TblMili[[#This Row],[Spellblade]]+Races!$E$47,TblMili[[#This Row],[Adept-DP]]+Races!$F$47),6)  +  0.2 * ( MAX(TblMili[[#This Row],[Spellblade]]+Races!$E$47-6,0) + MAX(TblMili[[#This Row],[Adept-DP]]+Races!$F$47-6,0) )  -  Races!$I$47</f>
        <v>0</v>
      </c>
      <c r="CW29" s="97">
        <f ca="1">dark_elf*(TblMili[[#This Row],[Adept bonus]]*TblMili[[#This Row],[Unit 3]])</f>
        <v>0</v>
      </c>
      <c r="CX29" s="158">
        <f ca="1">1.8 * MIN(MAX(TblMili[[#This Row],[Frost Mage]]+Races!$F$71,Races!$E$71),6)  +  0.45 * MIN(MIN(TblMili[[#This Row],[Frost Mage]]+Races!$F$71,Races!$E$71),6)  +  0.2 * ( MAX(TblMili[[#This Row],[Frost Mage]]+Races!$F$71-6,0) + MAX(Races!$E$71-6,0) )  -  Races!$I$71</f>
        <v>3.9599999999999991</v>
      </c>
      <c r="CY29" s="158">
        <f ca="1">1.8 * MIN(MAX(TblMili[[#This Row],[Ice Elemental]]+Races!$E$71,Races!$F$71),6)  +  0.45 * MIN(MIN(TblMili[[#This Row],[Ice Elemental]]+Races!$E$71,Races!$F$71),6)  +  0.2 * ( MAX(TblMili[[#This Row],[Ice Elemental]]+Races!$E$71-6,0) + MAX(Races!$F$71-6,0) )  -  Races!$I$71</f>
        <v>0.17999999999999972</v>
      </c>
      <c r="CZ29" s="97">
        <f ca="1">TblMili[[#This Row],[Frost Mage bonus]]*TblMili[[#This Row],[Unit 3]]+TblMili[[#This Row],[Ice Elemental bonus]]*TblMili[[#This Row],[Unit 4]]</f>
        <v>0</v>
      </c>
      <c r="DA29" s="268"/>
      <c r="DB29" s="146">
        <f ca="1">MIN(SUM(TblConstr[[#This Row],[Plain]:[Water]])/TblMili[[#This Row],[Land]]/favorable_terrain_bonus/100,favorable_terrain_max)</f>
        <v>0.1</v>
      </c>
      <c r="DC29" s="268"/>
      <c r="DD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9" s="145"/>
      <c r="DF29" s="269">
        <f ca="1">(TblMili[[#This Row],[Wizards]]+2*TblMili[[#This Row],[Archmages]])/TblConstr[[#This Row],[Land]]</f>
        <v>0.1</v>
      </c>
      <c r="DG29" s="269">
        <f ca="1">TblMili[[#This Row],[Raw (2)]]*(1+race_wizard_strength+IF(TblMili[[#This Row],[Hour]]&gt;72,tech_magical_weaponry_wiz*TblTech[[#This Row],[3-5]],0))</f>
        <v>0.1</v>
      </c>
    </row>
    <row r="30" spans="1:111"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45459.08333333327</v>
      </c>
      <c r="AG30" s="182"/>
      <c r="AH30" s="182"/>
      <c r="AI30" s="182"/>
      <c r="AJ30" s="182"/>
      <c r="AK30" s="182"/>
      <c r="AL30" s="182"/>
      <c r="AM30" s="182"/>
      <c r="AN30" s="182"/>
      <c r="AO30" s="449">
        <f ca="1">IF(AND(TblMagic[[#This Row],[Active DnD]]&lt;12,TblMagic[[#This Row],[Active DnD]]&gt;5),OFFSET(TblPop[[#This Row],[Draft Growth]],-1,0)/2,0)</f>
        <v>0</v>
      </c>
      <c r="AP30" s="145"/>
      <c r="AQ30" s="97">
        <f ca="1">TblProd[[#This Row],[Platinum]]</f>
        <v>262541</v>
      </c>
      <c r="AR30" s="97">
        <f ca="1">INDEX(TblProd[[#Headers],[Lumber]]:TblProd[[#This Row],[Ore]],COUNTA(TblProd[[#Headers],[Lumber]]:TblProd[[#This Row],[Lumber]]),MATCH(Military!$AQ$2,TblProd[[#Headers],[Lumber]:[Ore]],0))</f>
        <v>0</v>
      </c>
      <c r="AS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7">
        <f ca="1">TblMili[[#This Row],[Train Unit 1]]*TblMili[[#This Row],[OP Ore]]+TblMili[[#This Row],[Train Unit 2]]*TblMili[[#This Row],[DP Ore]]+TblMili[[#This Row],[Train Unit 3]]*TblMili[[#This Row],[E1 Ore]]+TblMili[[#This Row],[Train Unit 4]]*TblMili[[#This Row],[E2 Ore]]</f>
        <v>0</v>
      </c>
      <c r="AU30" s="145">
        <f>TblMili[[#This Row],[Hour]]</f>
        <v>27</v>
      </c>
      <c r="AV30" s="155">
        <f ca="1">TblMili[[#This Row],[Time]]</f>
        <v>45459.08333333327</v>
      </c>
      <c r="AW30" s="97">
        <f ca="1">TblMili[[#This Row],[Draftees]]</f>
        <v>515</v>
      </c>
      <c r="AX30" s="182"/>
      <c r="AY30" s="182"/>
      <c r="AZ30" s="182"/>
      <c r="BA30" s="182"/>
      <c r="BB30" s="182"/>
      <c r="BC30" s="182"/>
      <c r="BD30" s="182"/>
      <c r="BE30" s="182"/>
      <c r="BF30" s="182"/>
      <c r="BG30" s="145"/>
      <c r="BH30" s="160">
        <f ca="1">TblConstr[[#This Row],[Tot WG]]/TblConstr[[#This Row],[Land]]</f>
        <v>0</v>
      </c>
      <c r="BI30" s="160">
        <f ca="1">TblConstr[[#This Row],[Tot Hav]]/TblConstr[[#This Row],[Land]]</f>
        <v>0</v>
      </c>
      <c r="BJ30" s="97">
        <f ca="1">ROUNDUP((1-MIN(TblMili[[#This Row],[Smithies]]*smithy_bonus,smithy_bonus_cap) + tech_3_5*TblTech[[#This Row],[3-5]] + tech_5_3*TblTech[[#This Row],[5-3]] + tech_5_5*TblTech[[#This Row],[5-5]])*spec_op_plat,0)</f>
        <v>275</v>
      </c>
      <c r="BK30" s="97">
        <f ca="1">ROUNDUP(IF(race="Gnome",1,(1-MIN(TblMili[[#This Row],[Smithies]]*smithy_bonus,smithy_bonus_cap) + tech_3_5*TblTech[[#This Row],[3-5]] + tech_5_3*TblTech[[#This Row],[5-3]] + tech_5_5*TblTech[[#This Row],[5-5]]))*spec_op_ore,0)</f>
        <v>25</v>
      </c>
      <c r="BL30" s="97">
        <f ca="1">ROUNDUP((1-MIN(TblMili[[#This Row],[Smithies]]*smithy_bonus,smithy_bonus_cap) + tech_3_5*TblTech[[#This Row],[3-5]] + tech_5_3*TblTech[[#This Row],[5-3]] + tech_5_5*TblTech[[#This Row],[5-5]])*spec_dp_plat,0)</f>
        <v>275</v>
      </c>
      <c r="BM30" s="97">
        <f ca="1">ROUNDUP(IF(race="Gnome",1,(1-MIN(TblMili[[#This Row],[Smithies]]*smithy_bonus,smithy_bonus_cap) + tech_3_5*TblTech[[#This Row],[3-5]] + tech_5_3*TblTech[[#This Row],[5-3]] + tech_5_5*TblTech[[#This Row],[5-5]]))*spec_dp_ore,0)</f>
        <v>15</v>
      </c>
      <c r="BN30" s="97">
        <f ca="1">ROUNDUP((1-MIN(TblMili[[#This Row],[Smithies]]*smithy_bonus,smithy_bonus_cap) + tech_3_5*TblTech[[#This Row],[3-5]] + tech_5_3*TblTech[[#This Row],[5-3]] + tech_5_5*TblTech[[#This Row],[5-5]])*elite1_plat,0)</f>
        <v>1000</v>
      </c>
      <c r="BO30" s="97">
        <f ca="1">ROUNDUP(IF(race="Gnome",1,(1-MIN(TblMili[[#This Row],[Smithies]]*smithy_bonus,smithy_bonus_cap) + tech_3_5*TblTech[[#This Row],[3-5]] + tech_5_3*TblTech[[#This Row],[5-3]] + tech_5_5*TblTech[[#This Row],[5-5]]))*elite1_ore,0)</f>
        <v>75</v>
      </c>
      <c r="BP30" s="97">
        <f ca="1">ROUNDUP((1-MIN(TblMili[[#This Row],[Smithies]]*smithy_bonus,smithy_bonus_cap) + tech_3_5*TblTech[[#This Row],[3-5]] + tech_5_3*TblTech[[#This Row],[5-3]] + tech_5_5*TblTech[[#This Row],[5-5]])*elite2_plat,0)</f>
        <v>1250</v>
      </c>
      <c r="BQ30" s="97">
        <f ca="1">ROUNDUP(IF(race="Gnome",1,(1-MIN(TblMili[[#This Row],[Smithies]]*smithy_bonus,smithy_bonus_cap) + tech_3_5*TblTech[[#This Row],[3-5]] + tech_5_3*TblTech[[#This Row],[5-3]] + tech_5_5*TblTech[[#This Row],[5-5]]))*elite2_ore,0)</f>
        <v>100</v>
      </c>
      <c r="BR30" s="97">
        <f ca="1">ROUNDUP((1-MIN(ROUND(fh_spy_cost_red*TblMili[[#This Row],[FH''s]],4),fh_spy_cost_cap)+ tech_1_9*TblTech[[#This Row],[1-9]] + tech_9_1*TblTech[[#This Row],[9-1]])*spy_plat,0)</f>
        <v>500</v>
      </c>
      <c r="BS30" s="97">
        <f ca="1">ROUNDUP((1-MIN(ROUND(fh_spy_cost_red*TblMili[[#This Row],[FH''s]],4),fh_spy_cost_cap)+ tech_1_9*TblTech[[#This Row],[1-9]] + tech_9_1*TblTech[[#This Row],[9-1]])*archspy_plat,0)</f>
        <v>1000</v>
      </c>
      <c r="BT30" s="97">
        <f ca="1">ROUNDUP((1-MIN(ROUND(wg_wiz_cost_bonus*TblMili[[#This Row],[WG''s]],4),wg_wiz_cost_cap) + tech_1_9_2*TblTech[[#This Row],[1-9]] + tech_9_1_2*TblTech[[#This Row],[9-1]])*wizard_plat,0)</f>
        <v>500</v>
      </c>
      <c r="BU30" s="97">
        <f ca="1">ROUNDUP((1-MIN(ROUND(wg_wiz_cost_bonus*TblMili[[#This Row],[WG''s]],4),wg_wiz_cost_cap) + tech_1_9_2*TblTech[[#This Row],[1-9]] + tech_9_1_2*TblTech[[#This Row],[9-1]])*archmage_plat,0)</f>
        <v>1000</v>
      </c>
      <c r="BV30" s="145"/>
      <c r="BW30" s="160">
        <f ca="1">TblConstr[[#This Row],[Homeland]]/TblConstr[[#This Row],[Land]]</f>
        <v>0.44</v>
      </c>
      <c r="BX30" s="160">
        <f ca="1">TblMili[[#This Row],[WG''s]]</f>
        <v>0</v>
      </c>
      <c r="BY30" s="266">
        <f ca="1">IF(mystic_cap="none",TblMili[[#This Row],[Hill]]/mystic_bonus,MIN(mystic_cap,TblMili[[#This Row],[Hill]]/mystic_bonus))</f>
        <v>2.1999999999999997</v>
      </c>
      <c r="BZ30" s="266">
        <f ca="1">IF(druid_op_cap="none",TblMili[[#This Row],[Hill]]/druid_op_bonus,MIN(druid_op_cap,TblMili[[#This Row],[Hill]]/druid_op_bonus))</f>
        <v>2.1999999999999997</v>
      </c>
      <c r="CA30" s="266">
        <f ca="1">IF(druid_dp_cap="none",TblMili[[#This Row],[Hill]]/druid_dp_bonus,MIN(druid_dp_cap,TblMili[[#This Row],[Hill]]/druid_dp_bonus))</f>
        <v>2.1999999999999997</v>
      </c>
      <c r="CB30" s="266">
        <f ca="1">MIN(dryad_cap,TblMili[[#This Row],[Hill]]/dryad_bonus)</f>
        <v>2.1999999999999997</v>
      </c>
      <c r="CC30" s="266">
        <f ca="1">MIN(rocka_cap,TblMili[[#This Row],[Hill]]/rocka_bonus)</f>
        <v>2</v>
      </c>
      <c r="CD30" s="266">
        <f ca="1">MIN(adept_op_cap,TblMili[[#This Row],[WG]]/adept_op_bonus)</f>
        <v>0</v>
      </c>
      <c r="CE30" s="266">
        <f ca="1">MIN(adept_dp_cap,TblMili[[#This Row],[WG]]/adept_dp_bonus)</f>
        <v>0</v>
      </c>
      <c r="CF30" s="97">
        <f ca="1">MIN(TblMili[[#This Row],[Unit 3]],TblMili[[#This Row],[Unit 2]])*2</f>
        <v>0</v>
      </c>
      <c r="CG30" s="97">
        <f ca="1">MIN(TblMili[[#This Row],[Unit 1]],TblMili[[#This Row],[Unit 4]])*2</f>
        <v>0</v>
      </c>
      <c r="CH30" s="266">
        <f ca="1">MIN(frost_mage_cap,TblMili[[#This Row],[Hill]]/frost_mage_bonus)</f>
        <v>2.1999999999999997</v>
      </c>
      <c r="CI30" s="45">
        <f ca="1">MIN(ice_elem_cap,TblMili[[#This Row],[Raw (2)]]*ice_elem_bonus)</f>
        <v>0.1</v>
      </c>
      <c r="CJ30" s="266">
        <f t="shared" si="0"/>
        <v>0.83333333333333337</v>
      </c>
      <c r="CK30" s="266">
        <f ca="1">MIN(nox_nightshade_cap,TblConstr[[#This Row],[Homeland]]/TblConstr[[#This Row],[Land]]/nox_nightshade_swamp_bonus)</f>
        <v>4</v>
      </c>
      <c r="CL30" s="267"/>
      <c r="CM30" s="267"/>
      <c r="CN30" s="267"/>
      <c r="CO30" s="266">
        <f ca="1">MIN(6,TblMili[[#This Row],[Mystic]]+Races!$F$19)*1.8 +  IF(TblMili[[#This Row],[Mystic]]+Races!$F$19&gt;6,(TblMili[[#This Row],[Mystic]]+Races!$F$19-6)*0.2,0) - Races!$I$19</f>
        <v>3.6399999999999997</v>
      </c>
      <c r="CP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0" s="97">
        <f ca="1">TblMili[[#This Row],[Mystic bonus]]*TblMili[[#This Row],[Unit 3]]+TblMili[[#This Row],[Druid bonus]]*TblMili[[#This Row],[Unit 4]]</f>
        <v>0</v>
      </c>
      <c r="CR30" s="158">
        <f ca="1">MIN(6,TblMili[[#This Row],[Dryad]]+Races!$F$35)*1.8 +  IF(TblMili[[#This Row],[Dryad]]+Races!$F$35&gt;6,(TblMili[[#This Row],[Dryad]]+Races!$F$35-6)*0.2,0) - Races!$I$19</f>
        <v>2.1599999999999993</v>
      </c>
      <c r="CS30" s="97">
        <f ca="1">sylvan*(TblMili[[#This Row],[Mystic bonus]]*TblMili[[#This Row],[Unit 3]])</f>
        <v>0</v>
      </c>
      <c r="CT30" s="158">
        <f ca="1">1.8 * MIN(MAX(Races!$E$27,TblMili[[#This Row],[Rockapult]]+Races!$F$27),6)  +  0.45 * MIN(MIN(Races!$E$27,TblMili[[#This Row],[Rockapult]]+Races!$F$27),6)  +  0.2 * ( MAX(Races!$E$27-6,0) + MAX(TblMili[[#This Row],[Rockapult]]+Races!$F$27-6,0) )  -  Races!$I$20</f>
        <v>5.8500000000000005</v>
      </c>
      <c r="CU30" s="97">
        <f ca="1">gnome*(TblMili[[#This Row],[Rockapult bonus]]*TblMili[[#This Row],[Unit 3]])</f>
        <v>0</v>
      </c>
      <c r="CV30" s="158">
        <f ca="1">1.8 * MIN(MAX(TblMili[[#This Row],[Spellblade]]+Races!$E$47,TblMili[[#This Row],[Adept-DP]]+Races!$F$47),6)  +  0.45 * MIN(MIN(TblMili[[#This Row],[Spellblade]]+Races!$E$47,TblMili[[#This Row],[Adept-DP]]+Races!$F$47),6)  +  0.2 * ( MAX(TblMili[[#This Row],[Spellblade]]+Races!$E$47-6,0) + MAX(TblMili[[#This Row],[Adept-DP]]+Races!$F$47-6,0) )  -  Races!$I$47</f>
        <v>0</v>
      </c>
      <c r="CW30" s="97">
        <f ca="1">dark_elf*(TblMili[[#This Row],[Adept bonus]]*TblMili[[#This Row],[Unit 3]])</f>
        <v>0</v>
      </c>
      <c r="CX30" s="158">
        <f ca="1">1.8 * MIN(MAX(TblMili[[#This Row],[Frost Mage]]+Races!$F$71,Races!$E$71),6)  +  0.45 * MIN(MIN(TblMili[[#This Row],[Frost Mage]]+Races!$F$71,Races!$E$71),6)  +  0.2 * ( MAX(TblMili[[#This Row],[Frost Mage]]+Races!$F$71-6,0) + MAX(Races!$E$71-6,0) )  -  Races!$I$71</f>
        <v>3.9599999999999991</v>
      </c>
      <c r="CY30" s="158">
        <f ca="1">1.8 * MIN(MAX(TblMili[[#This Row],[Ice Elemental]]+Races!$E$71,Races!$F$71),6)  +  0.45 * MIN(MIN(TblMili[[#This Row],[Ice Elemental]]+Races!$E$71,Races!$F$71),6)  +  0.2 * ( MAX(TblMili[[#This Row],[Ice Elemental]]+Races!$E$71-6,0) + MAX(Races!$F$71-6,0) )  -  Races!$I$71</f>
        <v>0.17999999999999972</v>
      </c>
      <c r="CZ30" s="97">
        <f ca="1">TblMili[[#This Row],[Frost Mage bonus]]*TblMili[[#This Row],[Unit 3]]+TblMili[[#This Row],[Ice Elemental bonus]]*TblMili[[#This Row],[Unit 4]]</f>
        <v>0</v>
      </c>
      <c r="DA30" s="268"/>
      <c r="DB30" s="146">
        <f ca="1">MIN(SUM(TblConstr[[#This Row],[Plain]:[Water]])/TblMili[[#This Row],[Land]]/favorable_terrain_bonus/100,favorable_terrain_max)</f>
        <v>0.1</v>
      </c>
      <c r="DC30" s="268"/>
      <c r="DD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0" s="145"/>
      <c r="DF30" s="269">
        <f ca="1">(TblMili[[#This Row],[Wizards]]+2*TblMili[[#This Row],[Archmages]])/TblConstr[[#This Row],[Land]]</f>
        <v>0.1</v>
      </c>
      <c r="DG30" s="269">
        <f ca="1">TblMili[[#This Row],[Raw (2)]]*(1+race_wizard_strength+IF(TblMili[[#This Row],[Hour]]&gt;72,tech_magical_weaponry_wiz*TblTech[[#This Row],[3-5]],0))</f>
        <v>0.1</v>
      </c>
    </row>
    <row r="31" spans="1:111"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45459.124999999935</v>
      </c>
      <c r="AG31" s="182"/>
      <c r="AH31" s="182"/>
      <c r="AI31" s="182"/>
      <c r="AJ31" s="182"/>
      <c r="AK31" s="182"/>
      <c r="AL31" s="182"/>
      <c r="AM31" s="182"/>
      <c r="AN31" s="182"/>
      <c r="AO31" s="449">
        <f ca="1">IF(AND(TblMagic[[#This Row],[Active DnD]]&lt;12,TblMagic[[#This Row],[Active DnD]]&gt;5),OFFSET(TblPop[[#This Row],[Draft Growth]],-1,0)/2,0)</f>
        <v>0</v>
      </c>
      <c r="AP31" s="145"/>
      <c r="AQ31" s="97">
        <f ca="1">TblProd[[#This Row],[Platinum]]</f>
        <v>268211</v>
      </c>
      <c r="AR31" s="97">
        <f ca="1">INDEX(TblProd[[#Headers],[Lumber]]:TblProd[[#This Row],[Ore]],COUNTA(TblProd[[#Headers],[Lumber]]:TblProd[[#This Row],[Lumber]]),MATCH(Military!$AQ$2,TblProd[[#Headers],[Lumber]:[Ore]],0))</f>
        <v>0</v>
      </c>
      <c r="AS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7">
        <f ca="1">TblMili[[#This Row],[Train Unit 1]]*TblMili[[#This Row],[OP Ore]]+TblMili[[#This Row],[Train Unit 2]]*TblMili[[#This Row],[DP Ore]]+TblMili[[#This Row],[Train Unit 3]]*TblMili[[#This Row],[E1 Ore]]+TblMili[[#This Row],[Train Unit 4]]*TblMili[[#This Row],[E2 Ore]]</f>
        <v>0</v>
      </c>
      <c r="AU31" s="145">
        <f>TblMili[[#This Row],[Hour]]</f>
        <v>28</v>
      </c>
      <c r="AV31" s="155">
        <f ca="1">TblMili[[#This Row],[Time]]</f>
        <v>45459.124999999935</v>
      </c>
      <c r="AW31" s="97">
        <f ca="1">TblMili[[#This Row],[Draftees]]</f>
        <v>531</v>
      </c>
      <c r="AX31" s="182"/>
      <c r="AY31" s="182"/>
      <c r="AZ31" s="182"/>
      <c r="BA31" s="182"/>
      <c r="BB31" s="182"/>
      <c r="BC31" s="182"/>
      <c r="BD31" s="182"/>
      <c r="BE31" s="182"/>
      <c r="BF31" s="182"/>
      <c r="BG31" s="145"/>
      <c r="BH31" s="160">
        <f ca="1">TblConstr[[#This Row],[Tot WG]]/TblConstr[[#This Row],[Land]]</f>
        <v>0</v>
      </c>
      <c r="BI31" s="160">
        <f ca="1">TblConstr[[#This Row],[Tot Hav]]/TblConstr[[#This Row],[Land]]</f>
        <v>0</v>
      </c>
      <c r="BJ31" s="97">
        <f ca="1">ROUNDUP((1-MIN(TblMili[[#This Row],[Smithies]]*smithy_bonus,smithy_bonus_cap) + tech_3_5*TblTech[[#This Row],[3-5]] + tech_5_3*TblTech[[#This Row],[5-3]] + tech_5_5*TblTech[[#This Row],[5-5]])*spec_op_plat,0)</f>
        <v>275</v>
      </c>
      <c r="BK31" s="97">
        <f ca="1">ROUNDUP(IF(race="Gnome",1,(1-MIN(TblMili[[#This Row],[Smithies]]*smithy_bonus,smithy_bonus_cap) + tech_3_5*TblTech[[#This Row],[3-5]] + tech_5_3*TblTech[[#This Row],[5-3]] + tech_5_5*TblTech[[#This Row],[5-5]]))*spec_op_ore,0)</f>
        <v>25</v>
      </c>
      <c r="BL31" s="97">
        <f ca="1">ROUNDUP((1-MIN(TblMili[[#This Row],[Smithies]]*smithy_bonus,smithy_bonus_cap) + tech_3_5*TblTech[[#This Row],[3-5]] + tech_5_3*TblTech[[#This Row],[5-3]] + tech_5_5*TblTech[[#This Row],[5-5]])*spec_dp_plat,0)</f>
        <v>275</v>
      </c>
      <c r="BM31" s="97">
        <f ca="1">ROUNDUP(IF(race="Gnome",1,(1-MIN(TblMili[[#This Row],[Smithies]]*smithy_bonus,smithy_bonus_cap) + tech_3_5*TblTech[[#This Row],[3-5]] + tech_5_3*TblTech[[#This Row],[5-3]] + tech_5_5*TblTech[[#This Row],[5-5]]))*spec_dp_ore,0)</f>
        <v>15</v>
      </c>
      <c r="BN31" s="97">
        <f ca="1">ROUNDUP((1-MIN(TblMili[[#This Row],[Smithies]]*smithy_bonus,smithy_bonus_cap) + tech_3_5*TblTech[[#This Row],[3-5]] + tech_5_3*TblTech[[#This Row],[5-3]] + tech_5_5*TblTech[[#This Row],[5-5]])*elite1_plat,0)</f>
        <v>1000</v>
      </c>
      <c r="BO31" s="97">
        <f ca="1">ROUNDUP(IF(race="Gnome",1,(1-MIN(TblMili[[#This Row],[Smithies]]*smithy_bonus,smithy_bonus_cap) + tech_3_5*TblTech[[#This Row],[3-5]] + tech_5_3*TblTech[[#This Row],[5-3]] + tech_5_5*TblTech[[#This Row],[5-5]]))*elite1_ore,0)</f>
        <v>75</v>
      </c>
      <c r="BP31" s="97">
        <f ca="1">ROUNDUP((1-MIN(TblMili[[#This Row],[Smithies]]*smithy_bonus,smithy_bonus_cap) + tech_3_5*TblTech[[#This Row],[3-5]] + tech_5_3*TblTech[[#This Row],[5-3]] + tech_5_5*TblTech[[#This Row],[5-5]])*elite2_plat,0)</f>
        <v>1250</v>
      </c>
      <c r="BQ31" s="97">
        <f ca="1">ROUNDUP(IF(race="Gnome",1,(1-MIN(TblMili[[#This Row],[Smithies]]*smithy_bonus,smithy_bonus_cap) + tech_3_5*TblTech[[#This Row],[3-5]] + tech_5_3*TblTech[[#This Row],[5-3]] + tech_5_5*TblTech[[#This Row],[5-5]]))*elite2_ore,0)</f>
        <v>100</v>
      </c>
      <c r="BR31" s="97">
        <f ca="1">ROUNDUP((1-MIN(ROUND(fh_spy_cost_red*TblMili[[#This Row],[FH''s]],4),fh_spy_cost_cap)+ tech_1_9*TblTech[[#This Row],[1-9]] + tech_9_1*TblTech[[#This Row],[9-1]])*spy_plat,0)</f>
        <v>500</v>
      </c>
      <c r="BS31" s="97">
        <f ca="1">ROUNDUP((1-MIN(ROUND(fh_spy_cost_red*TblMili[[#This Row],[FH''s]],4),fh_spy_cost_cap)+ tech_1_9*TblTech[[#This Row],[1-9]] + tech_9_1*TblTech[[#This Row],[9-1]])*archspy_plat,0)</f>
        <v>1000</v>
      </c>
      <c r="BT31" s="97">
        <f ca="1">ROUNDUP((1-MIN(ROUND(wg_wiz_cost_bonus*TblMili[[#This Row],[WG''s]],4),wg_wiz_cost_cap) + tech_1_9_2*TblTech[[#This Row],[1-9]] + tech_9_1_2*TblTech[[#This Row],[9-1]])*wizard_plat,0)</f>
        <v>500</v>
      </c>
      <c r="BU31" s="97">
        <f ca="1">ROUNDUP((1-MIN(ROUND(wg_wiz_cost_bonus*TblMili[[#This Row],[WG''s]],4),wg_wiz_cost_cap) + tech_1_9_2*TblTech[[#This Row],[1-9]] + tech_9_1_2*TblTech[[#This Row],[9-1]])*archmage_plat,0)</f>
        <v>1000</v>
      </c>
      <c r="BV31" s="145"/>
      <c r="BW31" s="160">
        <f ca="1">TblConstr[[#This Row],[Homeland]]/TblConstr[[#This Row],[Land]]</f>
        <v>0.44</v>
      </c>
      <c r="BX31" s="160">
        <f ca="1">TblMili[[#This Row],[WG''s]]</f>
        <v>0</v>
      </c>
      <c r="BY31" s="266">
        <f ca="1">IF(mystic_cap="none",TblMili[[#This Row],[Hill]]/mystic_bonus,MIN(mystic_cap,TblMili[[#This Row],[Hill]]/mystic_bonus))</f>
        <v>2.1999999999999997</v>
      </c>
      <c r="BZ31" s="266">
        <f ca="1">IF(druid_op_cap="none",TblMili[[#This Row],[Hill]]/druid_op_bonus,MIN(druid_op_cap,TblMili[[#This Row],[Hill]]/druid_op_bonus))</f>
        <v>2.1999999999999997</v>
      </c>
      <c r="CA31" s="266">
        <f ca="1">IF(druid_dp_cap="none",TblMili[[#This Row],[Hill]]/druid_dp_bonus,MIN(druid_dp_cap,TblMili[[#This Row],[Hill]]/druid_dp_bonus))</f>
        <v>2.1999999999999997</v>
      </c>
      <c r="CB31" s="266">
        <f ca="1">MIN(dryad_cap,TblMili[[#This Row],[Hill]]/dryad_bonus)</f>
        <v>2.1999999999999997</v>
      </c>
      <c r="CC31" s="266">
        <f ca="1">MIN(rocka_cap,TblMili[[#This Row],[Hill]]/rocka_bonus)</f>
        <v>2</v>
      </c>
      <c r="CD31" s="266">
        <f ca="1">MIN(adept_op_cap,TblMili[[#This Row],[WG]]/adept_op_bonus)</f>
        <v>0</v>
      </c>
      <c r="CE31" s="266">
        <f ca="1">MIN(adept_dp_cap,TblMili[[#This Row],[WG]]/adept_dp_bonus)</f>
        <v>0</v>
      </c>
      <c r="CF31" s="97">
        <f ca="1">MIN(TblMili[[#This Row],[Unit 3]],TblMili[[#This Row],[Unit 2]])*2</f>
        <v>0</v>
      </c>
      <c r="CG31" s="97">
        <f ca="1">MIN(TblMili[[#This Row],[Unit 1]],TblMili[[#This Row],[Unit 4]])*2</f>
        <v>0</v>
      </c>
      <c r="CH31" s="266">
        <f ca="1">MIN(frost_mage_cap,TblMili[[#This Row],[Hill]]/frost_mage_bonus)</f>
        <v>2.1999999999999997</v>
      </c>
      <c r="CI31" s="45">
        <f ca="1">MIN(ice_elem_cap,TblMili[[#This Row],[Raw (2)]]*ice_elem_bonus)</f>
        <v>0.1</v>
      </c>
      <c r="CJ31" s="266">
        <f t="shared" si="0"/>
        <v>0.83333333333333337</v>
      </c>
      <c r="CK31" s="266">
        <f ca="1">MIN(nox_nightshade_cap,TblConstr[[#This Row],[Homeland]]/TblConstr[[#This Row],[Land]]/nox_nightshade_swamp_bonus)</f>
        <v>4</v>
      </c>
      <c r="CL31" s="267"/>
      <c r="CM31" s="267"/>
      <c r="CN31" s="267"/>
      <c r="CO31" s="266">
        <f ca="1">MIN(6,TblMili[[#This Row],[Mystic]]+Races!$F$19)*1.8 +  IF(TblMili[[#This Row],[Mystic]]+Races!$F$19&gt;6,(TblMili[[#This Row],[Mystic]]+Races!$F$19-6)*0.2,0) - Races!$I$19</f>
        <v>3.6399999999999997</v>
      </c>
      <c r="CP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1" s="97">
        <f ca="1">TblMili[[#This Row],[Mystic bonus]]*TblMili[[#This Row],[Unit 3]]+TblMili[[#This Row],[Druid bonus]]*TblMili[[#This Row],[Unit 4]]</f>
        <v>0</v>
      </c>
      <c r="CR31" s="158">
        <f ca="1">MIN(6,TblMili[[#This Row],[Dryad]]+Races!$F$35)*1.8 +  IF(TblMili[[#This Row],[Dryad]]+Races!$F$35&gt;6,(TblMili[[#This Row],[Dryad]]+Races!$F$35-6)*0.2,0) - Races!$I$19</f>
        <v>2.1599999999999993</v>
      </c>
      <c r="CS31" s="97">
        <f ca="1">sylvan*(TblMili[[#This Row],[Mystic bonus]]*TblMili[[#This Row],[Unit 3]])</f>
        <v>0</v>
      </c>
      <c r="CT31" s="158">
        <f ca="1">1.8 * MIN(MAX(Races!$E$27,TblMili[[#This Row],[Rockapult]]+Races!$F$27),6)  +  0.45 * MIN(MIN(Races!$E$27,TblMili[[#This Row],[Rockapult]]+Races!$F$27),6)  +  0.2 * ( MAX(Races!$E$27-6,0) + MAX(TblMili[[#This Row],[Rockapult]]+Races!$F$27-6,0) )  -  Races!$I$20</f>
        <v>5.8500000000000005</v>
      </c>
      <c r="CU31" s="97">
        <f ca="1">gnome*(TblMili[[#This Row],[Rockapult bonus]]*TblMili[[#This Row],[Unit 3]])</f>
        <v>0</v>
      </c>
      <c r="CV31" s="158">
        <f ca="1">1.8 * MIN(MAX(TblMili[[#This Row],[Spellblade]]+Races!$E$47,TblMili[[#This Row],[Adept-DP]]+Races!$F$47),6)  +  0.45 * MIN(MIN(TblMili[[#This Row],[Spellblade]]+Races!$E$47,TblMili[[#This Row],[Adept-DP]]+Races!$F$47),6)  +  0.2 * ( MAX(TblMili[[#This Row],[Spellblade]]+Races!$E$47-6,0) + MAX(TblMili[[#This Row],[Adept-DP]]+Races!$F$47-6,0) )  -  Races!$I$47</f>
        <v>0</v>
      </c>
      <c r="CW31" s="97">
        <f ca="1">dark_elf*(TblMili[[#This Row],[Adept bonus]]*TblMili[[#This Row],[Unit 3]])</f>
        <v>0</v>
      </c>
      <c r="CX31" s="158">
        <f ca="1">1.8 * MIN(MAX(TblMili[[#This Row],[Frost Mage]]+Races!$F$71,Races!$E$71),6)  +  0.45 * MIN(MIN(TblMili[[#This Row],[Frost Mage]]+Races!$F$71,Races!$E$71),6)  +  0.2 * ( MAX(TblMili[[#This Row],[Frost Mage]]+Races!$F$71-6,0) + MAX(Races!$E$71-6,0) )  -  Races!$I$71</f>
        <v>3.9599999999999991</v>
      </c>
      <c r="CY31" s="158">
        <f ca="1">1.8 * MIN(MAX(TblMili[[#This Row],[Ice Elemental]]+Races!$E$71,Races!$F$71),6)  +  0.45 * MIN(MIN(TblMili[[#This Row],[Ice Elemental]]+Races!$E$71,Races!$F$71),6)  +  0.2 * ( MAX(TblMili[[#This Row],[Ice Elemental]]+Races!$E$71-6,0) + MAX(Races!$F$71-6,0) )  -  Races!$I$71</f>
        <v>0.17999999999999972</v>
      </c>
      <c r="CZ31" s="97">
        <f ca="1">TblMili[[#This Row],[Frost Mage bonus]]*TblMili[[#This Row],[Unit 3]]+TblMili[[#This Row],[Ice Elemental bonus]]*TblMili[[#This Row],[Unit 4]]</f>
        <v>0</v>
      </c>
      <c r="DA31" s="268"/>
      <c r="DB31" s="146">
        <f ca="1">MIN(SUM(TblConstr[[#This Row],[Plain]:[Water]])/TblMili[[#This Row],[Land]]/favorable_terrain_bonus/100,favorable_terrain_max)</f>
        <v>0.1</v>
      </c>
      <c r="DC31" s="268"/>
      <c r="DD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1" s="145"/>
      <c r="DF31" s="269">
        <f ca="1">(TblMili[[#This Row],[Wizards]]+2*TblMili[[#This Row],[Archmages]])/TblConstr[[#This Row],[Land]]</f>
        <v>0.1</v>
      </c>
      <c r="DG31" s="269">
        <f ca="1">TblMili[[#This Row],[Raw (2)]]*(1+race_wizard_strength+IF(TblMili[[#This Row],[Hour]]&gt;72,tech_magical_weaponry_wiz*TblTech[[#This Row],[3-5]],0))</f>
        <v>0.1</v>
      </c>
    </row>
    <row r="32" spans="1:111"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45459.166666666599</v>
      </c>
      <c r="AG32" s="182"/>
      <c r="AH32" s="182"/>
      <c r="AI32" s="182"/>
      <c r="AJ32" s="182"/>
      <c r="AK32" s="182"/>
      <c r="AL32" s="182"/>
      <c r="AM32" s="182"/>
      <c r="AN32" s="182"/>
      <c r="AO32" s="449">
        <f ca="1">IF(AND(TblMagic[[#This Row],[Active DnD]]&lt;12,TblMagic[[#This Row],[Active DnD]]&gt;5),OFFSET(TblPop[[#This Row],[Draft Growth]],-1,0)/2,0)</f>
        <v>0</v>
      </c>
      <c r="AP32" s="145"/>
      <c r="AQ32" s="97">
        <f ca="1">TblProd[[#This Row],[Platinum]]</f>
        <v>273881</v>
      </c>
      <c r="AR32" s="97">
        <f ca="1">INDEX(TblProd[[#Headers],[Lumber]]:TblProd[[#This Row],[Ore]],COUNTA(TblProd[[#Headers],[Lumber]]:TblProd[[#This Row],[Lumber]]),MATCH(Military!$AQ$2,TblProd[[#Headers],[Lumber]:[Ore]],0))</f>
        <v>0</v>
      </c>
      <c r="AS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7">
        <f ca="1">TblMili[[#This Row],[Train Unit 1]]*TblMili[[#This Row],[OP Ore]]+TblMili[[#This Row],[Train Unit 2]]*TblMili[[#This Row],[DP Ore]]+TblMili[[#This Row],[Train Unit 3]]*TblMili[[#This Row],[E1 Ore]]+TblMili[[#This Row],[Train Unit 4]]*TblMili[[#This Row],[E2 Ore]]</f>
        <v>0</v>
      </c>
      <c r="AU32" s="145">
        <f>TblMili[[#This Row],[Hour]]</f>
        <v>29</v>
      </c>
      <c r="AV32" s="155">
        <f ca="1">TblMili[[#This Row],[Time]]</f>
        <v>45459.166666666599</v>
      </c>
      <c r="AW32" s="97">
        <f ca="1">TblMili[[#This Row],[Draftees]]</f>
        <v>547</v>
      </c>
      <c r="AX32" s="182"/>
      <c r="AY32" s="182"/>
      <c r="AZ32" s="182"/>
      <c r="BA32" s="182"/>
      <c r="BB32" s="182"/>
      <c r="BC32" s="182"/>
      <c r="BD32" s="182"/>
      <c r="BE32" s="182"/>
      <c r="BF32" s="182"/>
      <c r="BG32" s="145"/>
      <c r="BH32" s="160">
        <f ca="1">TblConstr[[#This Row],[Tot WG]]/TblConstr[[#This Row],[Land]]</f>
        <v>0</v>
      </c>
      <c r="BI32" s="160">
        <f ca="1">TblConstr[[#This Row],[Tot Hav]]/TblConstr[[#This Row],[Land]]</f>
        <v>0</v>
      </c>
      <c r="BJ32" s="97">
        <f ca="1">ROUNDUP((1-MIN(TblMili[[#This Row],[Smithies]]*smithy_bonus,smithy_bonus_cap) + tech_3_5*TblTech[[#This Row],[3-5]] + tech_5_3*TblTech[[#This Row],[5-3]] + tech_5_5*TblTech[[#This Row],[5-5]])*spec_op_plat,0)</f>
        <v>275</v>
      </c>
      <c r="BK32" s="97">
        <f ca="1">ROUNDUP(IF(race="Gnome",1,(1-MIN(TblMili[[#This Row],[Smithies]]*smithy_bonus,smithy_bonus_cap) + tech_3_5*TblTech[[#This Row],[3-5]] + tech_5_3*TblTech[[#This Row],[5-3]] + tech_5_5*TblTech[[#This Row],[5-5]]))*spec_op_ore,0)</f>
        <v>25</v>
      </c>
      <c r="BL32" s="97">
        <f ca="1">ROUNDUP((1-MIN(TblMili[[#This Row],[Smithies]]*smithy_bonus,smithy_bonus_cap) + tech_3_5*TblTech[[#This Row],[3-5]] + tech_5_3*TblTech[[#This Row],[5-3]] + tech_5_5*TblTech[[#This Row],[5-5]])*spec_dp_plat,0)</f>
        <v>275</v>
      </c>
      <c r="BM32" s="97">
        <f ca="1">ROUNDUP(IF(race="Gnome",1,(1-MIN(TblMili[[#This Row],[Smithies]]*smithy_bonus,smithy_bonus_cap) + tech_3_5*TblTech[[#This Row],[3-5]] + tech_5_3*TblTech[[#This Row],[5-3]] + tech_5_5*TblTech[[#This Row],[5-5]]))*spec_dp_ore,0)</f>
        <v>15</v>
      </c>
      <c r="BN32" s="97">
        <f ca="1">ROUNDUP((1-MIN(TblMili[[#This Row],[Smithies]]*smithy_bonus,smithy_bonus_cap) + tech_3_5*TblTech[[#This Row],[3-5]] + tech_5_3*TblTech[[#This Row],[5-3]] + tech_5_5*TblTech[[#This Row],[5-5]])*elite1_plat,0)</f>
        <v>1000</v>
      </c>
      <c r="BO32" s="97">
        <f ca="1">ROUNDUP(IF(race="Gnome",1,(1-MIN(TblMili[[#This Row],[Smithies]]*smithy_bonus,smithy_bonus_cap) + tech_3_5*TblTech[[#This Row],[3-5]] + tech_5_3*TblTech[[#This Row],[5-3]] + tech_5_5*TblTech[[#This Row],[5-5]]))*elite1_ore,0)</f>
        <v>75</v>
      </c>
      <c r="BP32" s="97">
        <f ca="1">ROUNDUP((1-MIN(TblMili[[#This Row],[Smithies]]*smithy_bonus,smithy_bonus_cap) + tech_3_5*TblTech[[#This Row],[3-5]] + tech_5_3*TblTech[[#This Row],[5-3]] + tech_5_5*TblTech[[#This Row],[5-5]])*elite2_plat,0)</f>
        <v>1250</v>
      </c>
      <c r="BQ32" s="97">
        <f ca="1">ROUNDUP(IF(race="Gnome",1,(1-MIN(TblMili[[#This Row],[Smithies]]*smithy_bonus,smithy_bonus_cap) + tech_3_5*TblTech[[#This Row],[3-5]] + tech_5_3*TblTech[[#This Row],[5-3]] + tech_5_5*TblTech[[#This Row],[5-5]]))*elite2_ore,0)</f>
        <v>100</v>
      </c>
      <c r="BR32" s="97">
        <f ca="1">ROUNDUP((1-MIN(ROUND(fh_spy_cost_red*TblMili[[#This Row],[FH''s]],4),fh_spy_cost_cap)+ tech_1_9*TblTech[[#This Row],[1-9]] + tech_9_1*TblTech[[#This Row],[9-1]])*spy_plat,0)</f>
        <v>500</v>
      </c>
      <c r="BS32" s="97">
        <f ca="1">ROUNDUP((1-MIN(ROUND(fh_spy_cost_red*TblMili[[#This Row],[FH''s]],4),fh_spy_cost_cap)+ tech_1_9*TblTech[[#This Row],[1-9]] + tech_9_1*TblTech[[#This Row],[9-1]])*archspy_plat,0)</f>
        <v>1000</v>
      </c>
      <c r="BT32" s="97">
        <f ca="1">ROUNDUP((1-MIN(ROUND(wg_wiz_cost_bonus*TblMili[[#This Row],[WG''s]],4),wg_wiz_cost_cap) + tech_1_9_2*TblTech[[#This Row],[1-9]] + tech_9_1_2*TblTech[[#This Row],[9-1]])*wizard_plat,0)</f>
        <v>500</v>
      </c>
      <c r="BU32" s="97">
        <f ca="1">ROUNDUP((1-MIN(ROUND(wg_wiz_cost_bonus*TblMili[[#This Row],[WG''s]],4),wg_wiz_cost_cap) + tech_1_9_2*TblTech[[#This Row],[1-9]] + tech_9_1_2*TblTech[[#This Row],[9-1]])*archmage_plat,0)</f>
        <v>1000</v>
      </c>
      <c r="BV32" s="145"/>
      <c r="BW32" s="160">
        <f ca="1">TblConstr[[#This Row],[Homeland]]/TblConstr[[#This Row],[Land]]</f>
        <v>0.44</v>
      </c>
      <c r="BX32" s="160">
        <f ca="1">TblMili[[#This Row],[WG''s]]</f>
        <v>0</v>
      </c>
      <c r="BY32" s="266">
        <f ca="1">IF(mystic_cap="none",TblMili[[#This Row],[Hill]]/mystic_bonus,MIN(mystic_cap,TblMili[[#This Row],[Hill]]/mystic_bonus))</f>
        <v>2.1999999999999997</v>
      </c>
      <c r="BZ32" s="266">
        <f ca="1">IF(druid_op_cap="none",TblMili[[#This Row],[Hill]]/druid_op_bonus,MIN(druid_op_cap,TblMili[[#This Row],[Hill]]/druid_op_bonus))</f>
        <v>2.1999999999999997</v>
      </c>
      <c r="CA32" s="266">
        <f ca="1">IF(druid_dp_cap="none",TblMili[[#This Row],[Hill]]/druid_dp_bonus,MIN(druid_dp_cap,TblMili[[#This Row],[Hill]]/druid_dp_bonus))</f>
        <v>2.1999999999999997</v>
      </c>
      <c r="CB32" s="266">
        <f ca="1">MIN(dryad_cap,TblMili[[#This Row],[Hill]]/dryad_bonus)</f>
        <v>2.1999999999999997</v>
      </c>
      <c r="CC32" s="266">
        <f ca="1">MIN(rocka_cap,TblMili[[#This Row],[Hill]]/rocka_bonus)</f>
        <v>2</v>
      </c>
      <c r="CD32" s="266">
        <f ca="1">MIN(adept_op_cap,TblMili[[#This Row],[WG]]/adept_op_bonus)</f>
        <v>0</v>
      </c>
      <c r="CE32" s="266">
        <f ca="1">MIN(adept_dp_cap,TblMili[[#This Row],[WG]]/adept_dp_bonus)</f>
        <v>0</v>
      </c>
      <c r="CF32" s="97">
        <f ca="1">MIN(TblMili[[#This Row],[Unit 3]],TblMili[[#This Row],[Unit 2]])*2</f>
        <v>0</v>
      </c>
      <c r="CG32" s="97">
        <f ca="1">MIN(TblMili[[#This Row],[Unit 1]],TblMili[[#This Row],[Unit 4]])*2</f>
        <v>0</v>
      </c>
      <c r="CH32" s="266">
        <f ca="1">MIN(frost_mage_cap,TblMili[[#This Row],[Hill]]/frost_mage_bonus)</f>
        <v>2.1999999999999997</v>
      </c>
      <c r="CI32" s="45">
        <f ca="1">MIN(ice_elem_cap,TblMili[[#This Row],[Raw (2)]]*ice_elem_bonus)</f>
        <v>0.1</v>
      </c>
      <c r="CJ32" s="266">
        <f t="shared" si="0"/>
        <v>0.83333333333333337</v>
      </c>
      <c r="CK32" s="266">
        <f ca="1">MIN(nox_nightshade_cap,TblConstr[[#This Row],[Homeland]]/TblConstr[[#This Row],[Land]]/nox_nightshade_swamp_bonus)</f>
        <v>4</v>
      </c>
      <c r="CL32" s="267"/>
      <c r="CM32" s="267"/>
      <c r="CN32" s="267"/>
      <c r="CO32" s="266">
        <f ca="1">MIN(6,TblMili[[#This Row],[Mystic]]+Races!$F$19)*1.8 +  IF(TblMili[[#This Row],[Mystic]]+Races!$F$19&gt;6,(TblMili[[#This Row],[Mystic]]+Races!$F$19-6)*0.2,0) - Races!$I$19</f>
        <v>3.6399999999999997</v>
      </c>
      <c r="CP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2" s="97">
        <f ca="1">TblMili[[#This Row],[Mystic bonus]]*TblMili[[#This Row],[Unit 3]]+TblMili[[#This Row],[Druid bonus]]*TblMili[[#This Row],[Unit 4]]</f>
        <v>0</v>
      </c>
      <c r="CR32" s="158">
        <f ca="1">MIN(6,TblMili[[#This Row],[Dryad]]+Races!$F$35)*1.8 +  IF(TblMili[[#This Row],[Dryad]]+Races!$F$35&gt;6,(TblMili[[#This Row],[Dryad]]+Races!$F$35-6)*0.2,0) - Races!$I$19</f>
        <v>2.1599999999999993</v>
      </c>
      <c r="CS32" s="97">
        <f ca="1">sylvan*(TblMili[[#This Row],[Mystic bonus]]*TblMili[[#This Row],[Unit 3]])</f>
        <v>0</v>
      </c>
      <c r="CT32" s="158">
        <f ca="1">1.8 * MIN(MAX(Races!$E$27,TblMili[[#This Row],[Rockapult]]+Races!$F$27),6)  +  0.45 * MIN(MIN(Races!$E$27,TblMili[[#This Row],[Rockapult]]+Races!$F$27),6)  +  0.2 * ( MAX(Races!$E$27-6,0) + MAX(TblMili[[#This Row],[Rockapult]]+Races!$F$27-6,0) )  -  Races!$I$20</f>
        <v>5.8500000000000005</v>
      </c>
      <c r="CU32" s="97">
        <f ca="1">gnome*(TblMili[[#This Row],[Rockapult bonus]]*TblMili[[#This Row],[Unit 3]])</f>
        <v>0</v>
      </c>
      <c r="CV32" s="158">
        <f ca="1">1.8 * MIN(MAX(TblMili[[#This Row],[Spellblade]]+Races!$E$47,TblMili[[#This Row],[Adept-DP]]+Races!$F$47),6)  +  0.45 * MIN(MIN(TblMili[[#This Row],[Spellblade]]+Races!$E$47,TblMili[[#This Row],[Adept-DP]]+Races!$F$47),6)  +  0.2 * ( MAX(TblMili[[#This Row],[Spellblade]]+Races!$E$47-6,0) + MAX(TblMili[[#This Row],[Adept-DP]]+Races!$F$47-6,0) )  -  Races!$I$47</f>
        <v>0</v>
      </c>
      <c r="CW32" s="97">
        <f ca="1">dark_elf*(TblMili[[#This Row],[Adept bonus]]*TblMili[[#This Row],[Unit 3]])</f>
        <v>0</v>
      </c>
      <c r="CX32" s="158">
        <f ca="1">1.8 * MIN(MAX(TblMili[[#This Row],[Frost Mage]]+Races!$F$71,Races!$E$71),6)  +  0.45 * MIN(MIN(TblMili[[#This Row],[Frost Mage]]+Races!$F$71,Races!$E$71),6)  +  0.2 * ( MAX(TblMili[[#This Row],[Frost Mage]]+Races!$F$71-6,0) + MAX(Races!$E$71-6,0) )  -  Races!$I$71</f>
        <v>3.9599999999999991</v>
      </c>
      <c r="CY32" s="158">
        <f ca="1">1.8 * MIN(MAX(TblMili[[#This Row],[Ice Elemental]]+Races!$E$71,Races!$F$71),6)  +  0.45 * MIN(MIN(TblMili[[#This Row],[Ice Elemental]]+Races!$E$71,Races!$F$71),6)  +  0.2 * ( MAX(TblMili[[#This Row],[Ice Elemental]]+Races!$E$71-6,0) + MAX(Races!$F$71-6,0) )  -  Races!$I$71</f>
        <v>0.17999999999999972</v>
      </c>
      <c r="CZ32" s="97">
        <f ca="1">TblMili[[#This Row],[Frost Mage bonus]]*TblMili[[#This Row],[Unit 3]]+TblMili[[#This Row],[Ice Elemental bonus]]*TblMili[[#This Row],[Unit 4]]</f>
        <v>0</v>
      </c>
      <c r="DA32" s="268"/>
      <c r="DB32" s="146">
        <f ca="1">MIN(SUM(TblConstr[[#This Row],[Plain]:[Water]])/TblMili[[#This Row],[Land]]/favorable_terrain_bonus/100,favorable_terrain_max)</f>
        <v>0.1</v>
      </c>
      <c r="DC32" s="268"/>
      <c r="DD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2" s="145"/>
      <c r="DF32" s="269">
        <f ca="1">(TblMili[[#This Row],[Wizards]]+2*TblMili[[#This Row],[Archmages]])/TblConstr[[#This Row],[Land]]</f>
        <v>0.1</v>
      </c>
      <c r="DG32" s="269">
        <f ca="1">TblMili[[#This Row],[Raw (2)]]*(1+race_wizard_strength+IF(TblMili[[#This Row],[Hour]]&gt;72,tech_magical_weaponry_wiz*TblTech[[#This Row],[3-5]],0))</f>
        <v>0.1</v>
      </c>
    </row>
    <row r="33" spans="1:111"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45459.208333333263</v>
      </c>
      <c r="AG33" s="182"/>
      <c r="AH33" s="182"/>
      <c r="AI33" s="182"/>
      <c r="AJ33" s="182"/>
      <c r="AK33" s="182"/>
      <c r="AL33" s="182"/>
      <c r="AM33" s="182"/>
      <c r="AN33" s="182"/>
      <c r="AO33" s="449">
        <f ca="1">IF(AND(TblMagic[[#This Row],[Active DnD]]&lt;12,TblMagic[[#This Row],[Active DnD]]&gt;5),OFFSET(TblPop[[#This Row],[Draft Growth]],-1,0)/2,0)</f>
        <v>0</v>
      </c>
      <c r="AP33" s="145"/>
      <c r="AQ33" s="97">
        <f ca="1">TblProd[[#This Row],[Platinum]]</f>
        <v>279551</v>
      </c>
      <c r="AR33" s="97">
        <f ca="1">INDEX(TblProd[[#Headers],[Lumber]]:TblProd[[#This Row],[Ore]],COUNTA(TblProd[[#Headers],[Lumber]]:TblProd[[#This Row],[Lumber]]),MATCH(Military!$AQ$2,TblProd[[#Headers],[Lumber]:[Ore]],0))</f>
        <v>0</v>
      </c>
      <c r="AS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7">
        <f ca="1">TblMili[[#This Row],[Train Unit 1]]*TblMili[[#This Row],[OP Ore]]+TblMili[[#This Row],[Train Unit 2]]*TblMili[[#This Row],[DP Ore]]+TblMili[[#This Row],[Train Unit 3]]*TblMili[[#This Row],[E1 Ore]]+TblMili[[#This Row],[Train Unit 4]]*TblMili[[#This Row],[E2 Ore]]</f>
        <v>0</v>
      </c>
      <c r="AU33" s="145">
        <f>TblMili[[#This Row],[Hour]]</f>
        <v>30</v>
      </c>
      <c r="AV33" s="155">
        <f ca="1">TblMili[[#This Row],[Time]]</f>
        <v>45459.208333333263</v>
      </c>
      <c r="AW33" s="97">
        <f ca="1">TblMili[[#This Row],[Draftees]]</f>
        <v>563</v>
      </c>
      <c r="AX33" s="182"/>
      <c r="AY33" s="182"/>
      <c r="AZ33" s="182"/>
      <c r="BA33" s="182"/>
      <c r="BB33" s="182"/>
      <c r="BC33" s="182"/>
      <c r="BD33" s="182"/>
      <c r="BE33" s="182"/>
      <c r="BF33" s="182"/>
      <c r="BG33" s="145"/>
      <c r="BH33" s="160">
        <f ca="1">TblConstr[[#This Row],[Tot WG]]/TblConstr[[#This Row],[Land]]</f>
        <v>0</v>
      </c>
      <c r="BI33" s="160">
        <f ca="1">TblConstr[[#This Row],[Tot Hav]]/TblConstr[[#This Row],[Land]]</f>
        <v>0</v>
      </c>
      <c r="BJ33" s="97">
        <f ca="1">ROUNDUP((1-MIN(TblMili[[#This Row],[Smithies]]*smithy_bonus,smithy_bonus_cap) + tech_3_5*TblTech[[#This Row],[3-5]] + tech_5_3*TblTech[[#This Row],[5-3]] + tech_5_5*TblTech[[#This Row],[5-5]])*spec_op_plat,0)</f>
        <v>275</v>
      </c>
      <c r="BK33" s="97">
        <f ca="1">ROUNDUP(IF(race="Gnome",1,(1-MIN(TblMili[[#This Row],[Smithies]]*smithy_bonus,smithy_bonus_cap) + tech_3_5*TblTech[[#This Row],[3-5]] + tech_5_3*TblTech[[#This Row],[5-3]] + tech_5_5*TblTech[[#This Row],[5-5]]))*spec_op_ore,0)</f>
        <v>25</v>
      </c>
      <c r="BL33" s="97">
        <f ca="1">ROUNDUP((1-MIN(TblMili[[#This Row],[Smithies]]*smithy_bonus,smithy_bonus_cap) + tech_3_5*TblTech[[#This Row],[3-5]] + tech_5_3*TblTech[[#This Row],[5-3]] + tech_5_5*TblTech[[#This Row],[5-5]])*spec_dp_plat,0)</f>
        <v>275</v>
      </c>
      <c r="BM33" s="97">
        <f ca="1">ROUNDUP(IF(race="Gnome",1,(1-MIN(TblMili[[#This Row],[Smithies]]*smithy_bonus,smithy_bonus_cap) + tech_3_5*TblTech[[#This Row],[3-5]] + tech_5_3*TblTech[[#This Row],[5-3]] + tech_5_5*TblTech[[#This Row],[5-5]]))*spec_dp_ore,0)</f>
        <v>15</v>
      </c>
      <c r="BN33" s="97">
        <f ca="1">ROUNDUP((1-MIN(TblMili[[#This Row],[Smithies]]*smithy_bonus,smithy_bonus_cap) + tech_3_5*TblTech[[#This Row],[3-5]] + tech_5_3*TblTech[[#This Row],[5-3]] + tech_5_5*TblTech[[#This Row],[5-5]])*elite1_plat,0)</f>
        <v>1000</v>
      </c>
      <c r="BO33" s="97">
        <f ca="1">ROUNDUP(IF(race="Gnome",1,(1-MIN(TblMili[[#This Row],[Smithies]]*smithy_bonus,smithy_bonus_cap) + tech_3_5*TblTech[[#This Row],[3-5]] + tech_5_3*TblTech[[#This Row],[5-3]] + tech_5_5*TblTech[[#This Row],[5-5]]))*elite1_ore,0)</f>
        <v>75</v>
      </c>
      <c r="BP33" s="97">
        <f ca="1">ROUNDUP((1-MIN(TblMili[[#This Row],[Smithies]]*smithy_bonus,smithy_bonus_cap) + tech_3_5*TblTech[[#This Row],[3-5]] + tech_5_3*TblTech[[#This Row],[5-3]] + tech_5_5*TblTech[[#This Row],[5-5]])*elite2_plat,0)</f>
        <v>1250</v>
      </c>
      <c r="BQ33" s="97">
        <f ca="1">ROUNDUP(IF(race="Gnome",1,(1-MIN(TblMili[[#This Row],[Smithies]]*smithy_bonus,smithy_bonus_cap) + tech_3_5*TblTech[[#This Row],[3-5]] + tech_5_3*TblTech[[#This Row],[5-3]] + tech_5_5*TblTech[[#This Row],[5-5]]))*elite2_ore,0)</f>
        <v>100</v>
      </c>
      <c r="BR33" s="97">
        <f ca="1">ROUNDUP((1-MIN(ROUND(fh_spy_cost_red*TblMili[[#This Row],[FH''s]],4),fh_spy_cost_cap)+ tech_1_9*TblTech[[#This Row],[1-9]] + tech_9_1*TblTech[[#This Row],[9-1]])*spy_plat,0)</f>
        <v>500</v>
      </c>
      <c r="BS33" s="97">
        <f ca="1">ROUNDUP((1-MIN(ROUND(fh_spy_cost_red*TblMili[[#This Row],[FH''s]],4),fh_spy_cost_cap)+ tech_1_9*TblTech[[#This Row],[1-9]] + tech_9_1*TblTech[[#This Row],[9-1]])*archspy_plat,0)</f>
        <v>1000</v>
      </c>
      <c r="BT33" s="97">
        <f ca="1">ROUNDUP((1-MIN(ROUND(wg_wiz_cost_bonus*TblMili[[#This Row],[WG''s]],4),wg_wiz_cost_cap) + tech_1_9_2*TblTech[[#This Row],[1-9]] + tech_9_1_2*TblTech[[#This Row],[9-1]])*wizard_plat,0)</f>
        <v>500</v>
      </c>
      <c r="BU33" s="97">
        <f ca="1">ROUNDUP((1-MIN(ROUND(wg_wiz_cost_bonus*TblMili[[#This Row],[WG''s]],4),wg_wiz_cost_cap) + tech_1_9_2*TblTech[[#This Row],[1-9]] + tech_9_1_2*TblTech[[#This Row],[9-1]])*archmage_plat,0)</f>
        <v>1000</v>
      </c>
      <c r="BV33" s="145"/>
      <c r="BW33" s="160">
        <f ca="1">TblConstr[[#This Row],[Homeland]]/TblConstr[[#This Row],[Land]]</f>
        <v>0.44</v>
      </c>
      <c r="BX33" s="160">
        <f ca="1">TblMili[[#This Row],[WG''s]]</f>
        <v>0</v>
      </c>
      <c r="BY33" s="266">
        <f ca="1">IF(mystic_cap="none",TblMili[[#This Row],[Hill]]/mystic_bonus,MIN(mystic_cap,TblMili[[#This Row],[Hill]]/mystic_bonus))</f>
        <v>2.1999999999999997</v>
      </c>
      <c r="BZ33" s="266">
        <f ca="1">IF(druid_op_cap="none",TblMili[[#This Row],[Hill]]/druid_op_bonus,MIN(druid_op_cap,TblMili[[#This Row],[Hill]]/druid_op_bonus))</f>
        <v>2.1999999999999997</v>
      </c>
      <c r="CA33" s="266">
        <f ca="1">IF(druid_dp_cap="none",TblMili[[#This Row],[Hill]]/druid_dp_bonus,MIN(druid_dp_cap,TblMili[[#This Row],[Hill]]/druid_dp_bonus))</f>
        <v>2.1999999999999997</v>
      </c>
      <c r="CB33" s="266">
        <f ca="1">MIN(dryad_cap,TblMili[[#This Row],[Hill]]/dryad_bonus)</f>
        <v>2.1999999999999997</v>
      </c>
      <c r="CC33" s="266">
        <f ca="1">MIN(rocka_cap,TblMili[[#This Row],[Hill]]/rocka_bonus)</f>
        <v>2</v>
      </c>
      <c r="CD33" s="266">
        <f ca="1">MIN(adept_op_cap,TblMili[[#This Row],[WG]]/adept_op_bonus)</f>
        <v>0</v>
      </c>
      <c r="CE33" s="266">
        <f ca="1">MIN(adept_dp_cap,TblMili[[#This Row],[WG]]/adept_dp_bonus)</f>
        <v>0</v>
      </c>
      <c r="CF33" s="97">
        <f ca="1">MIN(TblMili[[#This Row],[Unit 3]],TblMili[[#This Row],[Unit 2]])*2</f>
        <v>0</v>
      </c>
      <c r="CG33" s="97">
        <f ca="1">MIN(TblMili[[#This Row],[Unit 1]],TblMili[[#This Row],[Unit 4]])*2</f>
        <v>0</v>
      </c>
      <c r="CH33" s="266">
        <f ca="1">MIN(frost_mage_cap,TblMili[[#This Row],[Hill]]/frost_mage_bonus)</f>
        <v>2.1999999999999997</v>
      </c>
      <c r="CI33" s="45">
        <f ca="1">MIN(ice_elem_cap,TblMili[[#This Row],[Raw (2)]]*ice_elem_bonus)</f>
        <v>0.1</v>
      </c>
      <c r="CJ33" s="266">
        <f t="shared" si="0"/>
        <v>0.83333333333333337</v>
      </c>
      <c r="CK33" s="266">
        <f ca="1">MIN(nox_nightshade_cap,TblConstr[[#This Row],[Homeland]]/TblConstr[[#This Row],[Land]]/nox_nightshade_swamp_bonus)</f>
        <v>4</v>
      </c>
      <c r="CL33" s="267"/>
      <c r="CM33" s="267"/>
      <c r="CN33" s="267"/>
      <c r="CO33" s="266">
        <f ca="1">MIN(6,TblMili[[#This Row],[Mystic]]+Races!$F$19)*1.8 +  IF(TblMili[[#This Row],[Mystic]]+Races!$F$19&gt;6,(TblMili[[#This Row],[Mystic]]+Races!$F$19-6)*0.2,0) - Races!$I$19</f>
        <v>3.6399999999999997</v>
      </c>
      <c r="CP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3" s="97">
        <f ca="1">TblMili[[#This Row],[Mystic bonus]]*TblMili[[#This Row],[Unit 3]]+TblMili[[#This Row],[Druid bonus]]*TblMili[[#This Row],[Unit 4]]</f>
        <v>0</v>
      </c>
      <c r="CR33" s="158">
        <f ca="1">MIN(6,TblMili[[#This Row],[Dryad]]+Races!$F$35)*1.8 +  IF(TblMili[[#This Row],[Dryad]]+Races!$F$35&gt;6,(TblMili[[#This Row],[Dryad]]+Races!$F$35-6)*0.2,0) - Races!$I$19</f>
        <v>2.1599999999999993</v>
      </c>
      <c r="CS33" s="97">
        <f ca="1">sylvan*(TblMili[[#This Row],[Mystic bonus]]*TblMili[[#This Row],[Unit 3]])</f>
        <v>0</v>
      </c>
      <c r="CT33" s="158">
        <f ca="1">1.8 * MIN(MAX(Races!$E$27,TblMili[[#This Row],[Rockapult]]+Races!$F$27),6)  +  0.45 * MIN(MIN(Races!$E$27,TblMili[[#This Row],[Rockapult]]+Races!$F$27),6)  +  0.2 * ( MAX(Races!$E$27-6,0) + MAX(TblMili[[#This Row],[Rockapult]]+Races!$F$27-6,0) )  -  Races!$I$20</f>
        <v>5.8500000000000005</v>
      </c>
      <c r="CU33" s="97">
        <f ca="1">gnome*(TblMili[[#This Row],[Rockapult bonus]]*TblMili[[#This Row],[Unit 3]])</f>
        <v>0</v>
      </c>
      <c r="CV33" s="158">
        <f ca="1">1.8 * MIN(MAX(TblMili[[#This Row],[Spellblade]]+Races!$E$47,TblMili[[#This Row],[Adept-DP]]+Races!$F$47),6)  +  0.45 * MIN(MIN(TblMili[[#This Row],[Spellblade]]+Races!$E$47,TblMili[[#This Row],[Adept-DP]]+Races!$F$47),6)  +  0.2 * ( MAX(TblMili[[#This Row],[Spellblade]]+Races!$E$47-6,0) + MAX(TblMili[[#This Row],[Adept-DP]]+Races!$F$47-6,0) )  -  Races!$I$47</f>
        <v>0</v>
      </c>
      <c r="CW33" s="97">
        <f ca="1">dark_elf*(TblMili[[#This Row],[Adept bonus]]*TblMili[[#This Row],[Unit 3]])</f>
        <v>0</v>
      </c>
      <c r="CX33" s="158">
        <f ca="1">1.8 * MIN(MAX(TblMili[[#This Row],[Frost Mage]]+Races!$F$71,Races!$E$71),6)  +  0.45 * MIN(MIN(TblMili[[#This Row],[Frost Mage]]+Races!$F$71,Races!$E$71),6)  +  0.2 * ( MAX(TblMili[[#This Row],[Frost Mage]]+Races!$F$71-6,0) + MAX(Races!$E$71-6,0) )  -  Races!$I$71</f>
        <v>3.9599999999999991</v>
      </c>
      <c r="CY33" s="158">
        <f ca="1">1.8 * MIN(MAX(TblMili[[#This Row],[Ice Elemental]]+Races!$E$71,Races!$F$71),6)  +  0.45 * MIN(MIN(TblMili[[#This Row],[Ice Elemental]]+Races!$E$71,Races!$F$71),6)  +  0.2 * ( MAX(TblMili[[#This Row],[Ice Elemental]]+Races!$E$71-6,0) + MAX(Races!$F$71-6,0) )  -  Races!$I$71</f>
        <v>0.17999999999999972</v>
      </c>
      <c r="CZ33" s="97">
        <f ca="1">TblMili[[#This Row],[Frost Mage bonus]]*TblMili[[#This Row],[Unit 3]]+TblMili[[#This Row],[Ice Elemental bonus]]*TblMili[[#This Row],[Unit 4]]</f>
        <v>0</v>
      </c>
      <c r="DA33" s="268"/>
      <c r="DB33" s="146">
        <f ca="1">MIN(SUM(TblConstr[[#This Row],[Plain]:[Water]])/TblMili[[#This Row],[Land]]/favorable_terrain_bonus/100,favorable_terrain_max)</f>
        <v>0.1</v>
      </c>
      <c r="DC33" s="268"/>
      <c r="DD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3" s="145"/>
      <c r="DF33" s="269">
        <f ca="1">(TblMili[[#This Row],[Wizards]]+2*TblMili[[#This Row],[Archmages]])/TblConstr[[#This Row],[Land]]</f>
        <v>0.1</v>
      </c>
      <c r="DG33" s="269">
        <f ca="1">TblMili[[#This Row],[Raw (2)]]*(1+race_wizard_strength+IF(TblMili[[#This Row],[Hour]]&gt;72,tech_magical_weaponry_wiz*TblTech[[#This Row],[3-5]],0))</f>
        <v>0.1</v>
      </c>
    </row>
    <row r="34" spans="1:111"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45459.249999999927</v>
      </c>
      <c r="AG34" s="182"/>
      <c r="AH34" s="182"/>
      <c r="AI34" s="182"/>
      <c r="AJ34" s="182"/>
      <c r="AK34" s="182"/>
      <c r="AL34" s="182"/>
      <c r="AM34" s="182"/>
      <c r="AN34" s="182"/>
      <c r="AO34" s="449">
        <f ca="1">IF(AND(TblMagic[[#This Row],[Active DnD]]&lt;12,TblMagic[[#This Row],[Active DnD]]&gt;5),OFFSET(TblPop[[#This Row],[Draft Growth]],-1,0)/2,0)</f>
        <v>0</v>
      </c>
      <c r="AP34" s="145"/>
      <c r="AQ34" s="97">
        <f ca="1">TblProd[[#This Row],[Platinum]]</f>
        <v>285207</v>
      </c>
      <c r="AR34" s="97">
        <f ca="1">INDEX(TblProd[[#Headers],[Lumber]]:TblProd[[#This Row],[Ore]],COUNTA(TblProd[[#Headers],[Lumber]]:TblProd[[#This Row],[Lumber]]),MATCH(Military!$AQ$2,TblProd[[#Headers],[Lumber]:[Ore]],0))</f>
        <v>0</v>
      </c>
      <c r="AS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7">
        <f ca="1">TblMili[[#This Row],[Train Unit 1]]*TblMili[[#This Row],[OP Ore]]+TblMili[[#This Row],[Train Unit 2]]*TblMili[[#This Row],[DP Ore]]+TblMili[[#This Row],[Train Unit 3]]*TblMili[[#This Row],[E1 Ore]]+TblMili[[#This Row],[Train Unit 4]]*TblMili[[#This Row],[E2 Ore]]</f>
        <v>0</v>
      </c>
      <c r="AU34" s="145">
        <f>TblMili[[#This Row],[Hour]]</f>
        <v>31</v>
      </c>
      <c r="AV34" s="155">
        <f ca="1">TblMili[[#This Row],[Time]]</f>
        <v>45459.249999999927</v>
      </c>
      <c r="AW34" s="97">
        <f ca="1">TblMili[[#This Row],[Draftees]]</f>
        <v>579</v>
      </c>
      <c r="AX34" s="182"/>
      <c r="AY34" s="182"/>
      <c r="AZ34" s="182"/>
      <c r="BA34" s="182"/>
      <c r="BB34" s="182"/>
      <c r="BC34" s="182"/>
      <c r="BD34" s="182"/>
      <c r="BE34" s="182"/>
      <c r="BF34" s="182"/>
      <c r="BG34" s="145"/>
      <c r="BH34" s="160">
        <f ca="1">TblConstr[[#This Row],[Tot WG]]/TblConstr[[#This Row],[Land]]</f>
        <v>0</v>
      </c>
      <c r="BI34" s="160">
        <f ca="1">TblConstr[[#This Row],[Tot Hav]]/TblConstr[[#This Row],[Land]]</f>
        <v>0</v>
      </c>
      <c r="BJ34" s="97">
        <f ca="1">ROUNDUP((1-MIN(TblMili[[#This Row],[Smithies]]*smithy_bonus,smithy_bonus_cap) + tech_3_5*TblTech[[#This Row],[3-5]] + tech_5_3*TblTech[[#This Row],[5-3]] + tech_5_5*TblTech[[#This Row],[5-5]])*spec_op_plat,0)</f>
        <v>275</v>
      </c>
      <c r="BK34" s="97">
        <f ca="1">ROUNDUP(IF(race="Gnome",1,(1-MIN(TblMili[[#This Row],[Smithies]]*smithy_bonus,smithy_bonus_cap) + tech_3_5*TblTech[[#This Row],[3-5]] + tech_5_3*TblTech[[#This Row],[5-3]] + tech_5_5*TblTech[[#This Row],[5-5]]))*spec_op_ore,0)</f>
        <v>25</v>
      </c>
      <c r="BL34" s="97">
        <f ca="1">ROUNDUP((1-MIN(TblMili[[#This Row],[Smithies]]*smithy_bonus,smithy_bonus_cap) + tech_3_5*TblTech[[#This Row],[3-5]] + tech_5_3*TblTech[[#This Row],[5-3]] + tech_5_5*TblTech[[#This Row],[5-5]])*spec_dp_plat,0)</f>
        <v>275</v>
      </c>
      <c r="BM34" s="97">
        <f ca="1">ROUNDUP(IF(race="Gnome",1,(1-MIN(TblMili[[#This Row],[Smithies]]*smithy_bonus,smithy_bonus_cap) + tech_3_5*TblTech[[#This Row],[3-5]] + tech_5_3*TblTech[[#This Row],[5-3]] + tech_5_5*TblTech[[#This Row],[5-5]]))*spec_dp_ore,0)</f>
        <v>15</v>
      </c>
      <c r="BN34" s="97">
        <f ca="1">ROUNDUP((1-MIN(TblMili[[#This Row],[Smithies]]*smithy_bonus,smithy_bonus_cap) + tech_3_5*TblTech[[#This Row],[3-5]] + tech_5_3*TblTech[[#This Row],[5-3]] + tech_5_5*TblTech[[#This Row],[5-5]])*elite1_plat,0)</f>
        <v>1000</v>
      </c>
      <c r="BO34" s="97">
        <f ca="1">ROUNDUP(IF(race="Gnome",1,(1-MIN(TblMili[[#This Row],[Smithies]]*smithy_bonus,smithy_bonus_cap) + tech_3_5*TblTech[[#This Row],[3-5]] + tech_5_3*TblTech[[#This Row],[5-3]] + tech_5_5*TblTech[[#This Row],[5-5]]))*elite1_ore,0)</f>
        <v>75</v>
      </c>
      <c r="BP34" s="97">
        <f ca="1">ROUNDUP((1-MIN(TblMili[[#This Row],[Smithies]]*smithy_bonus,smithy_bonus_cap) + tech_3_5*TblTech[[#This Row],[3-5]] + tech_5_3*TblTech[[#This Row],[5-3]] + tech_5_5*TblTech[[#This Row],[5-5]])*elite2_plat,0)</f>
        <v>1250</v>
      </c>
      <c r="BQ34" s="97">
        <f ca="1">ROUNDUP(IF(race="Gnome",1,(1-MIN(TblMili[[#This Row],[Smithies]]*smithy_bonus,smithy_bonus_cap) + tech_3_5*TblTech[[#This Row],[3-5]] + tech_5_3*TblTech[[#This Row],[5-3]] + tech_5_5*TblTech[[#This Row],[5-5]]))*elite2_ore,0)</f>
        <v>100</v>
      </c>
      <c r="BR34" s="97">
        <f ca="1">ROUNDUP((1-MIN(ROUND(fh_spy_cost_red*TblMili[[#This Row],[FH''s]],4),fh_spy_cost_cap)+ tech_1_9*TblTech[[#This Row],[1-9]] + tech_9_1*TblTech[[#This Row],[9-1]])*spy_plat,0)</f>
        <v>500</v>
      </c>
      <c r="BS34" s="97">
        <f ca="1">ROUNDUP((1-MIN(ROUND(fh_spy_cost_red*TblMili[[#This Row],[FH''s]],4),fh_spy_cost_cap)+ tech_1_9*TblTech[[#This Row],[1-9]] + tech_9_1*TblTech[[#This Row],[9-1]])*archspy_plat,0)</f>
        <v>1000</v>
      </c>
      <c r="BT34" s="97">
        <f ca="1">ROUNDUP((1-MIN(ROUND(wg_wiz_cost_bonus*TblMili[[#This Row],[WG''s]],4),wg_wiz_cost_cap) + tech_1_9_2*TblTech[[#This Row],[1-9]] + tech_9_1_2*TblTech[[#This Row],[9-1]])*wizard_plat,0)</f>
        <v>500</v>
      </c>
      <c r="BU34" s="97">
        <f ca="1">ROUNDUP((1-MIN(ROUND(wg_wiz_cost_bonus*TblMili[[#This Row],[WG''s]],4),wg_wiz_cost_cap) + tech_1_9_2*TblTech[[#This Row],[1-9]] + tech_9_1_2*TblTech[[#This Row],[9-1]])*archmage_plat,0)</f>
        <v>1000</v>
      </c>
      <c r="BV34" s="145"/>
      <c r="BW34" s="160">
        <f ca="1">TblConstr[[#This Row],[Homeland]]/TblConstr[[#This Row],[Land]]</f>
        <v>0.44</v>
      </c>
      <c r="BX34" s="160">
        <f ca="1">TblMili[[#This Row],[WG''s]]</f>
        <v>0</v>
      </c>
      <c r="BY34" s="266">
        <f ca="1">IF(mystic_cap="none",TblMili[[#This Row],[Hill]]/mystic_bonus,MIN(mystic_cap,TblMili[[#This Row],[Hill]]/mystic_bonus))</f>
        <v>2.1999999999999997</v>
      </c>
      <c r="BZ34" s="266">
        <f ca="1">IF(druid_op_cap="none",TblMili[[#This Row],[Hill]]/druid_op_bonus,MIN(druid_op_cap,TblMili[[#This Row],[Hill]]/druid_op_bonus))</f>
        <v>2.1999999999999997</v>
      </c>
      <c r="CA34" s="266">
        <f ca="1">IF(druid_dp_cap="none",TblMili[[#This Row],[Hill]]/druid_dp_bonus,MIN(druid_dp_cap,TblMili[[#This Row],[Hill]]/druid_dp_bonus))</f>
        <v>2.1999999999999997</v>
      </c>
      <c r="CB34" s="266">
        <f ca="1">MIN(dryad_cap,TblMili[[#This Row],[Hill]]/dryad_bonus)</f>
        <v>2.1999999999999997</v>
      </c>
      <c r="CC34" s="266">
        <f ca="1">MIN(rocka_cap,TblMili[[#This Row],[Hill]]/rocka_bonus)</f>
        <v>2</v>
      </c>
      <c r="CD34" s="266">
        <f ca="1">MIN(adept_op_cap,TblMili[[#This Row],[WG]]/adept_op_bonus)</f>
        <v>0</v>
      </c>
      <c r="CE34" s="266">
        <f ca="1">MIN(adept_dp_cap,TblMili[[#This Row],[WG]]/adept_dp_bonus)</f>
        <v>0</v>
      </c>
      <c r="CF34" s="97">
        <f ca="1">MIN(TblMili[[#This Row],[Unit 3]],TblMili[[#This Row],[Unit 2]])*2</f>
        <v>0</v>
      </c>
      <c r="CG34" s="97">
        <f ca="1">MIN(TblMili[[#This Row],[Unit 1]],TblMili[[#This Row],[Unit 4]])*2</f>
        <v>0</v>
      </c>
      <c r="CH34" s="266">
        <f ca="1">MIN(frost_mage_cap,TblMili[[#This Row],[Hill]]/frost_mage_bonus)</f>
        <v>2.1999999999999997</v>
      </c>
      <c r="CI34" s="45">
        <f ca="1">MIN(ice_elem_cap,TblMili[[#This Row],[Raw (2)]]*ice_elem_bonus)</f>
        <v>0.1</v>
      </c>
      <c r="CJ34" s="266">
        <f t="shared" si="0"/>
        <v>0.83333333333333337</v>
      </c>
      <c r="CK34" s="266">
        <f ca="1">MIN(nox_nightshade_cap,TblConstr[[#This Row],[Homeland]]/TblConstr[[#This Row],[Land]]/nox_nightshade_swamp_bonus)</f>
        <v>4</v>
      </c>
      <c r="CL34" s="267"/>
      <c r="CM34" s="267"/>
      <c r="CN34" s="267"/>
      <c r="CO34" s="266">
        <f ca="1">MIN(6,TblMili[[#This Row],[Mystic]]+Races!$F$19)*1.8 +  IF(TblMili[[#This Row],[Mystic]]+Races!$F$19&gt;6,(TblMili[[#This Row],[Mystic]]+Races!$F$19-6)*0.2,0) - Races!$I$19</f>
        <v>3.6399999999999997</v>
      </c>
      <c r="CP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4" s="97">
        <f ca="1">TblMili[[#This Row],[Mystic bonus]]*TblMili[[#This Row],[Unit 3]]+TblMili[[#This Row],[Druid bonus]]*TblMili[[#This Row],[Unit 4]]</f>
        <v>0</v>
      </c>
      <c r="CR34" s="158">
        <f ca="1">MIN(6,TblMili[[#This Row],[Dryad]]+Races!$F$35)*1.8 +  IF(TblMili[[#This Row],[Dryad]]+Races!$F$35&gt;6,(TblMili[[#This Row],[Dryad]]+Races!$F$35-6)*0.2,0) - Races!$I$19</f>
        <v>2.1599999999999993</v>
      </c>
      <c r="CS34" s="97">
        <f ca="1">sylvan*(TblMili[[#This Row],[Mystic bonus]]*TblMili[[#This Row],[Unit 3]])</f>
        <v>0</v>
      </c>
      <c r="CT34" s="158">
        <f ca="1">1.8 * MIN(MAX(Races!$E$27,TblMili[[#This Row],[Rockapult]]+Races!$F$27),6)  +  0.45 * MIN(MIN(Races!$E$27,TblMili[[#This Row],[Rockapult]]+Races!$F$27),6)  +  0.2 * ( MAX(Races!$E$27-6,0) + MAX(TblMili[[#This Row],[Rockapult]]+Races!$F$27-6,0) )  -  Races!$I$20</f>
        <v>5.8500000000000005</v>
      </c>
      <c r="CU34" s="97">
        <f ca="1">gnome*(TblMili[[#This Row],[Rockapult bonus]]*TblMili[[#This Row],[Unit 3]])</f>
        <v>0</v>
      </c>
      <c r="CV34" s="158">
        <f ca="1">1.8 * MIN(MAX(TblMili[[#This Row],[Spellblade]]+Races!$E$47,TblMili[[#This Row],[Adept-DP]]+Races!$F$47),6)  +  0.45 * MIN(MIN(TblMili[[#This Row],[Spellblade]]+Races!$E$47,TblMili[[#This Row],[Adept-DP]]+Races!$F$47),6)  +  0.2 * ( MAX(TblMili[[#This Row],[Spellblade]]+Races!$E$47-6,0) + MAX(TblMili[[#This Row],[Adept-DP]]+Races!$F$47-6,0) )  -  Races!$I$47</f>
        <v>0</v>
      </c>
      <c r="CW34" s="97">
        <f ca="1">dark_elf*(TblMili[[#This Row],[Adept bonus]]*TblMili[[#This Row],[Unit 3]])</f>
        <v>0</v>
      </c>
      <c r="CX34" s="158">
        <f ca="1">1.8 * MIN(MAX(TblMili[[#This Row],[Frost Mage]]+Races!$F$71,Races!$E$71),6)  +  0.45 * MIN(MIN(TblMili[[#This Row],[Frost Mage]]+Races!$F$71,Races!$E$71),6)  +  0.2 * ( MAX(TblMili[[#This Row],[Frost Mage]]+Races!$F$71-6,0) + MAX(Races!$E$71-6,0) )  -  Races!$I$71</f>
        <v>3.9599999999999991</v>
      </c>
      <c r="CY34" s="158">
        <f ca="1">1.8 * MIN(MAX(TblMili[[#This Row],[Ice Elemental]]+Races!$E$71,Races!$F$71),6)  +  0.45 * MIN(MIN(TblMili[[#This Row],[Ice Elemental]]+Races!$E$71,Races!$F$71),6)  +  0.2 * ( MAX(TblMili[[#This Row],[Ice Elemental]]+Races!$E$71-6,0) + MAX(Races!$F$71-6,0) )  -  Races!$I$71</f>
        <v>0.17999999999999972</v>
      </c>
      <c r="CZ34" s="97">
        <f ca="1">TblMili[[#This Row],[Frost Mage bonus]]*TblMili[[#This Row],[Unit 3]]+TblMili[[#This Row],[Ice Elemental bonus]]*TblMili[[#This Row],[Unit 4]]</f>
        <v>0</v>
      </c>
      <c r="DA34" s="268"/>
      <c r="DB34" s="146">
        <f ca="1">MIN(SUM(TblConstr[[#This Row],[Plain]:[Water]])/TblMili[[#This Row],[Land]]/favorable_terrain_bonus/100,favorable_terrain_max)</f>
        <v>0.1</v>
      </c>
      <c r="DC34" s="268"/>
      <c r="DD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4" s="145"/>
      <c r="DF34" s="269">
        <f ca="1">(TblMili[[#This Row],[Wizards]]+2*TblMili[[#This Row],[Archmages]])/TblConstr[[#This Row],[Land]]</f>
        <v>0.1</v>
      </c>
      <c r="DG34" s="269">
        <f ca="1">TblMili[[#This Row],[Raw (2)]]*(1+race_wizard_strength+IF(TblMili[[#This Row],[Hour]]&gt;72,tech_magical_weaponry_wiz*TblTech[[#This Row],[3-5]],0))</f>
        <v>0.1</v>
      </c>
    </row>
    <row r="35" spans="1:111"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45459.291666666591</v>
      </c>
      <c r="AG35" s="182"/>
      <c r="AH35" s="182"/>
      <c r="AI35" s="182"/>
      <c r="AJ35" s="182"/>
      <c r="AK35" s="182"/>
      <c r="AL35" s="182"/>
      <c r="AM35" s="182"/>
      <c r="AN35" s="182"/>
      <c r="AO35" s="449">
        <f ca="1">IF(AND(TblMagic[[#This Row],[Active DnD]]&lt;12,TblMagic[[#This Row],[Active DnD]]&gt;5),OFFSET(TblPop[[#This Row],[Draft Growth]],-1,0)/2,0)</f>
        <v>0</v>
      </c>
      <c r="AP35" s="145"/>
      <c r="AQ35" s="97">
        <f ca="1">TblProd[[#This Row],[Platinum]]</f>
        <v>290820</v>
      </c>
      <c r="AR35" s="97">
        <f ca="1">INDEX(TblProd[[#Headers],[Lumber]]:TblProd[[#This Row],[Ore]],COUNTA(TblProd[[#Headers],[Lumber]]:TblProd[[#This Row],[Lumber]]),MATCH(Military!$AQ$2,TblProd[[#Headers],[Lumber]:[Ore]],0))</f>
        <v>0</v>
      </c>
      <c r="AS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7">
        <f ca="1">TblMili[[#This Row],[Train Unit 1]]*TblMili[[#This Row],[OP Ore]]+TblMili[[#This Row],[Train Unit 2]]*TblMili[[#This Row],[DP Ore]]+TblMili[[#This Row],[Train Unit 3]]*TblMili[[#This Row],[E1 Ore]]+TblMili[[#This Row],[Train Unit 4]]*TblMili[[#This Row],[E2 Ore]]</f>
        <v>0</v>
      </c>
      <c r="AU35" s="145">
        <f>TblMili[[#This Row],[Hour]]</f>
        <v>32</v>
      </c>
      <c r="AV35" s="155">
        <f ca="1">TblMili[[#This Row],[Time]]</f>
        <v>45459.291666666591</v>
      </c>
      <c r="AW35" s="97">
        <f ca="1">TblMili[[#This Row],[Draftees]]</f>
        <v>595</v>
      </c>
      <c r="AX35" s="182"/>
      <c r="AY35" s="182"/>
      <c r="AZ35" s="182"/>
      <c r="BA35" s="182"/>
      <c r="BB35" s="182"/>
      <c r="BC35" s="182"/>
      <c r="BD35" s="182"/>
      <c r="BE35" s="182"/>
      <c r="BF35" s="182"/>
      <c r="BG35" s="145"/>
      <c r="BH35" s="160">
        <f ca="1">TblConstr[[#This Row],[Tot WG]]/TblConstr[[#This Row],[Land]]</f>
        <v>0</v>
      </c>
      <c r="BI35" s="160">
        <f ca="1">TblConstr[[#This Row],[Tot Hav]]/TblConstr[[#This Row],[Land]]</f>
        <v>0</v>
      </c>
      <c r="BJ35" s="97">
        <f ca="1">ROUNDUP((1-MIN(TblMili[[#This Row],[Smithies]]*smithy_bonus,smithy_bonus_cap) + tech_3_5*TblTech[[#This Row],[3-5]] + tech_5_3*TblTech[[#This Row],[5-3]] + tech_5_5*TblTech[[#This Row],[5-5]])*spec_op_plat,0)</f>
        <v>275</v>
      </c>
      <c r="BK35" s="97">
        <f ca="1">ROUNDUP(IF(race="Gnome",1,(1-MIN(TblMili[[#This Row],[Smithies]]*smithy_bonus,smithy_bonus_cap) + tech_3_5*TblTech[[#This Row],[3-5]] + tech_5_3*TblTech[[#This Row],[5-3]] + tech_5_5*TblTech[[#This Row],[5-5]]))*spec_op_ore,0)</f>
        <v>25</v>
      </c>
      <c r="BL35" s="97">
        <f ca="1">ROUNDUP((1-MIN(TblMili[[#This Row],[Smithies]]*smithy_bonus,smithy_bonus_cap) + tech_3_5*TblTech[[#This Row],[3-5]] + tech_5_3*TblTech[[#This Row],[5-3]] + tech_5_5*TblTech[[#This Row],[5-5]])*spec_dp_plat,0)</f>
        <v>275</v>
      </c>
      <c r="BM35" s="97">
        <f ca="1">ROUNDUP(IF(race="Gnome",1,(1-MIN(TblMili[[#This Row],[Smithies]]*smithy_bonus,smithy_bonus_cap) + tech_3_5*TblTech[[#This Row],[3-5]] + tech_5_3*TblTech[[#This Row],[5-3]] + tech_5_5*TblTech[[#This Row],[5-5]]))*spec_dp_ore,0)</f>
        <v>15</v>
      </c>
      <c r="BN35" s="97">
        <f ca="1">ROUNDUP((1-MIN(TblMili[[#This Row],[Smithies]]*smithy_bonus,smithy_bonus_cap) + tech_3_5*TblTech[[#This Row],[3-5]] + tech_5_3*TblTech[[#This Row],[5-3]] + tech_5_5*TblTech[[#This Row],[5-5]])*elite1_plat,0)</f>
        <v>1000</v>
      </c>
      <c r="BO35" s="97">
        <f ca="1">ROUNDUP(IF(race="Gnome",1,(1-MIN(TblMili[[#This Row],[Smithies]]*smithy_bonus,smithy_bonus_cap) + tech_3_5*TblTech[[#This Row],[3-5]] + tech_5_3*TblTech[[#This Row],[5-3]] + tech_5_5*TblTech[[#This Row],[5-5]]))*elite1_ore,0)</f>
        <v>75</v>
      </c>
      <c r="BP35" s="97">
        <f ca="1">ROUNDUP((1-MIN(TblMili[[#This Row],[Smithies]]*smithy_bonus,smithy_bonus_cap) + tech_3_5*TblTech[[#This Row],[3-5]] + tech_5_3*TblTech[[#This Row],[5-3]] + tech_5_5*TblTech[[#This Row],[5-5]])*elite2_plat,0)</f>
        <v>1250</v>
      </c>
      <c r="BQ35" s="97">
        <f ca="1">ROUNDUP(IF(race="Gnome",1,(1-MIN(TblMili[[#This Row],[Smithies]]*smithy_bonus,smithy_bonus_cap) + tech_3_5*TblTech[[#This Row],[3-5]] + tech_5_3*TblTech[[#This Row],[5-3]] + tech_5_5*TblTech[[#This Row],[5-5]]))*elite2_ore,0)</f>
        <v>100</v>
      </c>
      <c r="BR35" s="97">
        <f ca="1">ROUNDUP((1-MIN(ROUND(fh_spy_cost_red*TblMili[[#This Row],[FH''s]],4),fh_spy_cost_cap)+ tech_1_9*TblTech[[#This Row],[1-9]] + tech_9_1*TblTech[[#This Row],[9-1]])*spy_plat,0)</f>
        <v>500</v>
      </c>
      <c r="BS35" s="97">
        <f ca="1">ROUNDUP((1-MIN(ROUND(fh_spy_cost_red*TblMili[[#This Row],[FH''s]],4),fh_spy_cost_cap)+ tech_1_9*TblTech[[#This Row],[1-9]] + tech_9_1*TblTech[[#This Row],[9-1]])*archspy_plat,0)</f>
        <v>1000</v>
      </c>
      <c r="BT35" s="97">
        <f ca="1">ROUNDUP((1-MIN(ROUND(wg_wiz_cost_bonus*TblMili[[#This Row],[WG''s]],4),wg_wiz_cost_cap) + tech_1_9_2*TblTech[[#This Row],[1-9]] + tech_9_1_2*TblTech[[#This Row],[9-1]])*wizard_plat,0)</f>
        <v>500</v>
      </c>
      <c r="BU35" s="97">
        <f ca="1">ROUNDUP((1-MIN(ROUND(wg_wiz_cost_bonus*TblMili[[#This Row],[WG''s]],4),wg_wiz_cost_cap) + tech_1_9_2*TblTech[[#This Row],[1-9]] + tech_9_1_2*TblTech[[#This Row],[9-1]])*archmage_plat,0)</f>
        <v>1000</v>
      </c>
      <c r="BV35" s="145"/>
      <c r="BW35" s="160">
        <f ca="1">TblConstr[[#This Row],[Homeland]]/TblConstr[[#This Row],[Land]]</f>
        <v>0.44</v>
      </c>
      <c r="BX35" s="160">
        <f ca="1">TblMili[[#This Row],[WG''s]]</f>
        <v>0</v>
      </c>
      <c r="BY35" s="266">
        <f ca="1">IF(mystic_cap="none",TblMili[[#This Row],[Hill]]/mystic_bonus,MIN(mystic_cap,TblMili[[#This Row],[Hill]]/mystic_bonus))</f>
        <v>2.1999999999999997</v>
      </c>
      <c r="BZ35" s="266">
        <f ca="1">IF(druid_op_cap="none",TblMili[[#This Row],[Hill]]/druid_op_bonus,MIN(druid_op_cap,TblMili[[#This Row],[Hill]]/druid_op_bonus))</f>
        <v>2.1999999999999997</v>
      </c>
      <c r="CA35" s="266">
        <f ca="1">IF(druid_dp_cap="none",TblMili[[#This Row],[Hill]]/druid_dp_bonus,MIN(druid_dp_cap,TblMili[[#This Row],[Hill]]/druid_dp_bonus))</f>
        <v>2.1999999999999997</v>
      </c>
      <c r="CB35" s="266">
        <f ca="1">MIN(dryad_cap,TblMili[[#This Row],[Hill]]/dryad_bonus)</f>
        <v>2.1999999999999997</v>
      </c>
      <c r="CC35" s="266">
        <f ca="1">MIN(rocka_cap,TblMili[[#This Row],[Hill]]/rocka_bonus)</f>
        <v>2</v>
      </c>
      <c r="CD35" s="266">
        <f ca="1">MIN(adept_op_cap,TblMili[[#This Row],[WG]]/adept_op_bonus)</f>
        <v>0</v>
      </c>
      <c r="CE35" s="266">
        <f ca="1">MIN(adept_dp_cap,TblMili[[#This Row],[WG]]/adept_dp_bonus)</f>
        <v>0</v>
      </c>
      <c r="CF35" s="97">
        <f ca="1">MIN(TblMili[[#This Row],[Unit 3]],TblMili[[#This Row],[Unit 2]])*2</f>
        <v>0</v>
      </c>
      <c r="CG35" s="97">
        <f ca="1">MIN(TblMili[[#This Row],[Unit 1]],TblMili[[#This Row],[Unit 4]])*2</f>
        <v>0</v>
      </c>
      <c r="CH35" s="266">
        <f ca="1">MIN(frost_mage_cap,TblMili[[#This Row],[Hill]]/frost_mage_bonus)</f>
        <v>2.1999999999999997</v>
      </c>
      <c r="CI35" s="45">
        <f ca="1">MIN(ice_elem_cap,TblMili[[#This Row],[Raw (2)]]*ice_elem_bonus)</f>
        <v>0.1</v>
      </c>
      <c r="CJ35" s="266">
        <f t="shared" si="0"/>
        <v>0.83333333333333337</v>
      </c>
      <c r="CK35" s="266">
        <f ca="1">MIN(nox_nightshade_cap,TblConstr[[#This Row],[Homeland]]/TblConstr[[#This Row],[Land]]/nox_nightshade_swamp_bonus)</f>
        <v>4</v>
      </c>
      <c r="CL35" s="267"/>
      <c r="CM35" s="267"/>
      <c r="CN35" s="267"/>
      <c r="CO35" s="266">
        <f ca="1">MIN(6,TblMili[[#This Row],[Mystic]]+Races!$F$19)*1.8 +  IF(TblMili[[#This Row],[Mystic]]+Races!$F$19&gt;6,(TblMili[[#This Row],[Mystic]]+Races!$F$19-6)*0.2,0) - Races!$I$19</f>
        <v>3.6399999999999997</v>
      </c>
      <c r="CP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5" s="97">
        <f ca="1">TblMili[[#This Row],[Mystic bonus]]*TblMili[[#This Row],[Unit 3]]+TblMili[[#This Row],[Druid bonus]]*TblMili[[#This Row],[Unit 4]]</f>
        <v>0</v>
      </c>
      <c r="CR35" s="158">
        <f ca="1">MIN(6,TblMili[[#This Row],[Dryad]]+Races!$F$35)*1.8 +  IF(TblMili[[#This Row],[Dryad]]+Races!$F$35&gt;6,(TblMili[[#This Row],[Dryad]]+Races!$F$35-6)*0.2,0) - Races!$I$19</f>
        <v>2.1599999999999993</v>
      </c>
      <c r="CS35" s="97">
        <f ca="1">sylvan*(TblMili[[#This Row],[Mystic bonus]]*TblMili[[#This Row],[Unit 3]])</f>
        <v>0</v>
      </c>
      <c r="CT35" s="158">
        <f ca="1">1.8 * MIN(MAX(Races!$E$27,TblMili[[#This Row],[Rockapult]]+Races!$F$27),6)  +  0.45 * MIN(MIN(Races!$E$27,TblMili[[#This Row],[Rockapult]]+Races!$F$27),6)  +  0.2 * ( MAX(Races!$E$27-6,0) + MAX(TblMili[[#This Row],[Rockapult]]+Races!$F$27-6,0) )  -  Races!$I$20</f>
        <v>5.8500000000000005</v>
      </c>
      <c r="CU35" s="97">
        <f ca="1">gnome*(TblMili[[#This Row],[Rockapult bonus]]*TblMili[[#This Row],[Unit 3]])</f>
        <v>0</v>
      </c>
      <c r="CV35" s="158">
        <f ca="1">1.8 * MIN(MAX(TblMili[[#This Row],[Spellblade]]+Races!$E$47,TblMili[[#This Row],[Adept-DP]]+Races!$F$47),6)  +  0.45 * MIN(MIN(TblMili[[#This Row],[Spellblade]]+Races!$E$47,TblMili[[#This Row],[Adept-DP]]+Races!$F$47),6)  +  0.2 * ( MAX(TblMili[[#This Row],[Spellblade]]+Races!$E$47-6,0) + MAX(TblMili[[#This Row],[Adept-DP]]+Races!$F$47-6,0) )  -  Races!$I$47</f>
        <v>0</v>
      </c>
      <c r="CW35" s="97">
        <f ca="1">dark_elf*(TblMili[[#This Row],[Adept bonus]]*TblMili[[#This Row],[Unit 3]])</f>
        <v>0</v>
      </c>
      <c r="CX35" s="158">
        <f ca="1">1.8 * MIN(MAX(TblMili[[#This Row],[Frost Mage]]+Races!$F$71,Races!$E$71),6)  +  0.45 * MIN(MIN(TblMili[[#This Row],[Frost Mage]]+Races!$F$71,Races!$E$71),6)  +  0.2 * ( MAX(TblMili[[#This Row],[Frost Mage]]+Races!$F$71-6,0) + MAX(Races!$E$71-6,0) )  -  Races!$I$71</f>
        <v>3.9599999999999991</v>
      </c>
      <c r="CY35" s="158">
        <f ca="1">1.8 * MIN(MAX(TblMili[[#This Row],[Ice Elemental]]+Races!$E$71,Races!$F$71),6)  +  0.45 * MIN(MIN(TblMili[[#This Row],[Ice Elemental]]+Races!$E$71,Races!$F$71),6)  +  0.2 * ( MAX(TblMili[[#This Row],[Ice Elemental]]+Races!$E$71-6,0) + MAX(Races!$F$71-6,0) )  -  Races!$I$71</f>
        <v>0.17999999999999972</v>
      </c>
      <c r="CZ35" s="97">
        <f ca="1">TblMili[[#This Row],[Frost Mage bonus]]*TblMili[[#This Row],[Unit 3]]+TblMili[[#This Row],[Ice Elemental bonus]]*TblMili[[#This Row],[Unit 4]]</f>
        <v>0</v>
      </c>
      <c r="DA35" s="268"/>
      <c r="DB35" s="146">
        <f ca="1">MIN(SUM(TblConstr[[#This Row],[Plain]:[Water]])/TblMili[[#This Row],[Land]]/favorable_terrain_bonus/100,favorable_terrain_max)</f>
        <v>0.1</v>
      </c>
      <c r="DC35" s="268"/>
      <c r="DD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5" s="145"/>
      <c r="DF35" s="269">
        <f ca="1">(TblMili[[#This Row],[Wizards]]+2*TblMili[[#This Row],[Archmages]])/TblConstr[[#This Row],[Land]]</f>
        <v>0.1</v>
      </c>
      <c r="DG35" s="269">
        <f ca="1">TblMili[[#This Row],[Raw (2)]]*(1+race_wizard_strength+IF(TblMili[[#This Row],[Hour]]&gt;72,tech_magical_weaponry_wiz*TblTech[[#This Row],[3-5]],0))</f>
        <v>0.1</v>
      </c>
    </row>
    <row r="36" spans="1:111"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45459.333333333256</v>
      </c>
      <c r="AG36" s="182"/>
      <c r="AH36" s="182"/>
      <c r="AI36" s="182"/>
      <c r="AJ36" s="182"/>
      <c r="AK36" s="182"/>
      <c r="AL36" s="182"/>
      <c r="AM36" s="182"/>
      <c r="AN36" s="182"/>
      <c r="AO36" s="449">
        <f ca="1">IF(AND(TblMagic[[#This Row],[Active DnD]]&lt;12,TblMagic[[#This Row],[Active DnD]]&gt;5),OFFSET(TblPop[[#This Row],[Draft Growth]],-1,0)/2,0)</f>
        <v>0</v>
      </c>
      <c r="AP36" s="145"/>
      <c r="AQ36" s="97">
        <f ca="1">TblProd[[#This Row],[Platinum]]</f>
        <v>296390</v>
      </c>
      <c r="AR36" s="97">
        <f ca="1">INDEX(TblProd[[#Headers],[Lumber]]:TblProd[[#This Row],[Ore]],COUNTA(TblProd[[#Headers],[Lumber]]:TblProd[[#This Row],[Lumber]]),MATCH(Military!$AQ$2,TblProd[[#Headers],[Lumber]:[Ore]],0))</f>
        <v>0</v>
      </c>
      <c r="AS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7">
        <f ca="1">TblMili[[#This Row],[Train Unit 1]]*TblMili[[#This Row],[OP Ore]]+TblMili[[#This Row],[Train Unit 2]]*TblMili[[#This Row],[DP Ore]]+TblMili[[#This Row],[Train Unit 3]]*TblMili[[#This Row],[E1 Ore]]+TblMili[[#This Row],[Train Unit 4]]*TblMili[[#This Row],[E2 Ore]]</f>
        <v>0</v>
      </c>
      <c r="AU36" s="145">
        <f>TblMili[[#This Row],[Hour]]</f>
        <v>33</v>
      </c>
      <c r="AV36" s="155">
        <f ca="1">TblMili[[#This Row],[Time]]</f>
        <v>45459.333333333256</v>
      </c>
      <c r="AW36" s="97">
        <f ca="1">TblMili[[#This Row],[Draftees]]</f>
        <v>611</v>
      </c>
      <c r="AX36" s="182"/>
      <c r="AY36" s="182"/>
      <c r="AZ36" s="182"/>
      <c r="BA36" s="182"/>
      <c r="BB36" s="182"/>
      <c r="BC36" s="182"/>
      <c r="BD36" s="182"/>
      <c r="BE36" s="182"/>
      <c r="BF36" s="182"/>
      <c r="BG36" s="145"/>
      <c r="BH36" s="160">
        <f ca="1">TblConstr[[#This Row],[Tot WG]]/TblConstr[[#This Row],[Land]]</f>
        <v>0</v>
      </c>
      <c r="BI36" s="160">
        <f ca="1">TblConstr[[#This Row],[Tot Hav]]/TblConstr[[#This Row],[Land]]</f>
        <v>0</v>
      </c>
      <c r="BJ36" s="97">
        <f ca="1">ROUNDUP((1-MIN(TblMili[[#This Row],[Smithies]]*smithy_bonus,smithy_bonus_cap) + tech_3_5*TblTech[[#This Row],[3-5]] + tech_5_3*TblTech[[#This Row],[5-3]] + tech_5_5*TblTech[[#This Row],[5-5]])*spec_op_plat,0)</f>
        <v>275</v>
      </c>
      <c r="BK36" s="97">
        <f ca="1">ROUNDUP(IF(race="Gnome",1,(1-MIN(TblMili[[#This Row],[Smithies]]*smithy_bonus,smithy_bonus_cap) + tech_3_5*TblTech[[#This Row],[3-5]] + tech_5_3*TblTech[[#This Row],[5-3]] + tech_5_5*TblTech[[#This Row],[5-5]]))*spec_op_ore,0)</f>
        <v>25</v>
      </c>
      <c r="BL36" s="97">
        <f ca="1">ROUNDUP((1-MIN(TblMili[[#This Row],[Smithies]]*smithy_bonus,smithy_bonus_cap) + tech_3_5*TblTech[[#This Row],[3-5]] + tech_5_3*TblTech[[#This Row],[5-3]] + tech_5_5*TblTech[[#This Row],[5-5]])*spec_dp_plat,0)</f>
        <v>275</v>
      </c>
      <c r="BM36" s="97">
        <f ca="1">ROUNDUP(IF(race="Gnome",1,(1-MIN(TblMili[[#This Row],[Smithies]]*smithy_bonus,smithy_bonus_cap) + tech_3_5*TblTech[[#This Row],[3-5]] + tech_5_3*TblTech[[#This Row],[5-3]] + tech_5_5*TblTech[[#This Row],[5-5]]))*spec_dp_ore,0)</f>
        <v>15</v>
      </c>
      <c r="BN36" s="97">
        <f ca="1">ROUNDUP((1-MIN(TblMili[[#This Row],[Smithies]]*smithy_bonus,smithy_bonus_cap) + tech_3_5*TblTech[[#This Row],[3-5]] + tech_5_3*TblTech[[#This Row],[5-3]] + tech_5_5*TblTech[[#This Row],[5-5]])*elite1_plat,0)</f>
        <v>1000</v>
      </c>
      <c r="BO36" s="97">
        <f ca="1">ROUNDUP(IF(race="Gnome",1,(1-MIN(TblMili[[#This Row],[Smithies]]*smithy_bonus,smithy_bonus_cap) + tech_3_5*TblTech[[#This Row],[3-5]] + tech_5_3*TblTech[[#This Row],[5-3]] + tech_5_5*TblTech[[#This Row],[5-5]]))*elite1_ore,0)</f>
        <v>75</v>
      </c>
      <c r="BP36" s="97">
        <f ca="1">ROUNDUP((1-MIN(TblMili[[#This Row],[Smithies]]*smithy_bonus,smithy_bonus_cap) + tech_3_5*TblTech[[#This Row],[3-5]] + tech_5_3*TblTech[[#This Row],[5-3]] + tech_5_5*TblTech[[#This Row],[5-5]])*elite2_plat,0)</f>
        <v>1250</v>
      </c>
      <c r="BQ36" s="97">
        <f ca="1">ROUNDUP(IF(race="Gnome",1,(1-MIN(TblMili[[#This Row],[Smithies]]*smithy_bonus,smithy_bonus_cap) + tech_3_5*TblTech[[#This Row],[3-5]] + tech_5_3*TblTech[[#This Row],[5-3]] + tech_5_5*TblTech[[#This Row],[5-5]]))*elite2_ore,0)</f>
        <v>100</v>
      </c>
      <c r="BR36" s="97">
        <f ca="1">ROUNDUP((1-MIN(ROUND(fh_spy_cost_red*TblMili[[#This Row],[FH''s]],4),fh_spy_cost_cap)+ tech_1_9*TblTech[[#This Row],[1-9]] + tech_9_1*TblTech[[#This Row],[9-1]])*spy_plat,0)</f>
        <v>500</v>
      </c>
      <c r="BS36" s="97">
        <f ca="1">ROUNDUP((1-MIN(ROUND(fh_spy_cost_red*TblMili[[#This Row],[FH''s]],4),fh_spy_cost_cap)+ tech_1_9*TblTech[[#This Row],[1-9]] + tech_9_1*TblTech[[#This Row],[9-1]])*archspy_plat,0)</f>
        <v>1000</v>
      </c>
      <c r="BT36" s="97">
        <f ca="1">ROUNDUP((1-MIN(ROUND(wg_wiz_cost_bonus*TblMili[[#This Row],[WG''s]],4),wg_wiz_cost_cap) + tech_1_9_2*TblTech[[#This Row],[1-9]] + tech_9_1_2*TblTech[[#This Row],[9-1]])*wizard_plat,0)</f>
        <v>500</v>
      </c>
      <c r="BU36" s="97">
        <f ca="1">ROUNDUP((1-MIN(ROUND(wg_wiz_cost_bonus*TblMili[[#This Row],[WG''s]],4),wg_wiz_cost_cap) + tech_1_9_2*TblTech[[#This Row],[1-9]] + tech_9_1_2*TblTech[[#This Row],[9-1]])*archmage_plat,0)</f>
        <v>1000</v>
      </c>
      <c r="BV36" s="145"/>
      <c r="BW36" s="160">
        <f ca="1">TblConstr[[#This Row],[Homeland]]/TblConstr[[#This Row],[Land]]</f>
        <v>0.44</v>
      </c>
      <c r="BX36" s="160">
        <f ca="1">TblMili[[#This Row],[WG''s]]</f>
        <v>0</v>
      </c>
      <c r="BY36" s="266">
        <f ca="1">IF(mystic_cap="none",TblMili[[#This Row],[Hill]]/mystic_bonus,MIN(mystic_cap,TblMili[[#This Row],[Hill]]/mystic_bonus))</f>
        <v>2.1999999999999997</v>
      </c>
      <c r="BZ36" s="266">
        <f ca="1">IF(druid_op_cap="none",TblMili[[#This Row],[Hill]]/druid_op_bonus,MIN(druid_op_cap,TblMili[[#This Row],[Hill]]/druid_op_bonus))</f>
        <v>2.1999999999999997</v>
      </c>
      <c r="CA36" s="266">
        <f ca="1">IF(druid_dp_cap="none",TblMili[[#This Row],[Hill]]/druid_dp_bonus,MIN(druid_dp_cap,TblMili[[#This Row],[Hill]]/druid_dp_bonus))</f>
        <v>2.1999999999999997</v>
      </c>
      <c r="CB36" s="266">
        <f ca="1">MIN(dryad_cap,TblMili[[#This Row],[Hill]]/dryad_bonus)</f>
        <v>2.1999999999999997</v>
      </c>
      <c r="CC36" s="266">
        <f ca="1">MIN(rocka_cap,TblMili[[#This Row],[Hill]]/rocka_bonus)</f>
        <v>2</v>
      </c>
      <c r="CD36" s="266">
        <f ca="1">MIN(adept_op_cap,TblMili[[#This Row],[WG]]/adept_op_bonus)</f>
        <v>0</v>
      </c>
      <c r="CE36" s="266">
        <f ca="1">MIN(adept_dp_cap,TblMili[[#This Row],[WG]]/adept_dp_bonus)</f>
        <v>0</v>
      </c>
      <c r="CF36" s="97">
        <f ca="1">MIN(TblMili[[#This Row],[Unit 3]],TblMili[[#This Row],[Unit 2]])*2</f>
        <v>0</v>
      </c>
      <c r="CG36" s="97">
        <f ca="1">MIN(TblMili[[#This Row],[Unit 1]],TblMili[[#This Row],[Unit 4]])*2</f>
        <v>0</v>
      </c>
      <c r="CH36" s="266">
        <f ca="1">MIN(frost_mage_cap,TblMili[[#This Row],[Hill]]/frost_mage_bonus)</f>
        <v>2.1999999999999997</v>
      </c>
      <c r="CI36" s="45">
        <f ca="1">MIN(ice_elem_cap,TblMili[[#This Row],[Raw (2)]]*ice_elem_bonus)</f>
        <v>0.1</v>
      </c>
      <c r="CJ36" s="266">
        <f t="shared" ref="CJ36:CJ67" si="2">MIN(bone_breaker_cap,250/bone_breaker_bonus)</f>
        <v>0.83333333333333337</v>
      </c>
      <c r="CK36" s="266">
        <f ca="1">MIN(nox_nightshade_cap,TblConstr[[#This Row],[Homeland]]/TblConstr[[#This Row],[Land]]/nox_nightshade_swamp_bonus)</f>
        <v>4</v>
      </c>
      <c r="CL36" s="267"/>
      <c r="CM36" s="267"/>
      <c r="CN36" s="267"/>
      <c r="CO36" s="266">
        <f ca="1">MIN(6,TblMili[[#This Row],[Mystic]]+Races!$F$19)*1.8 +  IF(TblMili[[#This Row],[Mystic]]+Races!$F$19&gt;6,(TblMili[[#This Row],[Mystic]]+Races!$F$19-6)*0.2,0) - Races!$I$19</f>
        <v>3.6399999999999997</v>
      </c>
      <c r="CP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6" s="97">
        <f ca="1">TblMili[[#This Row],[Mystic bonus]]*TblMili[[#This Row],[Unit 3]]+TblMili[[#This Row],[Druid bonus]]*TblMili[[#This Row],[Unit 4]]</f>
        <v>0</v>
      </c>
      <c r="CR36" s="158">
        <f ca="1">MIN(6,TblMili[[#This Row],[Dryad]]+Races!$F$35)*1.8 +  IF(TblMili[[#This Row],[Dryad]]+Races!$F$35&gt;6,(TblMili[[#This Row],[Dryad]]+Races!$F$35-6)*0.2,0) - Races!$I$19</f>
        <v>2.1599999999999993</v>
      </c>
      <c r="CS36" s="97">
        <f ca="1">sylvan*(TblMili[[#This Row],[Mystic bonus]]*TblMili[[#This Row],[Unit 3]])</f>
        <v>0</v>
      </c>
      <c r="CT36" s="158">
        <f ca="1">1.8 * MIN(MAX(Races!$E$27,TblMili[[#This Row],[Rockapult]]+Races!$F$27),6)  +  0.45 * MIN(MIN(Races!$E$27,TblMili[[#This Row],[Rockapult]]+Races!$F$27),6)  +  0.2 * ( MAX(Races!$E$27-6,0) + MAX(TblMili[[#This Row],[Rockapult]]+Races!$F$27-6,0) )  -  Races!$I$20</f>
        <v>5.8500000000000005</v>
      </c>
      <c r="CU36" s="97">
        <f ca="1">gnome*(TblMili[[#This Row],[Rockapult bonus]]*TblMili[[#This Row],[Unit 3]])</f>
        <v>0</v>
      </c>
      <c r="CV36" s="158">
        <f ca="1">1.8 * MIN(MAX(TblMili[[#This Row],[Spellblade]]+Races!$E$47,TblMili[[#This Row],[Adept-DP]]+Races!$F$47),6)  +  0.45 * MIN(MIN(TblMili[[#This Row],[Spellblade]]+Races!$E$47,TblMili[[#This Row],[Adept-DP]]+Races!$F$47),6)  +  0.2 * ( MAX(TblMili[[#This Row],[Spellblade]]+Races!$E$47-6,0) + MAX(TblMili[[#This Row],[Adept-DP]]+Races!$F$47-6,0) )  -  Races!$I$47</f>
        <v>0</v>
      </c>
      <c r="CW36" s="97">
        <f ca="1">dark_elf*(TblMili[[#This Row],[Adept bonus]]*TblMili[[#This Row],[Unit 3]])</f>
        <v>0</v>
      </c>
      <c r="CX36" s="158">
        <f ca="1">1.8 * MIN(MAX(TblMili[[#This Row],[Frost Mage]]+Races!$F$71,Races!$E$71),6)  +  0.45 * MIN(MIN(TblMili[[#This Row],[Frost Mage]]+Races!$F$71,Races!$E$71),6)  +  0.2 * ( MAX(TblMili[[#This Row],[Frost Mage]]+Races!$F$71-6,0) + MAX(Races!$E$71-6,0) )  -  Races!$I$71</f>
        <v>3.9599999999999991</v>
      </c>
      <c r="CY36" s="158">
        <f ca="1">1.8 * MIN(MAX(TblMili[[#This Row],[Ice Elemental]]+Races!$E$71,Races!$F$71),6)  +  0.45 * MIN(MIN(TblMili[[#This Row],[Ice Elemental]]+Races!$E$71,Races!$F$71),6)  +  0.2 * ( MAX(TblMili[[#This Row],[Ice Elemental]]+Races!$E$71-6,0) + MAX(Races!$F$71-6,0) )  -  Races!$I$71</f>
        <v>0.17999999999999972</v>
      </c>
      <c r="CZ36" s="97">
        <f ca="1">TblMili[[#This Row],[Frost Mage bonus]]*TblMili[[#This Row],[Unit 3]]+TblMili[[#This Row],[Ice Elemental bonus]]*TblMili[[#This Row],[Unit 4]]</f>
        <v>0</v>
      </c>
      <c r="DA36" s="268"/>
      <c r="DB36" s="146">
        <f ca="1">MIN(SUM(TblConstr[[#This Row],[Plain]:[Water]])/TblMili[[#This Row],[Land]]/favorable_terrain_bonus/100,favorable_terrain_max)</f>
        <v>0.1</v>
      </c>
      <c r="DC36" s="268"/>
      <c r="DD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6" s="145"/>
      <c r="DF36" s="269">
        <f ca="1">(TblMili[[#This Row],[Wizards]]+2*TblMili[[#This Row],[Archmages]])/TblConstr[[#This Row],[Land]]</f>
        <v>0.1</v>
      </c>
      <c r="DG36" s="269">
        <f ca="1">TblMili[[#This Row],[Raw (2)]]*(1+race_wizard_strength+IF(TblMili[[#This Row],[Hour]]&gt;72,tech_magical_weaponry_wiz*TblTech[[#This Row],[3-5]],0))</f>
        <v>0.1</v>
      </c>
    </row>
    <row r="37" spans="1:111"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45459.37499999992</v>
      </c>
      <c r="AG37" s="182"/>
      <c r="AH37" s="182"/>
      <c r="AI37" s="182"/>
      <c r="AJ37" s="182"/>
      <c r="AK37" s="182"/>
      <c r="AL37" s="182"/>
      <c r="AM37" s="182"/>
      <c r="AN37" s="182"/>
      <c r="AO37" s="449">
        <f ca="1">IF(AND(TblMagic[[#This Row],[Active DnD]]&lt;12,TblMagic[[#This Row],[Active DnD]]&gt;5),OFFSET(TblPop[[#This Row],[Draft Growth]],-1,0)/2,0)</f>
        <v>0</v>
      </c>
      <c r="AP37" s="145"/>
      <c r="AQ37" s="97">
        <f ca="1">TblProd[[#This Row],[Platinum]]</f>
        <v>301916</v>
      </c>
      <c r="AR37" s="97">
        <f ca="1">INDEX(TblProd[[#Headers],[Lumber]]:TblProd[[#This Row],[Ore]],COUNTA(TblProd[[#Headers],[Lumber]]:TblProd[[#This Row],[Lumber]]),MATCH(Military!$AQ$2,TblProd[[#Headers],[Lumber]:[Ore]],0))</f>
        <v>0</v>
      </c>
      <c r="AS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7">
        <f ca="1">TblMili[[#This Row],[Train Unit 1]]*TblMili[[#This Row],[OP Ore]]+TblMili[[#This Row],[Train Unit 2]]*TblMili[[#This Row],[DP Ore]]+TblMili[[#This Row],[Train Unit 3]]*TblMili[[#This Row],[E1 Ore]]+TblMili[[#This Row],[Train Unit 4]]*TblMili[[#This Row],[E2 Ore]]</f>
        <v>0</v>
      </c>
      <c r="AU37" s="145">
        <f>TblMili[[#This Row],[Hour]]</f>
        <v>34</v>
      </c>
      <c r="AV37" s="155">
        <f ca="1">TblMili[[#This Row],[Time]]</f>
        <v>45459.37499999992</v>
      </c>
      <c r="AW37" s="97">
        <f ca="1">TblMili[[#This Row],[Draftees]]</f>
        <v>626</v>
      </c>
      <c r="AX37" s="182"/>
      <c r="AY37" s="182"/>
      <c r="AZ37" s="182"/>
      <c r="BA37" s="182"/>
      <c r="BB37" s="182"/>
      <c r="BC37" s="182"/>
      <c r="BD37" s="182"/>
      <c r="BE37" s="182"/>
      <c r="BF37" s="182"/>
      <c r="BG37" s="145"/>
      <c r="BH37" s="160">
        <f ca="1">TblConstr[[#This Row],[Tot WG]]/TblConstr[[#This Row],[Land]]</f>
        <v>0</v>
      </c>
      <c r="BI37" s="160">
        <f ca="1">TblConstr[[#This Row],[Tot Hav]]/TblConstr[[#This Row],[Land]]</f>
        <v>0</v>
      </c>
      <c r="BJ37" s="97">
        <f ca="1">ROUNDUP((1-MIN(TblMili[[#This Row],[Smithies]]*smithy_bonus,smithy_bonus_cap) + tech_3_5*TblTech[[#This Row],[3-5]] + tech_5_3*TblTech[[#This Row],[5-3]] + tech_5_5*TblTech[[#This Row],[5-5]])*spec_op_plat,0)</f>
        <v>275</v>
      </c>
      <c r="BK37" s="97">
        <f ca="1">ROUNDUP(IF(race="Gnome",1,(1-MIN(TblMili[[#This Row],[Smithies]]*smithy_bonus,smithy_bonus_cap) + tech_3_5*TblTech[[#This Row],[3-5]] + tech_5_3*TblTech[[#This Row],[5-3]] + tech_5_5*TblTech[[#This Row],[5-5]]))*spec_op_ore,0)</f>
        <v>25</v>
      </c>
      <c r="BL37" s="97">
        <f ca="1">ROUNDUP((1-MIN(TblMili[[#This Row],[Smithies]]*smithy_bonus,smithy_bonus_cap) + tech_3_5*TblTech[[#This Row],[3-5]] + tech_5_3*TblTech[[#This Row],[5-3]] + tech_5_5*TblTech[[#This Row],[5-5]])*spec_dp_plat,0)</f>
        <v>275</v>
      </c>
      <c r="BM37" s="97">
        <f ca="1">ROUNDUP(IF(race="Gnome",1,(1-MIN(TblMili[[#This Row],[Smithies]]*smithy_bonus,smithy_bonus_cap) + tech_3_5*TblTech[[#This Row],[3-5]] + tech_5_3*TblTech[[#This Row],[5-3]] + tech_5_5*TblTech[[#This Row],[5-5]]))*spec_dp_ore,0)</f>
        <v>15</v>
      </c>
      <c r="BN37" s="97">
        <f ca="1">ROUNDUP((1-MIN(TblMili[[#This Row],[Smithies]]*smithy_bonus,smithy_bonus_cap) + tech_3_5*TblTech[[#This Row],[3-5]] + tech_5_3*TblTech[[#This Row],[5-3]] + tech_5_5*TblTech[[#This Row],[5-5]])*elite1_plat,0)</f>
        <v>1000</v>
      </c>
      <c r="BO37" s="97">
        <f ca="1">ROUNDUP(IF(race="Gnome",1,(1-MIN(TblMili[[#This Row],[Smithies]]*smithy_bonus,smithy_bonus_cap) + tech_3_5*TblTech[[#This Row],[3-5]] + tech_5_3*TblTech[[#This Row],[5-3]] + tech_5_5*TblTech[[#This Row],[5-5]]))*elite1_ore,0)</f>
        <v>75</v>
      </c>
      <c r="BP37" s="97">
        <f ca="1">ROUNDUP((1-MIN(TblMili[[#This Row],[Smithies]]*smithy_bonus,smithy_bonus_cap) + tech_3_5*TblTech[[#This Row],[3-5]] + tech_5_3*TblTech[[#This Row],[5-3]] + tech_5_5*TblTech[[#This Row],[5-5]])*elite2_plat,0)</f>
        <v>1250</v>
      </c>
      <c r="BQ37" s="97">
        <f ca="1">ROUNDUP(IF(race="Gnome",1,(1-MIN(TblMili[[#This Row],[Smithies]]*smithy_bonus,smithy_bonus_cap) + tech_3_5*TblTech[[#This Row],[3-5]] + tech_5_3*TblTech[[#This Row],[5-3]] + tech_5_5*TblTech[[#This Row],[5-5]]))*elite2_ore,0)</f>
        <v>100</v>
      </c>
      <c r="BR37" s="97">
        <f ca="1">ROUNDUP((1-MIN(ROUND(fh_spy_cost_red*TblMili[[#This Row],[FH''s]],4),fh_spy_cost_cap)+ tech_1_9*TblTech[[#This Row],[1-9]] + tech_9_1*TblTech[[#This Row],[9-1]])*spy_plat,0)</f>
        <v>500</v>
      </c>
      <c r="BS37" s="97">
        <f ca="1">ROUNDUP((1-MIN(ROUND(fh_spy_cost_red*TblMili[[#This Row],[FH''s]],4),fh_spy_cost_cap)+ tech_1_9*TblTech[[#This Row],[1-9]] + tech_9_1*TblTech[[#This Row],[9-1]])*archspy_plat,0)</f>
        <v>1000</v>
      </c>
      <c r="BT37" s="97">
        <f ca="1">ROUNDUP((1-MIN(ROUND(wg_wiz_cost_bonus*TblMili[[#This Row],[WG''s]],4),wg_wiz_cost_cap) + tech_1_9_2*TblTech[[#This Row],[1-9]] + tech_9_1_2*TblTech[[#This Row],[9-1]])*wizard_plat,0)</f>
        <v>500</v>
      </c>
      <c r="BU37" s="97">
        <f ca="1">ROUNDUP((1-MIN(ROUND(wg_wiz_cost_bonus*TblMili[[#This Row],[WG''s]],4),wg_wiz_cost_cap) + tech_1_9_2*TblTech[[#This Row],[1-9]] + tech_9_1_2*TblTech[[#This Row],[9-1]])*archmage_plat,0)</f>
        <v>1000</v>
      </c>
      <c r="BV37" s="145"/>
      <c r="BW37" s="160">
        <f ca="1">TblConstr[[#This Row],[Homeland]]/TblConstr[[#This Row],[Land]]</f>
        <v>0.44</v>
      </c>
      <c r="BX37" s="160">
        <f ca="1">TblMili[[#This Row],[WG''s]]</f>
        <v>0</v>
      </c>
      <c r="BY37" s="266">
        <f ca="1">IF(mystic_cap="none",TblMili[[#This Row],[Hill]]/mystic_bonus,MIN(mystic_cap,TblMili[[#This Row],[Hill]]/mystic_bonus))</f>
        <v>2.1999999999999997</v>
      </c>
      <c r="BZ37" s="266">
        <f ca="1">IF(druid_op_cap="none",TblMili[[#This Row],[Hill]]/druid_op_bonus,MIN(druid_op_cap,TblMili[[#This Row],[Hill]]/druid_op_bonus))</f>
        <v>2.1999999999999997</v>
      </c>
      <c r="CA37" s="266">
        <f ca="1">IF(druid_dp_cap="none",TblMili[[#This Row],[Hill]]/druid_dp_bonus,MIN(druid_dp_cap,TblMili[[#This Row],[Hill]]/druid_dp_bonus))</f>
        <v>2.1999999999999997</v>
      </c>
      <c r="CB37" s="266">
        <f ca="1">MIN(dryad_cap,TblMili[[#This Row],[Hill]]/dryad_bonus)</f>
        <v>2.1999999999999997</v>
      </c>
      <c r="CC37" s="266">
        <f ca="1">MIN(rocka_cap,TblMili[[#This Row],[Hill]]/rocka_bonus)</f>
        <v>2</v>
      </c>
      <c r="CD37" s="266">
        <f ca="1">MIN(adept_op_cap,TblMili[[#This Row],[WG]]/adept_op_bonus)</f>
        <v>0</v>
      </c>
      <c r="CE37" s="266">
        <f ca="1">MIN(adept_dp_cap,TblMili[[#This Row],[WG]]/adept_dp_bonus)</f>
        <v>0</v>
      </c>
      <c r="CF37" s="97">
        <f ca="1">MIN(TblMili[[#This Row],[Unit 3]],TblMili[[#This Row],[Unit 2]])*2</f>
        <v>0</v>
      </c>
      <c r="CG37" s="97">
        <f ca="1">MIN(TblMili[[#This Row],[Unit 1]],TblMili[[#This Row],[Unit 4]])*2</f>
        <v>0</v>
      </c>
      <c r="CH37" s="266">
        <f ca="1">MIN(frost_mage_cap,TblMili[[#This Row],[Hill]]/frost_mage_bonus)</f>
        <v>2.1999999999999997</v>
      </c>
      <c r="CI37" s="45">
        <f ca="1">MIN(ice_elem_cap,TblMili[[#This Row],[Raw (2)]]*ice_elem_bonus)</f>
        <v>0.1</v>
      </c>
      <c r="CJ37" s="266">
        <f t="shared" si="2"/>
        <v>0.83333333333333337</v>
      </c>
      <c r="CK37" s="266">
        <f ca="1">MIN(nox_nightshade_cap,TblConstr[[#This Row],[Homeland]]/TblConstr[[#This Row],[Land]]/nox_nightshade_swamp_bonus)</f>
        <v>4</v>
      </c>
      <c r="CL37" s="267"/>
      <c r="CM37" s="267"/>
      <c r="CN37" s="267"/>
      <c r="CO37" s="266">
        <f ca="1">MIN(6,TblMili[[#This Row],[Mystic]]+Races!$F$19)*1.8 +  IF(TblMili[[#This Row],[Mystic]]+Races!$F$19&gt;6,(TblMili[[#This Row],[Mystic]]+Races!$F$19-6)*0.2,0) - Races!$I$19</f>
        <v>3.6399999999999997</v>
      </c>
      <c r="CP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7" s="97">
        <f ca="1">TblMili[[#This Row],[Mystic bonus]]*TblMili[[#This Row],[Unit 3]]+TblMili[[#This Row],[Druid bonus]]*TblMili[[#This Row],[Unit 4]]</f>
        <v>0</v>
      </c>
      <c r="CR37" s="158">
        <f ca="1">MIN(6,TblMili[[#This Row],[Dryad]]+Races!$F$35)*1.8 +  IF(TblMili[[#This Row],[Dryad]]+Races!$F$35&gt;6,(TblMili[[#This Row],[Dryad]]+Races!$F$35-6)*0.2,0) - Races!$I$19</f>
        <v>2.1599999999999993</v>
      </c>
      <c r="CS37" s="97">
        <f ca="1">sylvan*(TblMili[[#This Row],[Mystic bonus]]*TblMili[[#This Row],[Unit 3]])</f>
        <v>0</v>
      </c>
      <c r="CT37" s="158">
        <f ca="1">1.8 * MIN(MAX(Races!$E$27,TblMili[[#This Row],[Rockapult]]+Races!$F$27),6)  +  0.45 * MIN(MIN(Races!$E$27,TblMili[[#This Row],[Rockapult]]+Races!$F$27),6)  +  0.2 * ( MAX(Races!$E$27-6,0) + MAX(TblMili[[#This Row],[Rockapult]]+Races!$F$27-6,0) )  -  Races!$I$20</f>
        <v>5.8500000000000005</v>
      </c>
      <c r="CU37" s="97">
        <f ca="1">gnome*(TblMili[[#This Row],[Rockapult bonus]]*TblMili[[#This Row],[Unit 3]])</f>
        <v>0</v>
      </c>
      <c r="CV37" s="158">
        <f ca="1">1.8 * MIN(MAX(TblMili[[#This Row],[Spellblade]]+Races!$E$47,TblMili[[#This Row],[Adept-DP]]+Races!$F$47),6)  +  0.45 * MIN(MIN(TblMili[[#This Row],[Spellblade]]+Races!$E$47,TblMili[[#This Row],[Adept-DP]]+Races!$F$47),6)  +  0.2 * ( MAX(TblMili[[#This Row],[Spellblade]]+Races!$E$47-6,0) + MAX(TblMili[[#This Row],[Adept-DP]]+Races!$F$47-6,0) )  -  Races!$I$47</f>
        <v>0</v>
      </c>
      <c r="CW37" s="97">
        <f ca="1">dark_elf*(TblMili[[#This Row],[Adept bonus]]*TblMili[[#This Row],[Unit 3]])</f>
        <v>0</v>
      </c>
      <c r="CX37" s="158">
        <f ca="1">1.8 * MIN(MAX(TblMili[[#This Row],[Frost Mage]]+Races!$F$71,Races!$E$71),6)  +  0.45 * MIN(MIN(TblMili[[#This Row],[Frost Mage]]+Races!$F$71,Races!$E$71),6)  +  0.2 * ( MAX(TblMili[[#This Row],[Frost Mage]]+Races!$F$71-6,0) + MAX(Races!$E$71-6,0) )  -  Races!$I$71</f>
        <v>3.9599999999999991</v>
      </c>
      <c r="CY37" s="158">
        <f ca="1">1.8 * MIN(MAX(TblMili[[#This Row],[Ice Elemental]]+Races!$E$71,Races!$F$71),6)  +  0.45 * MIN(MIN(TblMili[[#This Row],[Ice Elemental]]+Races!$E$71,Races!$F$71),6)  +  0.2 * ( MAX(TblMili[[#This Row],[Ice Elemental]]+Races!$E$71-6,0) + MAX(Races!$F$71-6,0) )  -  Races!$I$71</f>
        <v>0.17999999999999972</v>
      </c>
      <c r="CZ37" s="97">
        <f ca="1">TblMili[[#This Row],[Frost Mage bonus]]*TblMili[[#This Row],[Unit 3]]+TblMili[[#This Row],[Ice Elemental bonus]]*TblMili[[#This Row],[Unit 4]]</f>
        <v>0</v>
      </c>
      <c r="DA37" s="268"/>
      <c r="DB37" s="146">
        <f ca="1">MIN(SUM(TblConstr[[#This Row],[Plain]:[Water]])/TblMili[[#This Row],[Land]]/favorable_terrain_bonus/100,favorable_terrain_max)</f>
        <v>0.1</v>
      </c>
      <c r="DC37" s="268"/>
      <c r="DD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7" s="145"/>
      <c r="DF37" s="269">
        <f ca="1">(TblMili[[#This Row],[Wizards]]+2*TblMili[[#This Row],[Archmages]])/TblConstr[[#This Row],[Land]]</f>
        <v>0.1</v>
      </c>
      <c r="DG37" s="269">
        <f ca="1">TblMili[[#This Row],[Raw (2)]]*(1+race_wizard_strength+IF(TblMili[[#This Row],[Hour]]&gt;72,tech_magical_weaponry_wiz*TblTech[[#This Row],[3-5]],0))</f>
        <v>0.1</v>
      </c>
    </row>
    <row r="38" spans="1:111"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45459.416666666584</v>
      </c>
      <c r="AG38" s="182"/>
      <c r="AH38" s="182"/>
      <c r="AI38" s="182"/>
      <c r="AJ38" s="182"/>
      <c r="AK38" s="182"/>
      <c r="AL38" s="182"/>
      <c r="AM38" s="182"/>
      <c r="AN38" s="182"/>
      <c r="AO38" s="449">
        <f ca="1">IF(AND(TblMagic[[#This Row],[Active DnD]]&lt;12,TblMagic[[#This Row],[Active DnD]]&gt;5),OFFSET(TblPop[[#This Row],[Draft Growth]],-1,0)/2,0)</f>
        <v>0</v>
      </c>
      <c r="AP38" s="145"/>
      <c r="AQ38" s="97">
        <f ca="1">TblProd[[#This Row],[Platinum]]</f>
        <v>307402</v>
      </c>
      <c r="AR38" s="97">
        <f ca="1">INDEX(TblProd[[#Headers],[Lumber]]:TblProd[[#This Row],[Ore]],COUNTA(TblProd[[#Headers],[Lumber]]:TblProd[[#This Row],[Lumber]]),MATCH(Military!$AQ$2,TblProd[[#Headers],[Lumber]:[Ore]],0))</f>
        <v>0</v>
      </c>
      <c r="AS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7">
        <f ca="1">TblMili[[#This Row],[Train Unit 1]]*TblMili[[#This Row],[OP Ore]]+TblMili[[#This Row],[Train Unit 2]]*TblMili[[#This Row],[DP Ore]]+TblMili[[#This Row],[Train Unit 3]]*TblMili[[#This Row],[E1 Ore]]+TblMili[[#This Row],[Train Unit 4]]*TblMili[[#This Row],[E2 Ore]]</f>
        <v>0</v>
      </c>
      <c r="AU38" s="145">
        <f>TblMili[[#This Row],[Hour]]</f>
        <v>35</v>
      </c>
      <c r="AV38" s="155">
        <f ca="1">TblMili[[#This Row],[Time]]</f>
        <v>45459.416666666584</v>
      </c>
      <c r="AW38" s="97">
        <f ca="1">TblMili[[#This Row],[Draftees]]</f>
        <v>626</v>
      </c>
      <c r="AX38" s="182"/>
      <c r="AY38" s="182"/>
      <c r="AZ38" s="182"/>
      <c r="BA38" s="182"/>
      <c r="BB38" s="182"/>
      <c r="BC38" s="182"/>
      <c r="BD38" s="182"/>
      <c r="BE38" s="182"/>
      <c r="BF38" s="182"/>
      <c r="BG38" s="145"/>
      <c r="BH38" s="160">
        <f ca="1">TblConstr[[#This Row],[Tot WG]]/TblConstr[[#This Row],[Land]]</f>
        <v>0</v>
      </c>
      <c r="BI38" s="160">
        <f ca="1">TblConstr[[#This Row],[Tot Hav]]/TblConstr[[#This Row],[Land]]</f>
        <v>0</v>
      </c>
      <c r="BJ38" s="97">
        <f ca="1">ROUNDUP((1-MIN(TblMili[[#This Row],[Smithies]]*smithy_bonus,smithy_bonus_cap) + tech_3_5*TblTech[[#This Row],[3-5]] + tech_5_3*TblTech[[#This Row],[5-3]] + tech_5_5*TblTech[[#This Row],[5-5]])*spec_op_plat,0)</f>
        <v>275</v>
      </c>
      <c r="BK38" s="97">
        <f ca="1">ROUNDUP(IF(race="Gnome",1,(1-MIN(TblMili[[#This Row],[Smithies]]*smithy_bonus,smithy_bonus_cap) + tech_3_5*TblTech[[#This Row],[3-5]] + tech_5_3*TblTech[[#This Row],[5-3]] + tech_5_5*TblTech[[#This Row],[5-5]]))*spec_op_ore,0)</f>
        <v>25</v>
      </c>
      <c r="BL38" s="97">
        <f ca="1">ROUNDUP((1-MIN(TblMili[[#This Row],[Smithies]]*smithy_bonus,smithy_bonus_cap) + tech_3_5*TblTech[[#This Row],[3-5]] + tech_5_3*TblTech[[#This Row],[5-3]] + tech_5_5*TblTech[[#This Row],[5-5]])*spec_dp_plat,0)</f>
        <v>275</v>
      </c>
      <c r="BM38" s="97">
        <f ca="1">ROUNDUP(IF(race="Gnome",1,(1-MIN(TblMili[[#This Row],[Smithies]]*smithy_bonus,smithy_bonus_cap) + tech_3_5*TblTech[[#This Row],[3-5]] + tech_5_3*TblTech[[#This Row],[5-3]] + tech_5_5*TblTech[[#This Row],[5-5]]))*spec_dp_ore,0)</f>
        <v>15</v>
      </c>
      <c r="BN38" s="97">
        <f ca="1">ROUNDUP((1-MIN(TblMili[[#This Row],[Smithies]]*smithy_bonus,smithy_bonus_cap) + tech_3_5*TblTech[[#This Row],[3-5]] + tech_5_3*TblTech[[#This Row],[5-3]] + tech_5_5*TblTech[[#This Row],[5-5]])*elite1_plat,0)</f>
        <v>1000</v>
      </c>
      <c r="BO38" s="97">
        <f ca="1">ROUNDUP(IF(race="Gnome",1,(1-MIN(TblMili[[#This Row],[Smithies]]*smithy_bonus,smithy_bonus_cap) + tech_3_5*TblTech[[#This Row],[3-5]] + tech_5_3*TblTech[[#This Row],[5-3]] + tech_5_5*TblTech[[#This Row],[5-5]]))*elite1_ore,0)</f>
        <v>75</v>
      </c>
      <c r="BP38" s="97">
        <f ca="1">ROUNDUP((1-MIN(TblMili[[#This Row],[Smithies]]*smithy_bonus,smithy_bonus_cap) + tech_3_5*TblTech[[#This Row],[3-5]] + tech_5_3*TblTech[[#This Row],[5-3]] + tech_5_5*TblTech[[#This Row],[5-5]])*elite2_plat,0)</f>
        <v>1250</v>
      </c>
      <c r="BQ38" s="97">
        <f ca="1">ROUNDUP(IF(race="Gnome",1,(1-MIN(TblMili[[#This Row],[Smithies]]*smithy_bonus,smithy_bonus_cap) + tech_3_5*TblTech[[#This Row],[3-5]] + tech_5_3*TblTech[[#This Row],[5-3]] + tech_5_5*TblTech[[#This Row],[5-5]]))*elite2_ore,0)</f>
        <v>100</v>
      </c>
      <c r="BR38" s="97">
        <f ca="1">ROUNDUP((1-MIN(ROUND(fh_spy_cost_red*TblMili[[#This Row],[FH''s]],4),fh_spy_cost_cap)+ tech_1_9*TblTech[[#This Row],[1-9]] + tech_9_1*TblTech[[#This Row],[9-1]])*spy_plat,0)</f>
        <v>500</v>
      </c>
      <c r="BS38" s="97">
        <f ca="1">ROUNDUP((1-MIN(ROUND(fh_spy_cost_red*TblMili[[#This Row],[FH''s]],4),fh_spy_cost_cap)+ tech_1_9*TblTech[[#This Row],[1-9]] + tech_9_1*TblTech[[#This Row],[9-1]])*archspy_plat,0)</f>
        <v>1000</v>
      </c>
      <c r="BT38" s="97">
        <f ca="1">ROUNDUP((1-MIN(ROUND(wg_wiz_cost_bonus*TblMili[[#This Row],[WG''s]],4),wg_wiz_cost_cap) + tech_1_9_2*TblTech[[#This Row],[1-9]] + tech_9_1_2*TblTech[[#This Row],[9-1]])*wizard_plat,0)</f>
        <v>500</v>
      </c>
      <c r="BU38" s="97">
        <f ca="1">ROUNDUP((1-MIN(ROUND(wg_wiz_cost_bonus*TblMili[[#This Row],[WG''s]],4),wg_wiz_cost_cap) + tech_1_9_2*TblTech[[#This Row],[1-9]] + tech_9_1_2*TblTech[[#This Row],[9-1]])*archmage_plat,0)</f>
        <v>1000</v>
      </c>
      <c r="BV38" s="145"/>
      <c r="BW38" s="160">
        <f ca="1">TblConstr[[#This Row],[Homeland]]/TblConstr[[#This Row],[Land]]</f>
        <v>0.44</v>
      </c>
      <c r="BX38" s="160">
        <f ca="1">TblMili[[#This Row],[WG''s]]</f>
        <v>0</v>
      </c>
      <c r="BY38" s="266">
        <f ca="1">IF(mystic_cap="none",TblMili[[#This Row],[Hill]]/mystic_bonus,MIN(mystic_cap,TblMili[[#This Row],[Hill]]/mystic_bonus))</f>
        <v>2.1999999999999997</v>
      </c>
      <c r="BZ38" s="266">
        <f ca="1">IF(druid_op_cap="none",TblMili[[#This Row],[Hill]]/druid_op_bonus,MIN(druid_op_cap,TblMili[[#This Row],[Hill]]/druid_op_bonus))</f>
        <v>2.1999999999999997</v>
      </c>
      <c r="CA38" s="266">
        <f ca="1">IF(druid_dp_cap="none",TblMili[[#This Row],[Hill]]/druid_dp_bonus,MIN(druid_dp_cap,TblMili[[#This Row],[Hill]]/druid_dp_bonus))</f>
        <v>2.1999999999999997</v>
      </c>
      <c r="CB38" s="266">
        <f ca="1">MIN(dryad_cap,TblMili[[#This Row],[Hill]]/dryad_bonus)</f>
        <v>2.1999999999999997</v>
      </c>
      <c r="CC38" s="266">
        <f ca="1">MIN(rocka_cap,TblMili[[#This Row],[Hill]]/rocka_bonus)</f>
        <v>2</v>
      </c>
      <c r="CD38" s="266">
        <f ca="1">MIN(adept_op_cap,TblMili[[#This Row],[WG]]/adept_op_bonus)</f>
        <v>0</v>
      </c>
      <c r="CE38" s="266">
        <f ca="1">MIN(adept_dp_cap,TblMili[[#This Row],[WG]]/adept_dp_bonus)</f>
        <v>0</v>
      </c>
      <c r="CF38" s="97">
        <f ca="1">MIN(TblMili[[#This Row],[Unit 3]],TblMili[[#This Row],[Unit 2]])*2</f>
        <v>0</v>
      </c>
      <c r="CG38" s="97">
        <f ca="1">MIN(TblMili[[#This Row],[Unit 1]],TblMili[[#This Row],[Unit 4]])*2</f>
        <v>0</v>
      </c>
      <c r="CH38" s="266">
        <f ca="1">MIN(frost_mage_cap,TblMili[[#This Row],[Hill]]/frost_mage_bonus)</f>
        <v>2.1999999999999997</v>
      </c>
      <c r="CI38" s="45">
        <f ca="1">MIN(ice_elem_cap,TblMili[[#This Row],[Raw (2)]]*ice_elem_bonus)</f>
        <v>0.1</v>
      </c>
      <c r="CJ38" s="266">
        <f t="shared" si="2"/>
        <v>0.83333333333333337</v>
      </c>
      <c r="CK38" s="266">
        <f ca="1">MIN(nox_nightshade_cap,TblConstr[[#This Row],[Homeland]]/TblConstr[[#This Row],[Land]]/nox_nightshade_swamp_bonus)</f>
        <v>4</v>
      </c>
      <c r="CL38" s="267"/>
      <c r="CM38" s="267"/>
      <c r="CN38" s="267"/>
      <c r="CO38" s="266">
        <f ca="1">MIN(6,TblMili[[#This Row],[Mystic]]+Races!$F$19)*1.8 +  IF(TblMili[[#This Row],[Mystic]]+Races!$F$19&gt;6,(TblMili[[#This Row],[Mystic]]+Races!$F$19-6)*0.2,0) - Races!$I$19</f>
        <v>3.6399999999999997</v>
      </c>
      <c r="CP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8" s="97">
        <f ca="1">TblMili[[#This Row],[Mystic bonus]]*TblMili[[#This Row],[Unit 3]]+TblMili[[#This Row],[Druid bonus]]*TblMili[[#This Row],[Unit 4]]</f>
        <v>0</v>
      </c>
      <c r="CR38" s="158">
        <f ca="1">MIN(6,TblMili[[#This Row],[Dryad]]+Races!$F$35)*1.8 +  IF(TblMili[[#This Row],[Dryad]]+Races!$F$35&gt;6,(TblMili[[#This Row],[Dryad]]+Races!$F$35-6)*0.2,0) - Races!$I$19</f>
        <v>2.1599999999999993</v>
      </c>
      <c r="CS38" s="97">
        <f ca="1">sylvan*(TblMili[[#This Row],[Mystic bonus]]*TblMili[[#This Row],[Unit 3]])</f>
        <v>0</v>
      </c>
      <c r="CT38" s="158">
        <f ca="1">1.8 * MIN(MAX(Races!$E$27,TblMili[[#This Row],[Rockapult]]+Races!$F$27),6)  +  0.45 * MIN(MIN(Races!$E$27,TblMili[[#This Row],[Rockapult]]+Races!$F$27),6)  +  0.2 * ( MAX(Races!$E$27-6,0) + MAX(TblMili[[#This Row],[Rockapult]]+Races!$F$27-6,0) )  -  Races!$I$20</f>
        <v>5.8500000000000005</v>
      </c>
      <c r="CU38" s="97">
        <f ca="1">gnome*(TblMili[[#This Row],[Rockapult bonus]]*TblMili[[#This Row],[Unit 3]])</f>
        <v>0</v>
      </c>
      <c r="CV38" s="158">
        <f ca="1">1.8 * MIN(MAX(TblMili[[#This Row],[Spellblade]]+Races!$E$47,TblMili[[#This Row],[Adept-DP]]+Races!$F$47),6)  +  0.45 * MIN(MIN(TblMili[[#This Row],[Spellblade]]+Races!$E$47,TblMili[[#This Row],[Adept-DP]]+Races!$F$47),6)  +  0.2 * ( MAX(TblMili[[#This Row],[Spellblade]]+Races!$E$47-6,0) + MAX(TblMili[[#This Row],[Adept-DP]]+Races!$F$47-6,0) )  -  Races!$I$47</f>
        <v>0</v>
      </c>
      <c r="CW38" s="97">
        <f ca="1">dark_elf*(TblMili[[#This Row],[Adept bonus]]*TblMili[[#This Row],[Unit 3]])</f>
        <v>0</v>
      </c>
      <c r="CX38" s="158">
        <f ca="1">1.8 * MIN(MAX(TblMili[[#This Row],[Frost Mage]]+Races!$F$71,Races!$E$71),6)  +  0.45 * MIN(MIN(TblMili[[#This Row],[Frost Mage]]+Races!$F$71,Races!$E$71),6)  +  0.2 * ( MAX(TblMili[[#This Row],[Frost Mage]]+Races!$F$71-6,0) + MAX(Races!$E$71-6,0) )  -  Races!$I$71</f>
        <v>3.9599999999999991</v>
      </c>
      <c r="CY38" s="158">
        <f ca="1">1.8 * MIN(MAX(TblMili[[#This Row],[Ice Elemental]]+Races!$E$71,Races!$F$71),6)  +  0.45 * MIN(MIN(TblMili[[#This Row],[Ice Elemental]]+Races!$E$71,Races!$F$71),6)  +  0.2 * ( MAX(TblMili[[#This Row],[Ice Elemental]]+Races!$E$71-6,0) + MAX(Races!$F$71-6,0) )  -  Races!$I$71</f>
        <v>0.17999999999999972</v>
      </c>
      <c r="CZ38" s="97">
        <f ca="1">TblMili[[#This Row],[Frost Mage bonus]]*TblMili[[#This Row],[Unit 3]]+TblMili[[#This Row],[Ice Elemental bonus]]*TblMili[[#This Row],[Unit 4]]</f>
        <v>0</v>
      </c>
      <c r="DA38" s="268"/>
      <c r="DB38" s="146">
        <f ca="1">MIN(SUM(TblConstr[[#This Row],[Plain]:[Water]])/TblMili[[#This Row],[Land]]/favorable_terrain_bonus/100,favorable_terrain_max)</f>
        <v>0.1</v>
      </c>
      <c r="DC38" s="268"/>
      <c r="DD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8" s="145"/>
      <c r="DF38" s="269">
        <f ca="1">(TblMili[[#This Row],[Wizards]]+2*TblMili[[#This Row],[Archmages]])/TblConstr[[#This Row],[Land]]</f>
        <v>0.1</v>
      </c>
      <c r="DG38" s="269">
        <f ca="1">TblMili[[#This Row],[Raw (2)]]*(1+race_wizard_strength+IF(TblMili[[#This Row],[Hour]]&gt;72,tech_magical_weaponry_wiz*TblTech[[#This Row],[3-5]],0))</f>
        <v>0.1</v>
      </c>
    </row>
    <row r="39" spans="1:111"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45459.458333333248</v>
      </c>
      <c r="AG39" s="182"/>
      <c r="AH39" s="182"/>
      <c r="AI39" s="182"/>
      <c r="AJ39" s="182"/>
      <c r="AK39" s="182"/>
      <c r="AL39" s="182"/>
      <c r="AM39" s="182"/>
      <c r="AN39" s="182"/>
      <c r="AO39" s="449">
        <f ca="1">IF(AND(TblMagic[[#This Row],[Active DnD]]&lt;12,TblMagic[[#This Row],[Active DnD]]&gt;5),OFFSET(TblPop[[#This Row],[Draft Growth]],-1,0)/2,0)</f>
        <v>0</v>
      </c>
      <c r="AP39" s="145"/>
      <c r="AQ39" s="97">
        <f ca="1">TblProd[[#This Row],[Platinum]]</f>
        <v>312888</v>
      </c>
      <c r="AR39" s="97">
        <f ca="1">INDEX(TblProd[[#Headers],[Lumber]]:TblProd[[#This Row],[Ore]],COUNTA(TblProd[[#Headers],[Lumber]]:TblProd[[#This Row],[Lumber]]),MATCH(Military!$AQ$2,TblProd[[#Headers],[Lumber]:[Ore]],0))</f>
        <v>0</v>
      </c>
      <c r="AS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7">
        <f ca="1">TblMili[[#This Row],[Train Unit 1]]*TblMili[[#This Row],[OP Ore]]+TblMili[[#This Row],[Train Unit 2]]*TblMili[[#This Row],[DP Ore]]+TblMili[[#This Row],[Train Unit 3]]*TblMili[[#This Row],[E1 Ore]]+TblMili[[#This Row],[Train Unit 4]]*TblMili[[#This Row],[E2 Ore]]</f>
        <v>0</v>
      </c>
      <c r="AU39" s="145">
        <f>TblMili[[#This Row],[Hour]]</f>
        <v>36</v>
      </c>
      <c r="AV39" s="155">
        <f ca="1">TblMili[[#This Row],[Time]]</f>
        <v>45459.458333333248</v>
      </c>
      <c r="AW39" s="97">
        <f ca="1">TblMili[[#This Row],[Draftees]]</f>
        <v>626</v>
      </c>
      <c r="AX39" s="182"/>
      <c r="AY39" s="182"/>
      <c r="AZ39" s="182"/>
      <c r="BA39" s="182"/>
      <c r="BB39" s="182"/>
      <c r="BC39" s="182"/>
      <c r="BD39" s="182"/>
      <c r="BE39" s="182"/>
      <c r="BF39" s="182"/>
      <c r="BG39" s="145"/>
      <c r="BH39" s="160">
        <f ca="1">TblConstr[[#This Row],[Tot WG]]/TblConstr[[#This Row],[Land]]</f>
        <v>0</v>
      </c>
      <c r="BI39" s="160">
        <f ca="1">TblConstr[[#This Row],[Tot Hav]]/TblConstr[[#This Row],[Land]]</f>
        <v>0</v>
      </c>
      <c r="BJ39" s="97">
        <f ca="1">ROUNDUP((1-MIN(TblMili[[#This Row],[Smithies]]*smithy_bonus,smithy_bonus_cap) + tech_3_5*TblTech[[#This Row],[3-5]] + tech_5_3*TblTech[[#This Row],[5-3]] + tech_5_5*TblTech[[#This Row],[5-5]])*spec_op_plat,0)</f>
        <v>275</v>
      </c>
      <c r="BK39" s="97">
        <f ca="1">ROUNDUP(IF(race="Gnome",1,(1-MIN(TblMili[[#This Row],[Smithies]]*smithy_bonus,smithy_bonus_cap) + tech_3_5*TblTech[[#This Row],[3-5]] + tech_5_3*TblTech[[#This Row],[5-3]] + tech_5_5*TblTech[[#This Row],[5-5]]))*spec_op_ore,0)</f>
        <v>25</v>
      </c>
      <c r="BL39" s="97">
        <f ca="1">ROUNDUP((1-MIN(TblMili[[#This Row],[Smithies]]*smithy_bonus,smithy_bonus_cap) + tech_3_5*TblTech[[#This Row],[3-5]] + tech_5_3*TblTech[[#This Row],[5-3]] + tech_5_5*TblTech[[#This Row],[5-5]])*spec_dp_plat,0)</f>
        <v>275</v>
      </c>
      <c r="BM39" s="97">
        <f ca="1">ROUNDUP(IF(race="Gnome",1,(1-MIN(TblMili[[#This Row],[Smithies]]*smithy_bonus,smithy_bonus_cap) + tech_3_5*TblTech[[#This Row],[3-5]] + tech_5_3*TblTech[[#This Row],[5-3]] + tech_5_5*TblTech[[#This Row],[5-5]]))*spec_dp_ore,0)</f>
        <v>15</v>
      </c>
      <c r="BN39" s="97">
        <f ca="1">ROUNDUP((1-MIN(TblMili[[#This Row],[Smithies]]*smithy_bonus,smithy_bonus_cap) + tech_3_5*TblTech[[#This Row],[3-5]] + tech_5_3*TblTech[[#This Row],[5-3]] + tech_5_5*TblTech[[#This Row],[5-5]])*elite1_plat,0)</f>
        <v>1000</v>
      </c>
      <c r="BO39" s="97">
        <f ca="1">ROUNDUP(IF(race="Gnome",1,(1-MIN(TblMili[[#This Row],[Smithies]]*smithy_bonus,smithy_bonus_cap) + tech_3_5*TblTech[[#This Row],[3-5]] + tech_5_3*TblTech[[#This Row],[5-3]] + tech_5_5*TblTech[[#This Row],[5-5]]))*elite1_ore,0)</f>
        <v>75</v>
      </c>
      <c r="BP39" s="97">
        <f ca="1">ROUNDUP((1-MIN(TblMili[[#This Row],[Smithies]]*smithy_bonus,smithy_bonus_cap) + tech_3_5*TblTech[[#This Row],[3-5]] + tech_5_3*TblTech[[#This Row],[5-3]] + tech_5_5*TblTech[[#This Row],[5-5]])*elite2_plat,0)</f>
        <v>1250</v>
      </c>
      <c r="BQ39" s="97">
        <f ca="1">ROUNDUP(IF(race="Gnome",1,(1-MIN(TblMili[[#This Row],[Smithies]]*smithy_bonus,smithy_bonus_cap) + tech_3_5*TblTech[[#This Row],[3-5]] + tech_5_3*TblTech[[#This Row],[5-3]] + tech_5_5*TblTech[[#This Row],[5-5]]))*elite2_ore,0)</f>
        <v>100</v>
      </c>
      <c r="BR39" s="97">
        <f ca="1">ROUNDUP((1-MIN(ROUND(fh_spy_cost_red*TblMili[[#This Row],[FH''s]],4),fh_spy_cost_cap)+ tech_1_9*TblTech[[#This Row],[1-9]] + tech_9_1*TblTech[[#This Row],[9-1]])*spy_plat,0)</f>
        <v>500</v>
      </c>
      <c r="BS39" s="97">
        <f ca="1">ROUNDUP((1-MIN(ROUND(fh_spy_cost_red*TblMili[[#This Row],[FH''s]],4),fh_spy_cost_cap)+ tech_1_9*TblTech[[#This Row],[1-9]] + tech_9_1*TblTech[[#This Row],[9-1]])*archspy_plat,0)</f>
        <v>1000</v>
      </c>
      <c r="BT39" s="97">
        <f ca="1">ROUNDUP((1-MIN(ROUND(wg_wiz_cost_bonus*TblMili[[#This Row],[WG''s]],4),wg_wiz_cost_cap) + tech_1_9_2*TblTech[[#This Row],[1-9]] + tech_9_1_2*TblTech[[#This Row],[9-1]])*wizard_plat,0)</f>
        <v>500</v>
      </c>
      <c r="BU39" s="97">
        <f ca="1">ROUNDUP((1-MIN(ROUND(wg_wiz_cost_bonus*TblMili[[#This Row],[WG''s]],4),wg_wiz_cost_cap) + tech_1_9_2*TblTech[[#This Row],[1-9]] + tech_9_1_2*TblTech[[#This Row],[9-1]])*archmage_plat,0)</f>
        <v>1000</v>
      </c>
      <c r="BV39" s="145"/>
      <c r="BW39" s="160">
        <f ca="1">TblConstr[[#This Row],[Homeland]]/TblConstr[[#This Row],[Land]]</f>
        <v>0.44</v>
      </c>
      <c r="BX39" s="160">
        <f ca="1">TblMili[[#This Row],[WG''s]]</f>
        <v>0</v>
      </c>
      <c r="BY39" s="266">
        <f ca="1">IF(mystic_cap="none",TblMili[[#This Row],[Hill]]/mystic_bonus,MIN(mystic_cap,TblMili[[#This Row],[Hill]]/mystic_bonus))</f>
        <v>2.1999999999999997</v>
      </c>
      <c r="BZ39" s="266">
        <f ca="1">IF(druid_op_cap="none",TblMili[[#This Row],[Hill]]/druid_op_bonus,MIN(druid_op_cap,TblMili[[#This Row],[Hill]]/druid_op_bonus))</f>
        <v>2.1999999999999997</v>
      </c>
      <c r="CA39" s="266">
        <f ca="1">IF(druid_dp_cap="none",TblMili[[#This Row],[Hill]]/druid_dp_bonus,MIN(druid_dp_cap,TblMili[[#This Row],[Hill]]/druid_dp_bonus))</f>
        <v>2.1999999999999997</v>
      </c>
      <c r="CB39" s="266">
        <f ca="1">MIN(dryad_cap,TblMili[[#This Row],[Hill]]/dryad_bonus)</f>
        <v>2.1999999999999997</v>
      </c>
      <c r="CC39" s="266">
        <f ca="1">MIN(rocka_cap,TblMili[[#This Row],[Hill]]/rocka_bonus)</f>
        <v>2</v>
      </c>
      <c r="CD39" s="266">
        <f ca="1">MIN(adept_op_cap,TblMili[[#This Row],[WG]]/adept_op_bonus)</f>
        <v>0</v>
      </c>
      <c r="CE39" s="266">
        <f ca="1">MIN(adept_dp_cap,TblMili[[#This Row],[WG]]/adept_dp_bonus)</f>
        <v>0</v>
      </c>
      <c r="CF39" s="97">
        <f ca="1">MIN(TblMili[[#This Row],[Unit 3]],TblMili[[#This Row],[Unit 2]])*2</f>
        <v>0</v>
      </c>
      <c r="CG39" s="97">
        <f ca="1">MIN(TblMili[[#This Row],[Unit 1]],TblMili[[#This Row],[Unit 4]])*2</f>
        <v>0</v>
      </c>
      <c r="CH39" s="266">
        <f ca="1">MIN(frost_mage_cap,TblMili[[#This Row],[Hill]]/frost_mage_bonus)</f>
        <v>2.1999999999999997</v>
      </c>
      <c r="CI39" s="45">
        <f ca="1">MIN(ice_elem_cap,TblMili[[#This Row],[Raw (2)]]*ice_elem_bonus)</f>
        <v>0.1</v>
      </c>
      <c r="CJ39" s="266">
        <f t="shared" si="2"/>
        <v>0.83333333333333337</v>
      </c>
      <c r="CK39" s="266">
        <f ca="1">MIN(nox_nightshade_cap,TblConstr[[#This Row],[Homeland]]/TblConstr[[#This Row],[Land]]/nox_nightshade_swamp_bonus)</f>
        <v>4</v>
      </c>
      <c r="CL39" s="267"/>
      <c r="CM39" s="267"/>
      <c r="CN39" s="267"/>
      <c r="CO39" s="266">
        <f ca="1">MIN(6,TblMili[[#This Row],[Mystic]]+Races!$F$19)*1.8 +  IF(TblMili[[#This Row],[Mystic]]+Races!$F$19&gt;6,(TblMili[[#This Row],[Mystic]]+Races!$F$19-6)*0.2,0) - Races!$I$19</f>
        <v>3.6399999999999997</v>
      </c>
      <c r="CP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9" s="97">
        <f ca="1">TblMili[[#This Row],[Mystic bonus]]*TblMili[[#This Row],[Unit 3]]+TblMili[[#This Row],[Druid bonus]]*TblMili[[#This Row],[Unit 4]]</f>
        <v>0</v>
      </c>
      <c r="CR39" s="158">
        <f ca="1">MIN(6,TblMili[[#This Row],[Dryad]]+Races!$F$35)*1.8 +  IF(TblMili[[#This Row],[Dryad]]+Races!$F$35&gt;6,(TblMili[[#This Row],[Dryad]]+Races!$F$35-6)*0.2,0) - Races!$I$19</f>
        <v>2.1599999999999993</v>
      </c>
      <c r="CS39" s="97">
        <f ca="1">sylvan*(TblMili[[#This Row],[Mystic bonus]]*TblMili[[#This Row],[Unit 3]])</f>
        <v>0</v>
      </c>
      <c r="CT39" s="158">
        <f ca="1">1.8 * MIN(MAX(Races!$E$27,TblMili[[#This Row],[Rockapult]]+Races!$F$27),6)  +  0.45 * MIN(MIN(Races!$E$27,TblMili[[#This Row],[Rockapult]]+Races!$F$27),6)  +  0.2 * ( MAX(Races!$E$27-6,0) + MAX(TblMili[[#This Row],[Rockapult]]+Races!$F$27-6,0) )  -  Races!$I$20</f>
        <v>5.8500000000000005</v>
      </c>
      <c r="CU39" s="97">
        <f ca="1">gnome*(TblMili[[#This Row],[Rockapult bonus]]*TblMili[[#This Row],[Unit 3]])</f>
        <v>0</v>
      </c>
      <c r="CV39" s="158">
        <f ca="1">1.8 * MIN(MAX(TblMili[[#This Row],[Spellblade]]+Races!$E$47,TblMili[[#This Row],[Adept-DP]]+Races!$F$47),6)  +  0.45 * MIN(MIN(TblMili[[#This Row],[Spellblade]]+Races!$E$47,TblMili[[#This Row],[Adept-DP]]+Races!$F$47),6)  +  0.2 * ( MAX(TblMili[[#This Row],[Spellblade]]+Races!$E$47-6,0) + MAX(TblMili[[#This Row],[Adept-DP]]+Races!$F$47-6,0) )  -  Races!$I$47</f>
        <v>0</v>
      </c>
      <c r="CW39" s="97">
        <f ca="1">dark_elf*(TblMili[[#This Row],[Adept bonus]]*TblMili[[#This Row],[Unit 3]])</f>
        <v>0</v>
      </c>
      <c r="CX39" s="158">
        <f ca="1">1.8 * MIN(MAX(TblMili[[#This Row],[Frost Mage]]+Races!$F$71,Races!$E$71),6)  +  0.45 * MIN(MIN(TblMili[[#This Row],[Frost Mage]]+Races!$F$71,Races!$E$71),6)  +  0.2 * ( MAX(TblMili[[#This Row],[Frost Mage]]+Races!$F$71-6,0) + MAX(Races!$E$71-6,0) )  -  Races!$I$71</f>
        <v>3.9599999999999991</v>
      </c>
      <c r="CY39" s="158">
        <f ca="1">1.8 * MIN(MAX(TblMili[[#This Row],[Ice Elemental]]+Races!$E$71,Races!$F$71),6)  +  0.45 * MIN(MIN(TblMili[[#This Row],[Ice Elemental]]+Races!$E$71,Races!$F$71),6)  +  0.2 * ( MAX(TblMili[[#This Row],[Ice Elemental]]+Races!$E$71-6,0) + MAX(Races!$F$71-6,0) )  -  Races!$I$71</f>
        <v>0.17999999999999972</v>
      </c>
      <c r="CZ39" s="97">
        <f ca="1">TblMili[[#This Row],[Frost Mage bonus]]*TblMili[[#This Row],[Unit 3]]+TblMili[[#This Row],[Ice Elemental bonus]]*TblMili[[#This Row],[Unit 4]]</f>
        <v>0</v>
      </c>
      <c r="DA39" s="268"/>
      <c r="DB39" s="146">
        <f ca="1">MIN(SUM(TblConstr[[#This Row],[Plain]:[Water]])/TblMili[[#This Row],[Land]]/favorable_terrain_bonus/100,favorable_terrain_max)</f>
        <v>0.1</v>
      </c>
      <c r="DC39" s="268"/>
      <c r="DD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9" s="145"/>
      <c r="DF39" s="269">
        <f ca="1">(TblMili[[#This Row],[Wizards]]+2*TblMili[[#This Row],[Archmages]])/TblConstr[[#This Row],[Land]]</f>
        <v>0.1</v>
      </c>
      <c r="DG39" s="269">
        <f ca="1">TblMili[[#This Row],[Raw (2)]]*(1+race_wizard_strength+IF(TblMili[[#This Row],[Hour]]&gt;72,tech_magical_weaponry_wiz*TblTech[[#This Row],[3-5]],0))</f>
        <v>0.1</v>
      </c>
    </row>
    <row r="40" spans="1:111"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45459.499999999913</v>
      </c>
      <c r="AG40" s="182"/>
      <c r="AH40" s="182"/>
      <c r="AI40" s="182"/>
      <c r="AJ40" s="182"/>
      <c r="AK40" s="182"/>
      <c r="AL40" s="182"/>
      <c r="AM40" s="182"/>
      <c r="AN40" s="182"/>
      <c r="AO40" s="449">
        <f ca="1">IF(AND(TblMagic[[#This Row],[Active DnD]]&lt;12,TblMagic[[#This Row],[Active DnD]]&gt;5),OFFSET(TblPop[[#This Row],[Draft Growth]],-1,0)/2,0)</f>
        <v>0</v>
      </c>
      <c r="AP40" s="145"/>
      <c r="AQ40" s="97">
        <f ca="1">TblProd[[#This Row],[Platinum]]</f>
        <v>318374</v>
      </c>
      <c r="AR40" s="97">
        <f ca="1">INDEX(TblProd[[#Headers],[Lumber]]:TblProd[[#This Row],[Ore]],COUNTA(TblProd[[#Headers],[Lumber]]:TblProd[[#This Row],[Lumber]]),MATCH(Military!$AQ$2,TblProd[[#Headers],[Lumber]:[Ore]],0))</f>
        <v>0</v>
      </c>
      <c r="AS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7">
        <f ca="1">TblMili[[#This Row],[Train Unit 1]]*TblMili[[#This Row],[OP Ore]]+TblMili[[#This Row],[Train Unit 2]]*TblMili[[#This Row],[DP Ore]]+TblMili[[#This Row],[Train Unit 3]]*TblMili[[#This Row],[E1 Ore]]+TblMili[[#This Row],[Train Unit 4]]*TblMili[[#This Row],[E2 Ore]]</f>
        <v>0</v>
      </c>
      <c r="AU40" s="145">
        <f>TblMili[[#This Row],[Hour]]</f>
        <v>37</v>
      </c>
      <c r="AV40" s="155">
        <f ca="1">TblMili[[#This Row],[Time]]</f>
        <v>45459.499999999913</v>
      </c>
      <c r="AW40" s="97">
        <f ca="1">TblMili[[#This Row],[Draftees]]</f>
        <v>626</v>
      </c>
      <c r="AX40" s="182"/>
      <c r="AY40" s="182"/>
      <c r="AZ40" s="182"/>
      <c r="BA40" s="182"/>
      <c r="BB40" s="182"/>
      <c r="BC40" s="182"/>
      <c r="BD40" s="182"/>
      <c r="BE40" s="182"/>
      <c r="BF40" s="182"/>
      <c r="BG40" s="145"/>
      <c r="BH40" s="160">
        <f ca="1">TblConstr[[#This Row],[Tot WG]]/TblConstr[[#This Row],[Land]]</f>
        <v>0</v>
      </c>
      <c r="BI40" s="160">
        <f ca="1">TblConstr[[#This Row],[Tot Hav]]/TblConstr[[#This Row],[Land]]</f>
        <v>0</v>
      </c>
      <c r="BJ40" s="97">
        <f ca="1">ROUNDUP((1-MIN(TblMili[[#This Row],[Smithies]]*smithy_bonus,smithy_bonus_cap) + tech_3_5*TblTech[[#This Row],[3-5]] + tech_5_3*TblTech[[#This Row],[5-3]] + tech_5_5*TblTech[[#This Row],[5-5]])*spec_op_plat,0)</f>
        <v>275</v>
      </c>
      <c r="BK40" s="97">
        <f ca="1">ROUNDUP(IF(race="Gnome",1,(1-MIN(TblMili[[#This Row],[Smithies]]*smithy_bonus,smithy_bonus_cap) + tech_3_5*TblTech[[#This Row],[3-5]] + tech_5_3*TblTech[[#This Row],[5-3]] + tech_5_5*TblTech[[#This Row],[5-5]]))*spec_op_ore,0)</f>
        <v>25</v>
      </c>
      <c r="BL40" s="97">
        <f ca="1">ROUNDUP((1-MIN(TblMili[[#This Row],[Smithies]]*smithy_bonus,smithy_bonus_cap) + tech_3_5*TblTech[[#This Row],[3-5]] + tech_5_3*TblTech[[#This Row],[5-3]] + tech_5_5*TblTech[[#This Row],[5-5]])*spec_dp_plat,0)</f>
        <v>275</v>
      </c>
      <c r="BM40" s="97">
        <f ca="1">ROUNDUP(IF(race="Gnome",1,(1-MIN(TblMili[[#This Row],[Smithies]]*smithy_bonus,smithy_bonus_cap) + tech_3_5*TblTech[[#This Row],[3-5]] + tech_5_3*TblTech[[#This Row],[5-3]] + tech_5_5*TblTech[[#This Row],[5-5]]))*spec_dp_ore,0)</f>
        <v>15</v>
      </c>
      <c r="BN40" s="97">
        <f ca="1">ROUNDUP((1-MIN(TblMili[[#This Row],[Smithies]]*smithy_bonus,smithy_bonus_cap) + tech_3_5*TblTech[[#This Row],[3-5]] + tech_5_3*TblTech[[#This Row],[5-3]] + tech_5_5*TblTech[[#This Row],[5-5]])*elite1_plat,0)</f>
        <v>1000</v>
      </c>
      <c r="BO40" s="97">
        <f ca="1">ROUNDUP(IF(race="Gnome",1,(1-MIN(TblMili[[#This Row],[Smithies]]*smithy_bonus,smithy_bonus_cap) + tech_3_5*TblTech[[#This Row],[3-5]] + tech_5_3*TblTech[[#This Row],[5-3]] + tech_5_5*TblTech[[#This Row],[5-5]]))*elite1_ore,0)</f>
        <v>75</v>
      </c>
      <c r="BP40" s="97">
        <f ca="1">ROUNDUP((1-MIN(TblMili[[#This Row],[Smithies]]*smithy_bonus,smithy_bonus_cap) + tech_3_5*TblTech[[#This Row],[3-5]] + tech_5_3*TblTech[[#This Row],[5-3]] + tech_5_5*TblTech[[#This Row],[5-5]])*elite2_plat,0)</f>
        <v>1250</v>
      </c>
      <c r="BQ40" s="97">
        <f ca="1">ROUNDUP(IF(race="Gnome",1,(1-MIN(TblMili[[#This Row],[Smithies]]*smithy_bonus,smithy_bonus_cap) + tech_3_5*TblTech[[#This Row],[3-5]] + tech_5_3*TblTech[[#This Row],[5-3]] + tech_5_5*TblTech[[#This Row],[5-5]]))*elite2_ore,0)</f>
        <v>100</v>
      </c>
      <c r="BR40" s="97">
        <f ca="1">ROUNDUP((1-MIN(ROUND(fh_spy_cost_red*TblMili[[#This Row],[FH''s]],4),fh_spy_cost_cap)+ tech_1_9*TblTech[[#This Row],[1-9]] + tech_9_1*TblTech[[#This Row],[9-1]])*spy_plat,0)</f>
        <v>500</v>
      </c>
      <c r="BS40" s="97">
        <f ca="1">ROUNDUP((1-MIN(ROUND(fh_spy_cost_red*TblMili[[#This Row],[FH''s]],4),fh_spy_cost_cap)+ tech_1_9*TblTech[[#This Row],[1-9]] + tech_9_1*TblTech[[#This Row],[9-1]])*archspy_plat,0)</f>
        <v>1000</v>
      </c>
      <c r="BT40" s="97">
        <f ca="1">ROUNDUP((1-MIN(ROUND(wg_wiz_cost_bonus*TblMili[[#This Row],[WG''s]],4),wg_wiz_cost_cap) + tech_1_9_2*TblTech[[#This Row],[1-9]] + tech_9_1_2*TblTech[[#This Row],[9-1]])*wizard_plat,0)</f>
        <v>500</v>
      </c>
      <c r="BU40" s="97">
        <f ca="1">ROUNDUP((1-MIN(ROUND(wg_wiz_cost_bonus*TblMili[[#This Row],[WG''s]],4),wg_wiz_cost_cap) + tech_1_9_2*TblTech[[#This Row],[1-9]] + tech_9_1_2*TblTech[[#This Row],[9-1]])*archmage_plat,0)</f>
        <v>1000</v>
      </c>
      <c r="BV40" s="145"/>
      <c r="BW40" s="160">
        <f ca="1">TblConstr[[#This Row],[Homeland]]/TblConstr[[#This Row],[Land]]</f>
        <v>0.44</v>
      </c>
      <c r="BX40" s="160">
        <f ca="1">TblMili[[#This Row],[WG''s]]</f>
        <v>0</v>
      </c>
      <c r="BY40" s="266">
        <f ca="1">IF(mystic_cap="none",TblMili[[#This Row],[Hill]]/mystic_bonus,MIN(mystic_cap,TblMili[[#This Row],[Hill]]/mystic_bonus))</f>
        <v>2.1999999999999997</v>
      </c>
      <c r="BZ40" s="266">
        <f ca="1">IF(druid_op_cap="none",TblMili[[#This Row],[Hill]]/druid_op_bonus,MIN(druid_op_cap,TblMili[[#This Row],[Hill]]/druid_op_bonus))</f>
        <v>2.1999999999999997</v>
      </c>
      <c r="CA40" s="266">
        <f ca="1">IF(druid_dp_cap="none",TblMili[[#This Row],[Hill]]/druid_dp_bonus,MIN(druid_dp_cap,TblMili[[#This Row],[Hill]]/druid_dp_bonus))</f>
        <v>2.1999999999999997</v>
      </c>
      <c r="CB40" s="266">
        <f ca="1">MIN(dryad_cap,TblMili[[#This Row],[Hill]]/dryad_bonus)</f>
        <v>2.1999999999999997</v>
      </c>
      <c r="CC40" s="266">
        <f ca="1">MIN(rocka_cap,TblMili[[#This Row],[Hill]]/rocka_bonus)</f>
        <v>2</v>
      </c>
      <c r="CD40" s="266">
        <f ca="1">MIN(adept_op_cap,TblMili[[#This Row],[WG]]/adept_op_bonus)</f>
        <v>0</v>
      </c>
      <c r="CE40" s="266">
        <f ca="1">MIN(adept_dp_cap,TblMili[[#This Row],[WG]]/adept_dp_bonus)</f>
        <v>0</v>
      </c>
      <c r="CF40" s="97">
        <f ca="1">MIN(TblMili[[#This Row],[Unit 3]],TblMili[[#This Row],[Unit 2]])*2</f>
        <v>0</v>
      </c>
      <c r="CG40" s="97">
        <f ca="1">MIN(TblMili[[#This Row],[Unit 1]],TblMili[[#This Row],[Unit 4]])*2</f>
        <v>0</v>
      </c>
      <c r="CH40" s="266">
        <f ca="1">MIN(frost_mage_cap,TblMili[[#This Row],[Hill]]/frost_mage_bonus)</f>
        <v>2.1999999999999997</v>
      </c>
      <c r="CI40" s="45">
        <f ca="1">MIN(ice_elem_cap,TblMili[[#This Row],[Raw (2)]]*ice_elem_bonus)</f>
        <v>0.1</v>
      </c>
      <c r="CJ40" s="266">
        <f t="shared" si="2"/>
        <v>0.83333333333333337</v>
      </c>
      <c r="CK40" s="266">
        <f ca="1">MIN(nox_nightshade_cap,TblConstr[[#This Row],[Homeland]]/TblConstr[[#This Row],[Land]]/nox_nightshade_swamp_bonus)</f>
        <v>4</v>
      </c>
      <c r="CL40" s="267"/>
      <c r="CM40" s="267"/>
      <c r="CN40" s="267"/>
      <c r="CO40" s="266">
        <f ca="1">MIN(6,TblMili[[#This Row],[Mystic]]+Races!$F$19)*1.8 +  IF(TblMili[[#This Row],[Mystic]]+Races!$F$19&gt;6,(TblMili[[#This Row],[Mystic]]+Races!$F$19-6)*0.2,0) - Races!$I$19</f>
        <v>3.6399999999999997</v>
      </c>
      <c r="CP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0" s="97">
        <f ca="1">TblMili[[#This Row],[Mystic bonus]]*TblMili[[#This Row],[Unit 3]]+TblMili[[#This Row],[Druid bonus]]*TblMili[[#This Row],[Unit 4]]</f>
        <v>0</v>
      </c>
      <c r="CR40" s="158">
        <f ca="1">MIN(6,TblMili[[#This Row],[Dryad]]+Races!$F$35)*1.8 +  IF(TblMili[[#This Row],[Dryad]]+Races!$F$35&gt;6,(TblMili[[#This Row],[Dryad]]+Races!$F$35-6)*0.2,0) - Races!$I$19</f>
        <v>2.1599999999999993</v>
      </c>
      <c r="CS40" s="97">
        <f ca="1">sylvan*(TblMili[[#This Row],[Mystic bonus]]*TblMili[[#This Row],[Unit 3]])</f>
        <v>0</v>
      </c>
      <c r="CT40" s="158">
        <f ca="1">1.8 * MIN(MAX(Races!$E$27,TblMili[[#This Row],[Rockapult]]+Races!$F$27),6)  +  0.45 * MIN(MIN(Races!$E$27,TblMili[[#This Row],[Rockapult]]+Races!$F$27),6)  +  0.2 * ( MAX(Races!$E$27-6,0) + MAX(TblMili[[#This Row],[Rockapult]]+Races!$F$27-6,0) )  -  Races!$I$20</f>
        <v>5.8500000000000005</v>
      </c>
      <c r="CU40" s="97">
        <f ca="1">gnome*(TblMili[[#This Row],[Rockapult bonus]]*TblMili[[#This Row],[Unit 3]])</f>
        <v>0</v>
      </c>
      <c r="CV40" s="158">
        <f ca="1">1.8 * MIN(MAX(TblMili[[#This Row],[Spellblade]]+Races!$E$47,TblMili[[#This Row],[Adept-DP]]+Races!$F$47),6)  +  0.45 * MIN(MIN(TblMili[[#This Row],[Spellblade]]+Races!$E$47,TblMili[[#This Row],[Adept-DP]]+Races!$F$47),6)  +  0.2 * ( MAX(TblMili[[#This Row],[Spellblade]]+Races!$E$47-6,0) + MAX(TblMili[[#This Row],[Adept-DP]]+Races!$F$47-6,0) )  -  Races!$I$47</f>
        <v>0</v>
      </c>
      <c r="CW40" s="97">
        <f ca="1">dark_elf*(TblMili[[#This Row],[Adept bonus]]*TblMili[[#This Row],[Unit 3]])</f>
        <v>0</v>
      </c>
      <c r="CX40" s="158">
        <f ca="1">1.8 * MIN(MAX(TblMili[[#This Row],[Frost Mage]]+Races!$F$71,Races!$E$71),6)  +  0.45 * MIN(MIN(TblMili[[#This Row],[Frost Mage]]+Races!$F$71,Races!$E$71),6)  +  0.2 * ( MAX(TblMili[[#This Row],[Frost Mage]]+Races!$F$71-6,0) + MAX(Races!$E$71-6,0) )  -  Races!$I$71</f>
        <v>3.9599999999999991</v>
      </c>
      <c r="CY40" s="158">
        <f ca="1">1.8 * MIN(MAX(TblMili[[#This Row],[Ice Elemental]]+Races!$E$71,Races!$F$71),6)  +  0.45 * MIN(MIN(TblMili[[#This Row],[Ice Elemental]]+Races!$E$71,Races!$F$71),6)  +  0.2 * ( MAX(TblMili[[#This Row],[Ice Elemental]]+Races!$E$71-6,0) + MAX(Races!$F$71-6,0) )  -  Races!$I$71</f>
        <v>0.17999999999999972</v>
      </c>
      <c r="CZ40" s="97">
        <f ca="1">TblMili[[#This Row],[Frost Mage bonus]]*TblMili[[#This Row],[Unit 3]]+TblMili[[#This Row],[Ice Elemental bonus]]*TblMili[[#This Row],[Unit 4]]</f>
        <v>0</v>
      </c>
      <c r="DA40" s="268"/>
      <c r="DB40" s="146">
        <f ca="1">MIN(SUM(TblConstr[[#This Row],[Plain]:[Water]])/TblMili[[#This Row],[Land]]/favorable_terrain_bonus/100,favorable_terrain_max)</f>
        <v>0.1</v>
      </c>
      <c r="DC40" s="268"/>
      <c r="DD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0" s="145"/>
      <c r="DF40" s="269">
        <f ca="1">(TblMili[[#This Row],[Wizards]]+2*TblMili[[#This Row],[Archmages]])/TblConstr[[#This Row],[Land]]</f>
        <v>0.1</v>
      </c>
      <c r="DG40" s="269">
        <f ca="1">TblMili[[#This Row],[Raw (2)]]*(1+race_wizard_strength+IF(TblMili[[#This Row],[Hour]]&gt;72,tech_magical_weaponry_wiz*TblTech[[#This Row],[3-5]],0))</f>
        <v>0.1</v>
      </c>
    </row>
    <row r="41" spans="1:111"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45459.541666666577</v>
      </c>
      <c r="AG41" s="182"/>
      <c r="AH41" s="182"/>
      <c r="AI41" s="182"/>
      <c r="AJ41" s="182"/>
      <c r="AK41" s="182"/>
      <c r="AL41" s="182"/>
      <c r="AM41" s="182"/>
      <c r="AN41" s="182"/>
      <c r="AO41" s="449">
        <f ca="1">IF(AND(TblMagic[[#This Row],[Active DnD]]&lt;12,TblMagic[[#This Row],[Active DnD]]&gt;5),OFFSET(TblPop[[#This Row],[Draft Growth]],-1,0)/2,0)</f>
        <v>0</v>
      </c>
      <c r="AP41" s="145"/>
      <c r="AQ41" s="97">
        <f ca="1">TblProd[[#This Row],[Platinum]]</f>
        <v>323860</v>
      </c>
      <c r="AR41" s="97">
        <f ca="1">INDEX(TblProd[[#Headers],[Lumber]]:TblProd[[#This Row],[Ore]],COUNTA(TblProd[[#Headers],[Lumber]]:TblProd[[#This Row],[Lumber]]),MATCH(Military!$AQ$2,TblProd[[#Headers],[Lumber]:[Ore]],0))</f>
        <v>0</v>
      </c>
      <c r="AS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7">
        <f ca="1">TblMili[[#This Row],[Train Unit 1]]*TblMili[[#This Row],[OP Ore]]+TblMili[[#This Row],[Train Unit 2]]*TblMili[[#This Row],[DP Ore]]+TblMili[[#This Row],[Train Unit 3]]*TblMili[[#This Row],[E1 Ore]]+TblMili[[#This Row],[Train Unit 4]]*TblMili[[#This Row],[E2 Ore]]</f>
        <v>0</v>
      </c>
      <c r="AU41" s="145">
        <f>TblMili[[#This Row],[Hour]]</f>
        <v>38</v>
      </c>
      <c r="AV41" s="155">
        <f ca="1">TblMili[[#This Row],[Time]]</f>
        <v>45459.541666666577</v>
      </c>
      <c r="AW41" s="97">
        <f ca="1">TblMili[[#This Row],[Draftees]]</f>
        <v>626</v>
      </c>
      <c r="AX41" s="182"/>
      <c r="AY41" s="182"/>
      <c r="AZ41" s="182"/>
      <c r="BA41" s="182"/>
      <c r="BB41" s="182"/>
      <c r="BC41" s="182"/>
      <c r="BD41" s="182"/>
      <c r="BE41" s="182"/>
      <c r="BF41" s="182"/>
      <c r="BG41" s="145"/>
      <c r="BH41" s="160">
        <f ca="1">TblConstr[[#This Row],[Tot WG]]/TblConstr[[#This Row],[Land]]</f>
        <v>0</v>
      </c>
      <c r="BI41" s="160">
        <f ca="1">TblConstr[[#This Row],[Tot Hav]]/TblConstr[[#This Row],[Land]]</f>
        <v>0</v>
      </c>
      <c r="BJ41" s="97">
        <f ca="1">ROUNDUP((1-MIN(TblMili[[#This Row],[Smithies]]*smithy_bonus,smithy_bonus_cap) + tech_3_5*TblTech[[#This Row],[3-5]] + tech_5_3*TblTech[[#This Row],[5-3]] + tech_5_5*TblTech[[#This Row],[5-5]])*spec_op_plat,0)</f>
        <v>275</v>
      </c>
      <c r="BK41" s="97">
        <f ca="1">ROUNDUP(IF(race="Gnome",1,(1-MIN(TblMili[[#This Row],[Smithies]]*smithy_bonus,smithy_bonus_cap) + tech_3_5*TblTech[[#This Row],[3-5]] + tech_5_3*TblTech[[#This Row],[5-3]] + tech_5_5*TblTech[[#This Row],[5-5]]))*spec_op_ore,0)</f>
        <v>25</v>
      </c>
      <c r="BL41" s="97">
        <f ca="1">ROUNDUP((1-MIN(TblMili[[#This Row],[Smithies]]*smithy_bonus,smithy_bonus_cap) + tech_3_5*TblTech[[#This Row],[3-5]] + tech_5_3*TblTech[[#This Row],[5-3]] + tech_5_5*TblTech[[#This Row],[5-5]])*spec_dp_plat,0)</f>
        <v>275</v>
      </c>
      <c r="BM41" s="97">
        <f ca="1">ROUNDUP(IF(race="Gnome",1,(1-MIN(TblMili[[#This Row],[Smithies]]*smithy_bonus,smithy_bonus_cap) + tech_3_5*TblTech[[#This Row],[3-5]] + tech_5_3*TblTech[[#This Row],[5-3]] + tech_5_5*TblTech[[#This Row],[5-5]]))*spec_dp_ore,0)</f>
        <v>15</v>
      </c>
      <c r="BN41" s="97">
        <f ca="1">ROUNDUP((1-MIN(TblMili[[#This Row],[Smithies]]*smithy_bonus,smithy_bonus_cap) + tech_3_5*TblTech[[#This Row],[3-5]] + tech_5_3*TblTech[[#This Row],[5-3]] + tech_5_5*TblTech[[#This Row],[5-5]])*elite1_plat,0)</f>
        <v>1000</v>
      </c>
      <c r="BO41" s="97">
        <f ca="1">ROUNDUP(IF(race="Gnome",1,(1-MIN(TblMili[[#This Row],[Smithies]]*smithy_bonus,smithy_bonus_cap) + tech_3_5*TblTech[[#This Row],[3-5]] + tech_5_3*TblTech[[#This Row],[5-3]] + tech_5_5*TblTech[[#This Row],[5-5]]))*elite1_ore,0)</f>
        <v>75</v>
      </c>
      <c r="BP41" s="97">
        <f ca="1">ROUNDUP((1-MIN(TblMili[[#This Row],[Smithies]]*smithy_bonus,smithy_bonus_cap) + tech_3_5*TblTech[[#This Row],[3-5]] + tech_5_3*TblTech[[#This Row],[5-3]] + tech_5_5*TblTech[[#This Row],[5-5]])*elite2_plat,0)</f>
        <v>1250</v>
      </c>
      <c r="BQ41" s="97">
        <f ca="1">ROUNDUP(IF(race="Gnome",1,(1-MIN(TblMili[[#This Row],[Smithies]]*smithy_bonus,smithy_bonus_cap) + tech_3_5*TblTech[[#This Row],[3-5]] + tech_5_3*TblTech[[#This Row],[5-3]] + tech_5_5*TblTech[[#This Row],[5-5]]))*elite2_ore,0)</f>
        <v>100</v>
      </c>
      <c r="BR41" s="97">
        <f ca="1">ROUNDUP((1-MIN(ROUND(fh_spy_cost_red*TblMili[[#This Row],[FH''s]],4),fh_spy_cost_cap)+ tech_1_9*TblTech[[#This Row],[1-9]] + tech_9_1*TblTech[[#This Row],[9-1]])*spy_plat,0)</f>
        <v>500</v>
      </c>
      <c r="BS41" s="97">
        <f ca="1">ROUNDUP((1-MIN(ROUND(fh_spy_cost_red*TblMili[[#This Row],[FH''s]],4),fh_spy_cost_cap)+ tech_1_9*TblTech[[#This Row],[1-9]] + tech_9_1*TblTech[[#This Row],[9-1]])*archspy_plat,0)</f>
        <v>1000</v>
      </c>
      <c r="BT41" s="97">
        <f ca="1">ROUNDUP((1-MIN(ROUND(wg_wiz_cost_bonus*TblMili[[#This Row],[WG''s]],4),wg_wiz_cost_cap) + tech_1_9_2*TblTech[[#This Row],[1-9]] + tech_9_1_2*TblTech[[#This Row],[9-1]])*wizard_plat,0)</f>
        <v>500</v>
      </c>
      <c r="BU41" s="97">
        <f ca="1">ROUNDUP((1-MIN(ROUND(wg_wiz_cost_bonus*TblMili[[#This Row],[WG''s]],4),wg_wiz_cost_cap) + tech_1_9_2*TblTech[[#This Row],[1-9]] + tech_9_1_2*TblTech[[#This Row],[9-1]])*archmage_plat,0)</f>
        <v>1000</v>
      </c>
      <c r="BV41" s="145"/>
      <c r="BW41" s="160">
        <f ca="1">TblConstr[[#This Row],[Homeland]]/TblConstr[[#This Row],[Land]]</f>
        <v>0.44</v>
      </c>
      <c r="BX41" s="160">
        <f ca="1">TblMili[[#This Row],[WG''s]]</f>
        <v>0</v>
      </c>
      <c r="BY41" s="266">
        <f ca="1">IF(mystic_cap="none",TblMili[[#This Row],[Hill]]/mystic_bonus,MIN(mystic_cap,TblMili[[#This Row],[Hill]]/mystic_bonus))</f>
        <v>2.1999999999999997</v>
      </c>
      <c r="BZ41" s="266">
        <f ca="1">IF(druid_op_cap="none",TblMili[[#This Row],[Hill]]/druid_op_bonus,MIN(druid_op_cap,TblMili[[#This Row],[Hill]]/druid_op_bonus))</f>
        <v>2.1999999999999997</v>
      </c>
      <c r="CA41" s="266">
        <f ca="1">IF(druid_dp_cap="none",TblMili[[#This Row],[Hill]]/druid_dp_bonus,MIN(druid_dp_cap,TblMili[[#This Row],[Hill]]/druid_dp_bonus))</f>
        <v>2.1999999999999997</v>
      </c>
      <c r="CB41" s="266">
        <f ca="1">MIN(dryad_cap,TblMili[[#This Row],[Hill]]/dryad_bonus)</f>
        <v>2.1999999999999997</v>
      </c>
      <c r="CC41" s="266">
        <f ca="1">MIN(rocka_cap,TblMili[[#This Row],[Hill]]/rocka_bonus)</f>
        <v>2</v>
      </c>
      <c r="CD41" s="266">
        <f ca="1">MIN(adept_op_cap,TblMili[[#This Row],[WG]]/adept_op_bonus)</f>
        <v>0</v>
      </c>
      <c r="CE41" s="266">
        <f ca="1">MIN(adept_dp_cap,TblMili[[#This Row],[WG]]/adept_dp_bonus)</f>
        <v>0</v>
      </c>
      <c r="CF41" s="97">
        <f ca="1">MIN(TblMili[[#This Row],[Unit 3]],TblMili[[#This Row],[Unit 2]])*2</f>
        <v>0</v>
      </c>
      <c r="CG41" s="97">
        <f ca="1">MIN(TblMili[[#This Row],[Unit 1]],TblMili[[#This Row],[Unit 4]])*2</f>
        <v>0</v>
      </c>
      <c r="CH41" s="266">
        <f ca="1">MIN(frost_mage_cap,TblMili[[#This Row],[Hill]]/frost_mage_bonus)</f>
        <v>2.1999999999999997</v>
      </c>
      <c r="CI41" s="45">
        <f ca="1">MIN(ice_elem_cap,TblMili[[#This Row],[Raw (2)]]*ice_elem_bonus)</f>
        <v>0.1</v>
      </c>
      <c r="CJ41" s="266">
        <f t="shared" si="2"/>
        <v>0.83333333333333337</v>
      </c>
      <c r="CK41" s="266">
        <f ca="1">MIN(nox_nightshade_cap,TblConstr[[#This Row],[Homeland]]/TblConstr[[#This Row],[Land]]/nox_nightshade_swamp_bonus)</f>
        <v>4</v>
      </c>
      <c r="CL41" s="267"/>
      <c r="CM41" s="267"/>
      <c r="CN41" s="267"/>
      <c r="CO41" s="266">
        <f ca="1">MIN(6,TblMili[[#This Row],[Mystic]]+Races!$F$19)*1.8 +  IF(TblMili[[#This Row],[Mystic]]+Races!$F$19&gt;6,(TblMili[[#This Row],[Mystic]]+Races!$F$19-6)*0.2,0) - Races!$I$19</f>
        <v>3.6399999999999997</v>
      </c>
      <c r="CP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1" s="97">
        <f ca="1">TblMili[[#This Row],[Mystic bonus]]*TblMili[[#This Row],[Unit 3]]+TblMili[[#This Row],[Druid bonus]]*TblMili[[#This Row],[Unit 4]]</f>
        <v>0</v>
      </c>
      <c r="CR41" s="158">
        <f ca="1">MIN(6,TblMili[[#This Row],[Dryad]]+Races!$F$35)*1.8 +  IF(TblMili[[#This Row],[Dryad]]+Races!$F$35&gt;6,(TblMili[[#This Row],[Dryad]]+Races!$F$35-6)*0.2,0) - Races!$I$19</f>
        <v>2.1599999999999993</v>
      </c>
      <c r="CS41" s="97">
        <f ca="1">sylvan*(TblMili[[#This Row],[Mystic bonus]]*TblMili[[#This Row],[Unit 3]])</f>
        <v>0</v>
      </c>
      <c r="CT41" s="158">
        <f ca="1">1.8 * MIN(MAX(Races!$E$27,TblMili[[#This Row],[Rockapult]]+Races!$F$27),6)  +  0.45 * MIN(MIN(Races!$E$27,TblMili[[#This Row],[Rockapult]]+Races!$F$27),6)  +  0.2 * ( MAX(Races!$E$27-6,0) + MAX(TblMili[[#This Row],[Rockapult]]+Races!$F$27-6,0) )  -  Races!$I$20</f>
        <v>5.8500000000000005</v>
      </c>
      <c r="CU41" s="97">
        <f ca="1">gnome*(TblMili[[#This Row],[Rockapult bonus]]*TblMili[[#This Row],[Unit 3]])</f>
        <v>0</v>
      </c>
      <c r="CV41" s="158">
        <f ca="1">1.8 * MIN(MAX(TblMili[[#This Row],[Spellblade]]+Races!$E$47,TblMili[[#This Row],[Adept-DP]]+Races!$F$47),6)  +  0.45 * MIN(MIN(TblMili[[#This Row],[Spellblade]]+Races!$E$47,TblMili[[#This Row],[Adept-DP]]+Races!$F$47),6)  +  0.2 * ( MAX(TblMili[[#This Row],[Spellblade]]+Races!$E$47-6,0) + MAX(TblMili[[#This Row],[Adept-DP]]+Races!$F$47-6,0) )  -  Races!$I$47</f>
        <v>0</v>
      </c>
      <c r="CW41" s="97">
        <f ca="1">dark_elf*(TblMili[[#This Row],[Adept bonus]]*TblMili[[#This Row],[Unit 3]])</f>
        <v>0</v>
      </c>
      <c r="CX41" s="158">
        <f ca="1">1.8 * MIN(MAX(TblMili[[#This Row],[Frost Mage]]+Races!$F$71,Races!$E$71),6)  +  0.45 * MIN(MIN(TblMili[[#This Row],[Frost Mage]]+Races!$F$71,Races!$E$71),6)  +  0.2 * ( MAX(TblMili[[#This Row],[Frost Mage]]+Races!$F$71-6,0) + MAX(Races!$E$71-6,0) )  -  Races!$I$71</f>
        <v>3.9599999999999991</v>
      </c>
      <c r="CY41" s="158">
        <f ca="1">1.8 * MIN(MAX(TblMili[[#This Row],[Ice Elemental]]+Races!$E$71,Races!$F$71),6)  +  0.45 * MIN(MIN(TblMili[[#This Row],[Ice Elemental]]+Races!$E$71,Races!$F$71),6)  +  0.2 * ( MAX(TblMili[[#This Row],[Ice Elemental]]+Races!$E$71-6,0) + MAX(Races!$F$71-6,0) )  -  Races!$I$71</f>
        <v>0.17999999999999972</v>
      </c>
      <c r="CZ41" s="97">
        <f ca="1">TblMili[[#This Row],[Frost Mage bonus]]*TblMili[[#This Row],[Unit 3]]+TblMili[[#This Row],[Ice Elemental bonus]]*TblMili[[#This Row],[Unit 4]]</f>
        <v>0</v>
      </c>
      <c r="DA41" s="268"/>
      <c r="DB41" s="146">
        <f ca="1">MIN(SUM(TblConstr[[#This Row],[Plain]:[Water]])/TblMili[[#This Row],[Land]]/favorable_terrain_bonus/100,favorable_terrain_max)</f>
        <v>0.1</v>
      </c>
      <c r="DC41" s="268"/>
      <c r="DD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1" s="145"/>
      <c r="DF41" s="269">
        <f ca="1">(TblMili[[#This Row],[Wizards]]+2*TblMili[[#This Row],[Archmages]])/TblConstr[[#This Row],[Land]]</f>
        <v>0.1</v>
      </c>
      <c r="DG41" s="269">
        <f ca="1">TblMili[[#This Row],[Raw (2)]]*(1+race_wizard_strength+IF(TblMili[[#This Row],[Hour]]&gt;72,tech_magical_weaponry_wiz*TblTech[[#This Row],[3-5]],0))</f>
        <v>0.1</v>
      </c>
    </row>
    <row r="42" spans="1:111"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45459.583333333241</v>
      </c>
      <c r="AG42" s="182"/>
      <c r="AH42" s="182"/>
      <c r="AI42" s="182"/>
      <c r="AJ42" s="182"/>
      <c r="AK42" s="182"/>
      <c r="AL42" s="182"/>
      <c r="AM42" s="182"/>
      <c r="AN42" s="182"/>
      <c r="AO42" s="449">
        <f ca="1">IF(AND(TblMagic[[#This Row],[Active DnD]]&lt;12,TblMagic[[#This Row],[Active DnD]]&gt;5),OFFSET(TblPop[[#This Row],[Draft Growth]],-1,0)/2,0)</f>
        <v>0</v>
      </c>
      <c r="AP42" s="145"/>
      <c r="AQ42" s="97">
        <f ca="1">TblProd[[#This Row],[Platinum]]</f>
        <v>329346</v>
      </c>
      <c r="AR42" s="97">
        <f ca="1">INDEX(TblProd[[#Headers],[Lumber]]:TblProd[[#This Row],[Ore]],COUNTA(TblProd[[#Headers],[Lumber]]:TblProd[[#This Row],[Lumber]]),MATCH(Military!$AQ$2,TblProd[[#Headers],[Lumber]:[Ore]],0))</f>
        <v>0</v>
      </c>
      <c r="AS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7">
        <f ca="1">TblMili[[#This Row],[Train Unit 1]]*TblMili[[#This Row],[OP Ore]]+TblMili[[#This Row],[Train Unit 2]]*TblMili[[#This Row],[DP Ore]]+TblMili[[#This Row],[Train Unit 3]]*TblMili[[#This Row],[E1 Ore]]+TblMili[[#This Row],[Train Unit 4]]*TblMili[[#This Row],[E2 Ore]]</f>
        <v>0</v>
      </c>
      <c r="AU42" s="145">
        <f>TblMili[[#This Row],[Hour]]</f>
        <v>39</v>
      </c>
      <c r="AV42" s="155">
        <f ca="1">TblMili[[#This Row],[Time]]</f>
        <v>45459.583333333241</v>
      </c>
      <c r="AW42" s="97">
        <f ca="1">TblMili[[#This Row],[Draftees]]</f>
        <v>626</v>
      </c>
      <c r="AX42" s="182"/>
      <c r="AY42" s="182"/>
      <c r="AZ42" s="182"/>
      <c r="BA42" s="182"/>
      <c r="BB42" s="182"/>
      <c r="BC42" s="182"/>
      <c r="BD42" s="182"/>
      <c r="BE42" s="182"/>
      <c r="BF42" s="182"/>
      <c r="BG42" s="145"/>
      <c r="BH42" s="160">
        <f ca="1">TblConstr[[#This Row],[Tot WG]]/TblConstr[[#This Row],[Land]]</f>
        <v>0</v>
      </c>
      <c r="BI42" s="160">
        <f ca="1">TblConstr[[#This Row],[Tot Hav]]/TblConstr[[#This Row],[Land]]</f>
        <v>0</v>
      </c>
      <c r="BJ42" s="97">
        <f ca="1">ROUNDUP((1-MIN(TblMili[[#This Row],[Smithies]]*smithy_bonus,smithy_bonus_cap) + tech_3_5*TblTech[[#This Row],[3-5]] + tech_5_3*TblTech[[#This Row],[5-3]] + tech_5_5*TblTech[[#This Row],[5-5]])*spec_op_plat,0)</f>
        <v>275</v>
      </c>
      <c r="BK42" s="97">
        <f ca="1">ROUNDUP(IF(race="Gnome",1,(1-MIN(TblMili[[#This Row],[Smithies]]*smithy_bonus,smithy_bonus_cap) + tech_3_5*TblTech[[#This Row],[3-5]] + tech_5_3*TblTech[[#This Row],[5-3]] + tech_5_5*TblTech[[#This Row],[5-5]]))*spec_op_ore,0)</f>
        <v>25</v>
      </c>
      <c r="BL42" s="97">
        <f ca="1">ROUNDUP((1-MIN(TblMili[[#This Row],[Smithies]]*smithy_bonus,smithy_bonus_cap) + tech_3_5*TblTech[[#This Row],[3-5]] + tech_5_3*TblTech[[#This Row],[5-3]] + tech_5_5*TblTech[[#This Row],[5-5]])*spec_dp_plat,0)</f>
        <v>275</v>
      </c>
      <c r="BM42" s="97">
        <f ca="1">ROUNDUP(IF(race="Gnome",1,(1-MIN(TblMili[[#This Row],[Smithies]]*smithy_bonus,smithy_bonus_cap) + tech_3_5*TblTech[[#This Row],[3-5]] + tech_5_3*TblTech[[#This Row],[5-3]] + tech_5_5*TblTech[[#This Row],[5-5]]))*spec_dp_ore,0)</f>
        <v>15</v>
      </c>
      <c r="BN42" s="97">
        <f ca="1">ROUNDUP((1-MIN(TblMili[[#This Row],[Smithies]]*smithy_bonus,smithy_bonus_cap) + tech_3_5*TblTech[[#This Row],[3-5]] + tech_5_3*TblTech[[#This Row],[5-3]] + tech_5_5*TblTech[[#This Row],[5-5]])*elite1_plat,0)</f>
        <v>1000</v>
      </c>
      <c r="BO42" s="97">
        <f ca="1">ROUNDUP(IF(race="Gnome",1,(1-MIN(TblMili[[#This Row],[Smithies]]*smithy_bonus,smithy_bonus_cap) + tech_3_5*TblTech[[#This Row],[3-5]] + tech_5_3*TblTech[[#This Row],[5-3]] + tech_5_5*TblTech[[#This Row],[5-5]]))*elite1_ore,0)</f>
        <v>75</v>
      </c>
      <c r="BP42" s="97">
        <f ca="1">ROUNDUP((1-MIN(TblMili[[#This Row],[Smithies]]*smithy_bonus,smithy_bonus_cap) + tech_3_5*TblTech[[#This Row],[3-5]] + tech_5_3*TblTech[[#This Row],[5-3]] + tech_5_5*TblTech[[#This Row],[5-5]])*elite2_plat,0)</f>
        <v>1250</v>
      </c>
      <c r="BQ42" s="97">
        <f ca="1">ROUNDUP(IF(race="Gnome",1,(1-MIN(TblMili[[#This Row],[Smithies]]*smithy_bonus,smithy_bonus_cap) + tech_3_5*TblTech[[#This Row],[3-5]] + tech_5_3*TblTech[[#This Row],[5-3]] + tech_5_5*TblTech[[#This Row],[5-5]]))*elite2_ore,0)</f>
        <v>100</v>
      </c>
      <c r="BR42" s="97">
        <f ca="1">ROUNDUP((1-MIN(ROUND(fh_spy_cost_red*TblMili[[#This Row],[FH''s]],4),fh_spy_cost_cap)+ tech_1_9*TblTech[[#This Row],[1-9]] + tech_9_1*TblTech[[#This Row],[9-1]])*spy_plat,0)</f>
        <v>500</v>
      </c>
      <c r="BS42" s="97">
        <f ca="1">ROUNDUP((1-MIN(ROUND(fh_spy_cost_red*TblMili[[#This Row],[FH''s]],4),fh_spy_cost_cap)+ tech_1_9*TblTech[[#This Row],[1-9]] + tech_9_1*TblTech[[#This Row],[9-1]])*archspy_plat,0)</f>
        <v>1000</v>
      </c>
      <c r="BT42" s="97">
        <f ca="1">ROUNDUP((1-MIN(ROUND(wg_wiz_cost_bonus*TblMili[[#This Row],[WG''s]],4),wg_wiz_cost_cap) + tech_1_9_2*TblTech[[#This Row],[1-9]] + tech_9_1_2*TblTech[[#This Row],[9-1]])*wizard_plat,0)</f>
        <v>500</v>
      </c>
      <c r="BU42" s="97">
        <f ca="1">ROUNDUP((1-MIN(ROUND(wg_wiz_cost_bonus*TblMili[[#This Row],[WG''s]],4),wg_wiz_cost_cap) + tech_1_9_2*TblTech[[#This Row],[1-9]] + tech_9_1_2*TblTech[[#This Row],[9-1]])*archmage_plat,0)</f>
        <v>1000</v>
      </c>
      <c r="BV42" s="145"/>
      <c r="BW42" s="160">
        <f ca="1">TblConstr[[#This Row],[Homeland]]/TblConstr[[#This Row],[Land]]</f>
        <v>0.44</v>
      </c>
      <c r="BX42" s="160">
        <f ca="1">TblMili[[#This Row],[WG''s]]</f>
        <v>0</v>
      </c>
      <c r="BY42" s="266">
        <f ca="1">IF(mystic_cap="none",TblMili[[#This Row],[Hill]]/mystic_bonus,MIN(mystic_cap,TblMili[[#This Row],[Hill]]/mystic_bonus))</f>
        <v>2.1999999999999997</v>
      </c>
      <c r="BZ42" s="266">
        <f ca="1">IF(druid_op_cap="none",TblMili[[#This Row],[Hill]]/druid_op_bonus,MIN(druid_op_cap,TblMili[[#This Row],[Hill]]/druid_op_bonus))</f>
        <v>2.1999999999999997</v>
      </c>
      <c r="CA42" s="266">
        <f ca="1">IF(druid_dp_cap="none",TblMili[[#This Row],[Hill]]/druid_dp_bonus,MIN(druid_dp_cap,TblMili[[#This Row],[Hill]]/druid_dp_bonus))</f>
        <v>2.1999999999999997</v>
      </c>
      <c r="CB42" s="266">
        <f ca="1">MIN(dryad_cap,TblMili[[#This Row],[Hill]]/dryad_bonus)</f>
        <v>2.1999999999999997</v>
      </c>
      <c r="CC42" s="266">
        <f ca="1">MIN(rocka_cap,TblMili[[#This Row],[Hill]]/rocka_bonus)</f>
        <v>2</v>
      </c>
      <c r="CD42" s="266">
        <f ca="1">MIN(adept_op_cap,TblMili[[#This Row],[WG]]/adept_op_bonus)</f>
        <v>0</v>
      </c>
      <c r="CE42" s="266">
        <f ca="1">MIN(adept_dp_cap,TblMili[[#This Row],[WG]]/adept_dp_bonus)</f>
        <v>0</v>
      </c>
      <c r="CF42" s="97">
        <f ca="1">MIN(TblMili[[#This Row],[Unit 3]],TblMili[[#This Row],[Unit 2]])*2</f>
        <v>0</v>
      </c>
      <c r="CG42" s="97">
        <f ca="1">MIN(TblMili[[#This Row],[Unit 1]],TblMili[[#This Row],[Unit 4]])*2</f>
        <v>0</v>
      </c>
      <c r="CH42" s="266">
        <f ca="1">MIN(frost_mage_cap,TblMili[[#This Row],[Hill]]/frost_mage_bonus)</f>
        <v>2.1999999999999997</v>
      </c>
      <c r="CI42" s="45">
        <f ca="1">MIN(ice_elem_cap,TblMili[[#This Row],[Raw (2)]]*ice_elem_bonus)</f>
        <v>0.1</v>
      </c>
      <c r="CJ42" s="266">
        <f t="shared" si="2"/>
        <v>0.83333333333333337</v>
      </c>
      <c r="CK42" s="266">
        <f ca="1">MIN(nox_nightshade_cap,TblConstr[[#This Row],[Homeland]]/TblConstr[[#This Row],[Land]]/nox_nightshade_swamp_bonus)</f>
        <v>4</v>
      </c>
      <c r="CL42" s="267"/>
      <c r="CM42" s="267"/>
      <c r="CN42" s="267"/>
      <c r="CO42" s="266">
        <f ca="1">MIN(6,TblMili[[#This Row],[Mystic]]+Races!$F$19)*1.8 +  IF(TblMili[[#This Row],[Mystic]]+Races!$F$19&gt;6,(TblMili[[#This Row],[Mystic]]+Races!$F$19-6)*0.2,0) - Races!$I$19</f>
        <v>3.6399999999999997</v>
      </c>
      <c r="CP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2" s="97">
        <f ca="1">TblMili[[#This Row],[Mystic bonus]]*TblMili[[#This Row],[Unit 3]]+TblMili[[#This Row],[Druid bonus]]*TblMili[[#This Row],[Unit 4]]</f>
        <v>0</v>
      </c>
      <c r="CR42" s="158">
        <f ca="1">MIN(6,TblMili[[#This Row],[Dryad]]+Races!$F$35)*1.8 +  IF(TblMili[[#This Row],[Dryad]]+Races!$F$35&gt;6,(TblMili[[#This Row],[Dryad]]+Races!$F$35-6)*0.2,0) - Races!$I$19</f>
        <v>2.1599999999999993</v>
      </c>
      <c r="CS42" s="97">
        <f ca="1">sylvan*(TblMili[[#This Row],[Mystic bonus]]*TblMili[[#This Row],[Unit 3]])</f>
        <v>0</v>
      </c>
      <c r="CT42" s="158">
        <f ca="1">1.8 * MIN(MAX(Races!$E$27,TblMili[[#This Row],[Rockapult]]+Races!$F$27),6)  +  0.45 * MIN(MIN(Races!$E$27,TblMili[[#This Row],[Rockapult]]+Races!$F$27),6)  +  0.2 * ( MAX(Races!$E$27-6,0) + MAX(TblMili[[#This Row],[Rockapult]]+Races!$F$27-6,0) )  -  Races!$I$20</f>
        <v>5.8500000000000005</v>
      </c>
      <c r="CU42" s="97">
        <f ca="1">gnome*(TblMili[[#This Row],[Rockapult bonus]]*TblMili[[#This Row],[Unit 3]])</f>
        <v>0</v>
      </c>
      <c r="CV42" s="158">
        <f ca="1">1.8 * MIN(MAX(TblMili[[#This Row],[Spellblade]]+Races!$E$47,TblMili[[#This Row],[Adept-DP]]+Races!$F$47),6)  +  0.45 * MIN(MIN(TblMili[[#This Row],[Spellblade]]+Races!$E$47,TblMili[[#This Row],[Adept-DP]]+Races!$F$47),6)  +  0.2 * ( MAX(TblMili[[#This Row],[Spellblade]]+Races!$E$47-6,0) + MAX(TblMili[[#This Row],[Adept-DP]]+Races!$F$47-6,0) )  -  Races!$I$47</f>
        <v>0</v>
      </c>
      <c r="CW42" s="97">
        <f ca="1">dark_elf*(TblMili[[#This Row],[Adept bonus]]*TblMili[[#This Row],[Unit 3]])</f>
        <v>0</v>
      </c>
      <c r="CX42" s="158">
        <f ca="1">1.8 * MIN(MAX(TblMili[[#This Row],[Frost Mage]]+Races!$F$71,Races!$E$71),6)  +  0.45 * MIN(MIN(TblMili[[#This Row],[Frost Mage]]+Races!$F$71,Races!$E$71),6)  +  0.2 * ( MAX(TblMili[[#This Row],[Frost Mage]]+Races!$F$71-6,0) + MAX(Races!$E$71-6,0) )  -  Races!$I$71</f>
        <v>3.9599999999999991</v>
      </c>
      <c r="CY42" s="158">
        <f ca="1">1.8 * MIN(MAX(TblMili[[#This Row],[Ice Elemental]]+Races!$E$71,Races!$F$71),6)  +  0.45 * MIN(MIN(TblMili[[#This Row],[Ice Elemental]]+Races!$E$71,Races!$F$71),6)  +  0.2 * ( MAX(TblMili[[#This Row],[Ice Elemental]]+Races!$E$71-6,0) + MAX(Races!$F$71-6,0) )  -  Races!$I$71</f>
        <v>0.17999999999999972</v>
      </c>
      <c r="CZ42" s="97">
        <f ca="1">TblMili[[#This Row],[Frost Mage bonus]]*TblMili[[#This Row],[Unit 3]]+TblMili[[#This Row],[Ice Elemental bonus]]*TblMili[[#This Row],[Unit 4]]</f>
        <v>0</v>
      </c>
      <c r="DA42" s="268"/>
      <c r="DB42" s="146">
        <f ca="1">MIN(SUM(TblConstr[[#This Row],[Plain]:[Water]])/TblMili[[#This Row],[Land]]/favorable_terrain_bonus/100,favorable_terrain_max)</f>
        <v>0.1</v>
      </c>
      <c r="DC42" s="268"/>
      <c r="DD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2" s="145"/>
      <c r="DF42" s="269">
        <f ca="1">(TblMili[[#This Row],[Wizards]]+2*TblMili[[#This Row],[Archmages]])/TblConstr[[#This Row],[Land]]</f>
        <v>0.1</v>
      </c>
      <c r="DG42" s="269">
        <f ca="1">TblMili[[#This Row],[Raw (2)]]*(1+race_wizard_strength+IF(TblMili[[#This Row],[Hour]]&gt;72,tech_magical_weaponry_wiz*TblTech[[#This Row],[3-5]],0))</f>
        <v>0.1</v>
      </c>
    </row>
    <row r="43" spans="1:111"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45459.624999999905</v>
      </c>
      <c r="AG43" s="182"/>
      <c r="AH43" s="182"/>
      <c r="AI43" s="182"/>
      <c r="AJ43" s="182"/>
      <c r="AK43" s="182"/>
      <c r="AL43" s="182"/>
      <c r="AM43" s="182"/>
      <c r="AN43" s="182"/>
      <c r="AO43" s="449">
        <f ca="1">IF(AND(TblMagic[[#This Row],[Active DnD]]&lt;12,TblMagic[[#This Row],[Active DnD]]&gt;5),OFFSET(TblPop[[#This Row],[Draft Growth]],-1,0)/2,0)</f>
        <v>0</v>
      </c>
      <c r="AP43" s="145"/>
      <c r="AQ43" s="97">
        <f ca="1">TblProd[[#This Row],[Platinum]]</f>
        <v>334832</v>
      </c>
      <c r="AR43" s="97">
        <f ca="1">INDEX(TblProd[[#Headers],[Lumber]]:TblProd[[#This Row],[Ore]],COUNTA(TblProd[[#Headers],[Lumber]]:TblProd[[#This Row],[Lumber]]),MATCH(Military!$AQ$2,TblProd[[#Headers],[Lumber]:[Ore]],0))</f>
        <v>0</v>
      </c>
      <c r="AS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7">
        <f ca="1">TblMili[[#This Row],[Train Unit 1]]*TblMili[[#This Row],[OP Ore]]+TblMili[[#This Row],[Train Unit 2]]*TblMili[[#This Row],[DP Ore]]+TblMili[[#This Row],[Train Unit 3]]*TblMili[[#This Row],[E1 Ore]]+TblMili[[#This Row],[Train Unit 4]]*TblMili[[#This Row],[E2 Ore]]</f>
        <v>0</v>
      </c>
      <c r="AU43" s="145">
        <f>TblMili[[#This Row],[Hour]]</f>
        <v>40</v>
      </c>
      <c r="AV43" s="155">
        <f ca="1">TblMili[[#This Row],[Time]]</f>
        <v>45459.624999999905</v>
      </c>
      <c r="AW43" s="97">
        <f ca="1">TblMili[[#This Row],[Draftees]]</f>
        <v>626</v>
      </c>
      <c r="AX43" s="182"/>
      <c r="AY43" s="182"/>
      <c r="AZ43" s="182"/>
      <c r="BA43" s="182"/>
      <c r="BB43" s="182"/>
      <c r="BC43" s="182"/>
      <c r="BD43" s="182"/>
      <c r="BE43" s="182"/>
      <c r="BF43" s="182"/>
      <c r="BG43" s="145"/>
      <c r="BH43" s="160">
        <f ca="1">TblConstr[[#This Row],[Tot WG]]/TblConstr[[#This Row],[Land]]</f>
        <v>0</v>
      </c>
      <c r="BI43" s="160">
        <f ca="1">TblConstr[[#This Row],[Tot Hav]]/TblConstr[[#This Row],[Land]]</f>
        <v>0</v>
      </c>
      <c r="BJ43" s="97">
        <f ca="1">ROUNDUP((1-MIN(TblMili[[#This Row],[Smithies]]*smithy_bonus,smithy_bonus_cap) + tech_3_5*TblTech[[#This Row],[3-5]] + tech_5_3*TblTech[[#This Row],[5-3]] + tech_5_5*TblTech[[#This Row],[5-5]])*spec_op_plat,0)</f>
        <v>275</v>
      </c>
      <c r="BK43" s="97">
        <f ca="1">ROUNDUP(IF(race="Gnome",1,(1-MIN(TblMili[[#This Row],[Smithies]]*smithy_bonus,smithy_bonus_cap) + tech_3_5*TblTech[[#This Row],[3-5]] + tech_5_3*TblTech[[#This Row],[5-3]] + tech_5_5*TblTech[[#This Row],[5-5]]))*spec_op_ore,0)</f>
        <v>25</v>
      </c>
      <c r="BL43" s="97">
        <f ca="1">ROUNDUP((1-MIN(TblMili[[#This Row],[Smithies]]*smithy_bonus,smithy_bonus_cap) + tech_3_5*TblTech[[#This Row],[3-5]] + tech_5_3*TblTech[[#This Row],[5-3]] + tech_5_5*TblTech[[#This Row],[5-5]])*spec_dp_plat,0)</f>
        <v>275</v>
      </c>
      <c r="BM43" s="97">
        <f ca="1">ROUNDUP(IF(race="Gnome",1,(1-MIN(TblMili[[#This Row],[Smithies]]*smithy_bonus,smithy_bonus_cap) + tech_3_5*TblTech[[#This Row],[3-5]] + tech_5_3*TblTech[[#This Row],[5-3]] + tech_5_5*TblTech[[#This Row],[5-5]]))*spec_dp_ore,0)</f>
        <v>15</v>
      </c>
      <c r="BN43" s="97">
        <f ca="1">ROUNDUP((1-MIN(TblMili[[#This Row],[Smithies]]*smithy_bonus,smithy_bonus_cap) + tech_3_5*TblTech[[#This Row],[3-5]] + tech_5_3*TblTech[[#This Row],[5-3]] + tech_5_5*TblTech[[#This Row],[5-5]])*elite1_plat,0)</f>
        <v>1000</v>
      </c>
      <c r="BO43" s="97">
        <f ca="1">ROUNDUP(IF(race="Gnome",1,(1-MIN(TblMili[[#This Row],[Smithies]]*smithy_bonus,smithy_bonus_cap) + tech_3_5*TblTech[[#This Row],[3-5]] + tech_5_3*TblTech[[#This Row],[5-3]] + tech_5_5*TblTech[[#This Row],[5-5]]))*elite1_ore,0)</f>
        <v>75</v>
      </c>
      <c r="BP43" s="97">
        <f ca="1">ROUNDUP((1-MIN(TblMili[[#This Row],[Smithies]]*smithy_bonus,smithy_bonus_cap) + tech_3_5*TblTech[[#This Row],[3-5]] + tech_5_3*TblTech[[#This Row],[5-3]] + tech_5_5*TblTech[[#This Row],[5-5]])*elite2_plat,0)</f>
        <v>1250</v>
      </c>
      <c r="BQ43" s="97">
        <f ca="1">ROUNDUP(IF(race="Gnome",1,(1-MIN(TblMili[[#This Row],[Smithies]]*smithy_bonus,smithy_bonus_cap) + tech_3_5*TblTech[[#This Row],[3-5]] + tech_5_3*TblTech[[#This Row],[5-3]] + tech_5_5*TblTech[[#This Row],[5-5]]))*elite2_ore,0)</f>
        <v>100</v>
      </c>
      <c r="BR43" s="97">
        <f ca="1">ROUNDUP((1-MIN(ROUND(fh_spy_cost_red*TblMili[[#This Row],[FH''s]],4),fh_spy_cost_cap)+ tech_1_9*TblTech[[#This Row],[1-9]] + tech_9_1*TblTech[[#This Row],[9-1]])*spy_plat,0)</f>
        <v>500</v>
      </c>
      <c r="BS43" s="97">
        <f ca="1">ROUNDUP((1-MIN(ROUND(fh_spy_cost_red*TblMili[[#This Row],[FH''s]],4),fh_spy_cost_cap)+ tech_1_9*TblTech[[#This Row],[1-9]] + tech_9_1*TblTech[[#This Row],[9-1]])*archspy_plat,0)</f>
        <v>1000</v>
      </c>
      <c r="BT43" s="97">
        <f ca="1">ROUNDUP((1-MIN(ROUND(wg_wiz_cost_bonus*TblMili[[#This Row],[WG''s]],4),wg_wiz_cost_cap) + tech_1_9_2*TblTech[[#This Row],[1-9]] + tech_9_1_2*TblTech[[#This Row],[9-1]])*wizard_plat,0)</f>
        <v>500</v>
      </c>
      <c r="BU43" s="97">
        <f ca="1">ROUNDUP((1-MIN(ROUND(wg_wiz_cost_bonus*TblMili[[#This Row],[WG''s]],4),wg_wiz_cost_cap) + tech_1_9_2*TblTech[[#This Row],[1-9]] + tech_9_1_2*TblTech[[#This Row],[9-1]])*archmage_plat,0)</f>
        <v>1000</v>
      </c>
      <c r="BV43" s="145"/>
      <c r="BW43" s="160">
        <f ca="1">TblConstr[[#This Row],[Homeland]]/TblConstr[[#This Row],[Land]]</f>
        <v>0.44</v>
      </c>
      <c r="BX43" s="160">
        <f ca="1">TblMili[[#This Row],[WG''s]]</f>
        <v>0</v>
      </c>
      <c r="BY43" s="266">
        <f ca="1">IF(mystic_cap="none",TblMili[[#This Row],[Hill]]/mystic_bonus,MIN(mystic_cap,TblMili[[#This Row],[Hill]]/mystic_bonus))</f>
        <v>2.1999999999999997</v>
      </c>
      <c r="BZ43" s="266">
        <f ca="1">IF(druid_op_cap="none",TblMili[[#This Row],[Hill]]/druid_op_bonus,MIN(druid_op_cap,TblMili[[#This Row],[Hill]]/druid_op_bonus))</f>
        <v>2.1999999999999997</v>
      </c>
      <c r="CA43" s="266">
        <f ca="1">IF(druid_dp_cap="none",TblMili[[#This Row],[Hill]]/druid_dp_bonus,MIN(druid_dp_cap,TblMili[[#This Row],[Hill]]/druid_dp_bonus))</f>
        <v>2.1999999999999997</v>
      </c>
      <c r="CB43" s="266">
        <f ca="1">MIN(dryad_cap,TblMili[[#This Row],[Hill]]/dryad_bonus)</f>
        <v>2.1999999999999997</v>
      </c>
      <c r="CC43" s="266">
        <f ca="1">MIN(rocka_cap,TblMili[[#This Row],[Hill]]/rocka_bonus)</f>
        <v>2</v>
      </c>
      <c r="CD43" s="266">
        <f ca="1">MIN(adept_op_cap,TblMili[[#This Row],[WG]]/adept_op_bonus)</f>
        <v>0</v>
      </c>
      <c r="CE43" s="266">
        <f ca="1">MIN(adept_dp_cap,TblMili[[#This Row],[WG]]/adept_dp_bonus)</f>
        <v>0</v>
      </c>
      <c r="CF43" s="97">
        <f ca="1">MIN(TblMili[[#This Row],[Unit 3]],TblMili[[#This Row],[Unit 2]])*2</f>
        <v>0</v>
      </c>
      <c r="CG43" s="97">
        <f ca="1">MIN(TblMili[[#This Row],[Unit 1]],TblMili[[#This Row],[Unit 4]])*2</f>
        <v>0</v>
      </c>
      <c r="CH43" s="266">
        <f ca="1">MIN(frost_mage_cap,TblMili[[#This Row],[Hill]]/frost_mage_bonus)</f>
        <v>2.1999999999999997</v>
      </c>
      <c r="CI43" s="45">
        <f ca="1">MIN(ice_elem_cap,TblMili[[#This Row],[Raw (2)]]*ice_elem_bonus)</f>
        <v>0.1</v>
      </c>
      <c r="CJ43" s="266">
        <f t="shared" si="2"/>
        <v>0.83333333333333337</v>
      </c>
      <c r="CK43" s="266">
        <f ca="1">MIN(nox_nightshade_cap,TblConstr[[#This Row],[Homeland]]/TblConstr[[#This Row],[Land]]/nox_nightshade_swamp_bonus)</f>
        <v>4</v>
      </c>
      <c r="CL43" s="267"/>
      <c r="CM43" s="267"/>
      <c r="CN43" s="267"/>
      <c r="CO43" s="266">
        <f ca="1">MIN(6,TblMili[[#This Row],[Mystic]]+Races!$F$19)*1.8 +  IF(TblMili[[#This Row],[Mystic]]+Races!$F$19&gt;6,(TblMili[[#This Row],[Mystic]]+Races!$F$19-6)*0.2,0) - Races!$I$19</f>
        <v>3.6399999999999997</v>
      </c>
      <c r="CP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3" s="97">
        <f ca="1">TblMili[[#This Row],[Mystic bonus]]*TblMili[[#This Row],[Unit 3]]+TblMili[[#This Row],[Druid bonus]]*TblMili[[#This Row],[Unit 4]]</f>
        <v>0</v>
      </c>
      <c r="CR43" s="158">
        <f ca="1">MIN(6,TblMili[[#This Row],[Dryad]]+Races!$F$35)*1.8 +  IF(TblMili[[#This Row],[Dryad]]+Races!$F$35&gt;6,(TblMili[[#This Row],[Dryad]]+Races!$F$35-6)*0.2,0) - Races!$I$19</f>
        <v>2.1599999999999993</v>
      </c>
      <c r="CS43" s="97">
        <f ca="1">sylvan*(TblMili[[#This Row],[Mystic bonus]]*TblMili[[#This Row],[Unit 3]])</f>
        <v>0</v>
      </c>
      <c r="CT43" s="158">
        <f ca="1">1.8 * MIN(MAX(Races!$E$27,TblMili[[#This Row],[Rockapult]]+Races!$F$27),6)  +  0.45 * MIN(MIN(Races!$E$27,TblMili[[#This Row],[Rockapult]]+Races!$F$27),6)  +  0.2 * ( MAX(Races!$E$27-6,0) + MAX(TblMili[[#This Row],[Rockapult]]+Races!$F$27-6,0) )  -  Races!$I$20</f>
        <v>5.8500000000000005</v>
      </c>
      <c r="CU43" s="97">
        <f ca="1">gnome*(TblMili[[#This Row],[Rockapult bonus]]*TblMili[[#This Row],[Unit 3]])</f>
        <v>0</v>
      </c>
      <c r="CV43" s="158">
        <f ca="1">1.8 * MIN(MAX(TblMili[[#This Row],[Spellblade]]+Races!$E$47,TblMili[[#This Row],[Adept-DP]]+Races!$F$47),6)  +  0.45 * MIN(MIN(TblMili[[#This Row],[Spellblade]]+Races!$E$47,TblMili[[#This Row],[Adept-DP]]+Races!$F$47),6)  +  0.2 * ( MAX(TblMili[[#This Row],[Spellblade]]+Races!$E$47-6,0) + MAX(TblMili[[#This Row],[Adept-DP]]+Races!$F$47-6,0) )  -  Races!$I$47</f>
        <v>0</v>
      </c>
      <c r="CW43" s="97">
        <f ca="1">dark_elf*(TblMili[[#This Row],[Adept bonus]]*TblMili[[#This Row],[Unit 3]])</f>
        <v>0</v>
      </c>
      <c r="CX43" s="158">
        <f ca="1">1.8 * MIN(MAX(TblMili[[#This Row],[Frost Mage]]+Races!$F$71,Races!$E$71),6)  +  0.45 * MIN(MIN(TblMili[[#This Row],[Frost Mage]]+Races!$F$71,Races!$E$71),6)  +  0.2 * ( MAX(TblMili[[#This Row],[Frost Mage]]+Races!$F$71-6,0) + MAX(Races!$E$71-6,0) )  -  Races!$I$71</f>
        <v>3.9599999999999991</v>
      </c>
      <c r="CY43" s="158">
        <f ca="1">1.8 * MIN(MAX(TblMili[[#This Row],[Ice Elemental]]+Races!$E$71,Races!$F$71),6)  +  0.45 * MIN(MIN(TblMili[[#This Row],[Ice Elemental]]+Races!$E$71,Races!$F$71),6)  +  0.2 * ( MAX(TblMili[[#This Row],[Ice Elemental]]+Races!$E$71-6,0) + MAX(Races!$F$71-6,0) )  -  Races!$I$71</f>
        <v>0.17999999999999972</v>
      </c>
      <c r="CZ43" s="97">
        <f ca="1">TblMili[[#This Row],[Frost Mage bonus]]*TblMili[[#This Row],[Unit 3]]+TblMili[[#This Row],[Ice Elemental bonus]]*TblMili[[#This Row],[Unit 4]]</f>
        <v>0</v>
      </c>
      <c r="DA43" s="268"/>
      <c r="DB43" s="146">
        <f ca="1">MIN(SUM(TblConstr[[#This Row],[Plain]:[Water]])/TblMili[[#This Row],[Land]]/favorable_terrain_bonus/100,favorable_terrain_max)</f>
        <v>0.1</v>
      </c>
      <c r="DC43" s="268"/>
      <c r="DD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3" s="145"/>
      <c r="DF43" s="269">
        <f ca="1">(TblMili[[#This Row],[Wizards]]+2*TblMili[[#This Row],[Archmages]])/TblConstr[[#This Row],[Land]]</f>
        <v>0.1</v>
      </c>
      <c r="DG43" s="269">
        <f ca="1">TblMili[[#This Row],[Raw (2)]]*(1+race_wizard_strength+IF(TblMili[[#This Row],[Hour]]&gt;72,tech_magical_weaponry_wiz*TblTech[[#This Row],[3-5]],0))</f>
        <v>0.1</v>
      </c>
    </row>
    <row r="44" spans="1:111"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45459.66666666657</v>
      </c>
      <c r="AG44" s="182"/>
      <c r="AH44" s="182"/>
      <c r="AI44" s="182"/>
      <c r="AJ44" s="182"/>
      <c r="AK44" s="182"/>
      <c r="AL44" s="182"/>
      <c r="AM44" s="182"/>
      <c r="AN44" s="182"/>
      <c r="AO44" s="449">
        <f ca="1">IF(AND(TblMagic[[#This Row],[Active DnD]]&lt;12,TblMagic[[#This Row],[Active DnD]]&gt;5),OFFSET(TblPop[[#This Row],[Draft Growth]],-1,0)/2,0)</f>
        <v>0</v>
      </c>
      <c r="AP44" s="145"/>
      <c r="AQ44" s="97">
        <f ca="1">TblProd[[#This Row],[Platinum]]</f>
        <v>340318</v>
      </c>
      <c r="AR44" s="97">
        <f ca="1">INDEX(TblProd[[#Headers],[Lumber]]:TblProd[[#This Row],[Ore]],COUNTA(TblProd[[#Headers],[Lumber]]:TblProd[[#This Row],[Lumber]]),MATCH(Military!$AQ$2,TblProd[[#Headers],[Lumber]:[Ore]],0))</f>
        <v>0</v>
      </c>
      <c r="AS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7">
        <f ca="1">TblMili[[#This Row],[Train Unit 1]]*TblMili[[#This Row],[OP Ore]]+TblMili[[#This Row],[Train Unit 2]]*TblMili[[#This Row],[DP Ore]]+TblMili[[#This Row],[Train Unit 3]]*TblMili[[#This Row],[E1 Ore]]+TblMili[[#This Row],[Train Unit 4]]*TblMili[[#This Row],[E2 Ore]]</f>
        <v>0</v>
      </c>
      <c r="AU44" s="145">
        <f>TblMili[[#This Row],[Hour]]</f>
        <v>41</v>
      </c>
      <c r="AV44" s="155">
        <f ca="1">TblMili[[#This Row],[Time]]</f>
        <v>45459.66666666657</v>
      </c>
      <c r="AW44" s="97">
        <f ca="1">TblMili[[#This Row],[Draftees]]</f>
        <v>626</v>
      </c>
      <c r="AX44" s="182"/>
      <c r="AY44" s="182"/>
      <c r="AZ44" s="182"/>
      <c r="BA44" s="182"/>
      <c r="BB44" s="182"/>
      <c r="BC44" s="182"/>
      <c r="BD44" s="182"/>
      <c r="BE44" s="182"/>
      <c r="BF44" s="182"/>
      <c r="BG44" s="145"/>
      <c r="BH44" s="160">
        <f ca="1">TblConstr[[#This Row],[Tot WG]]/TblConstr[[#This Row],[Land]]</f>
        <v>0</v>
      </c>
      <c r="BI44" s="160">
        <f ca="1">TblConstr[[#This Row],[Tot Hav]]/TblConstr[[#This Row],[Land]]</f>
        <v>0</v>
      </c>
      <c r="BJ44" s="97">
        <f ca="1">ROUNDUP((1-MIN(TblMili[[#This Row],[Smithies]]*smithy_bonus,smithy_bonus_cap) + tech_3_5*TblTech[[#This Row],[3-5]] + tech_5_3*TblTech[[#This Row],[5-3]] + tech_5_5*TblTech[[#This Row],[5-5]])*spec_op_plat,0)</f>
        <v>275</v>
      </c>
      <c r="BK44" s="97">
        <f ca="1">ROUNDUP(IF(race="Gnome",1,(1-MIN(TblMili[[#This Row],[Smithies]]*smithy_bonus,smithy_bonus_cap) + tech_3_5*TblTech[[#This Row],[3-5]] + tech_5_3*TblTech[[#This Row],[5-3]] + tech_5_5*TblTech[[#This Row],[5-5]]))*spec_op_ore,0)</f>
        <v>25</v>
      </c>
      <c r="BL44" s="97">
        <f ca="1">ROUNDUP((1-MIN(TblMili[[#This Row],[Smithies]]*smithy_bonus,smithy_bonus_cap) + tech_3_5*TblTech[[#This Row],[3-5]] + tech_5_3*TblTech[[#This Row],[5-3]] + tech_5_5*TblTech[[#This Row],[5-5]])*spec_dp_plat,0)</f>
        <v>275</v>
      </c>
      <c r="BM44" s="97">
        <f ca="1">ROUNDUP(IF(race="Gnome",1,(1-MIN(TblMili[[#This Row],[Smithies]]*smithy_bonus,smithy_bonus_cap) + tech_3_5*TblTech[[#This Row],[3-5]] + tech_5_3*TblTech[[#This Row],[5-3]] + tech_5_5*TblTech[[#This Row],[5-5]]))*spec_dp_ore,0)</f>
        <v>15</v>
      </c>
      <c r="BN44" s="97">
        <f ca="1">ROUNDUP((1-MIN(TblMili[[#This Row],[Smithies]]*smithy_bonus,smithy_bonus_cap) + tech_3_5*TblTech[[#This Row],[3-5]] + tech_5_3*TblTech[[#This Row],[5-3]] + tech_5_5*TblTech[[#This Row],[5-5]])*elite1_plat,0)</f>
        <v>1000</v>
      </c>
      <c r="BO44" s="97">
        <f ca="1">ROUNDUP(IF(race="Gnome",1,(1-MIN(TblMili[[#This Row],[Smithies]]*smithy_bonus,smithy_bonus_cap) + tech_3_5*TblTech[[#This Row],[3-5]] + tech_5_3*TblTech[[#This Row],[5-3]] + tech_5_5*TblTech[[#This Row],[5-5]]))*elite1_ore,0)</f>
        <v>75</v>
      </c>
      <c r="BP44" s="97">
        <f ca="1">ROUNDUP((1-MIN(TblMili[[#This Row],[Smithies]]*smithy_bonus,smithy_bonus_cap) + tech_3_5*TblTech[[#This Row],[3-5]] + tech_5_3*TblTech[[#This Row],[5-3]] + tech_5_5*TblTech[[#This Row],[5-5]])*elite2_plat,0)</f>
        <v>1250</v>
      </c>
      <c r="BQ44" s="97">
        <f ca="1">ROUNDUP(IF(race="Gnome",1,(1-MIN(TblMili[[#This Row],[Smithies]]*smithy_bonus,smithy_bonus_cap) + tech_3_5*TblTech[[#This Row],[3-5]] + tech_5_3*TblTech[[#This Row],[5-3]] + tech_5_5*TblTech[[#This Row],[5-5]]))*elite2_ore,0)</f>
        <v>100</v>
      </c>
      <c r="BR44" s="97">
        <f ca="1">ROUNDUP((1-MIN(ROUND(fh_spy_cost_red*TblMili[[#This Row],[FH''s]],4),fh_spy_cost_cap)+ tech_1_9*TblTech[[#This Row],[1-9]] + tech_9_1*TblTech[[#This Row],[9-1]])*spy_plat,0)</f>
        <v>500</v>
      </c>
      <c r="BS44" s="97">
        <f ca="1">ROUNDUP((1-MIN(ROUND(fh_spy_cost_red*TblMili[[#This Row],[FH''s]],4),fh_spy_cost_cap)+ tech_1_9*TblTech[[#This Row],[1-9]] + tech_9_1*TblTech[[#This Row],[9-1]])*archspy_plat,0)</f>
        <v>1000</v>
      </c>
      <c r="BT44" s="97">
        <f ca="1">ROUNDUP((1-MIN(ROUND(wg_wiz_cost_bonus*TblMili[[#This Row],[WG''s]],4),wg_wiz_cost_cap) + tech_1_9_2*TblTech[[#This Row],[1-9]] + tech_9_1_2*TblTech[[#This Row],[9-1]])*wizard_plat,0)</f>
        <v>500</v>
      </c>
      <c r="BU44" s="97">
        <f ca="1">ROUNDUP((1-MIN(ROUND(wg_wiz_cost_bonus*TblMili[[#This Row],[WG''s]],4),wg_wiz_cost_cap) + tech_1_9_2*TblTech[[#This Row],[1-9]] + tech_9_1_2*TblTech[[#This Row],[9-1]])*archmage_plat,0)</f>
        <v>1000</v>
      </c>
      <c r="BV44" s="145"/>
      <c r="BW44" s="160">
        <f ca="1">TblConstr[[#This Row],[Homeland]]/TblConstr[[#This Row],[Land]]</f>
        <v>0.44</v>
      </c>
      <c r="BX44" s="160">
        <f ca="1">TblMili[[#This Row],[WG''s]]</f>
        <v>0</v>
      </c>
      <c r="BY44" s="266">
        <f ca="1">IF(mystic_cap="none",TblMili[[#This Row],[Hill]]/mystic_bonus,MIN(mystic_cap,TblMili[[#This Row],[Hill]]/mystic_bonus))</f>
        <v>2.1999999999999997</v>
      </c>
      <c r="BZ44" s="266">
        <f ca="1">IF(druid_op_cap="none",TblMili[[#This Row],[Hill]]/druid_op_bonus,MIN(druid_op_cap,TblMili[[#This Row],[Hill]]/druid_op_bonus))</f>
        <v>2.1999999999999997</v>
      </c>
      <c r="CA44" s="266">
        <f ca="1">IF(druid_dp_cap="none",TblMili[[#This Row],[Hill]]/druid_dp_bonus,MIN(druid_dp_cap,TblMili[[#This Row],[Hill]]/druid_dp_bonus))</f>
        <v>2.1999999999999997</v>
      </c>
      <c r="CB44" s="266">
        <f ca="1">MIN(dryad_cap,TblMili[[#This Row],[Hill]]/dryad_bonus)</f>
        <v>2.1999999999999997</v>
      </c>
      <c r="CC44" s="266">
        <f ca="1">MIN(rocka_cap,TblMili[[#This Row],[Hill]]/rocka_bonus)</f>
        <v>2</v>
      </c>
      <c r="CD44" s="266">
        <f ca="1">MIN(adept_op_cap,TblMili[[#This Row],[WG]]/adept_op_bonus)</f>
        <v>0</v>
      </c>
      <c r="CE44" s="266">
        <f ca="1">MIN(adept_dp_cap,TblMili[[#This Row],[WG]]/adept_dp_bonus)</f>
        <v>0</v>
      </c>
      <c r="CF44" s="97">
        <f ca="1">MIN(TblMili[[#This Row],[Unit 3]],TblMili[[#This Row],[Unit 2]])*2</f>
        <v>0</v>
      </c>
      <c r="CG44" s="97">
        <f ca="1">MIN(TblMili[[#This Row],[Unit 1]],TblMili[[#This Row],[Unit 4]])*2</f>
        <v>0</v>
      </c>
      <c r="CH44" s="266">
        <f ca="1">MIN(frost_mage_cap,TblMili[[#This Row],[Hill]]/frost_mage_bonus)</f>
        <v>2.1999999999999997</v>
      </c>
      <c r="CI44" s="45">
        <f ca="1">MIN(ice_elem_cap,TblMili[[#This Row],[Raw (2)]]*ice_elem_bonus)</f>
        <v>0.1</v>
      </c>
      <c r="CJ44" s="266">
        <f t="shared" si="2"/>
        <v>0.83333333333333337</v>
      </c>
      <c r="CK44" s="266">
        <f ca="1">MIN(nox_nightshade_cap,TblConstr[[#This Row],[Homeland]]/TblConstr[[#This Row],[Land]]/nox_nightshade_swamp_bonus)</f>
        <v>4</v>
      </c>
      <c r="CL44" s="267"/>
      <c r="CM44" s="267"/>
      <c r="CN44" s="267"/>
      <c r="CO44" s="266">
        <f ca="1">MIN(6,TblMili[[#This Row],[Mystic]]+Races!$F$19)*1.8 +  IF(TblMili[[#This Row],[Mystic]]+Races!$F$19&gt;6,(TblMili[[#This Row],[Mystic]]+Races!$F$19-6)*0.2,0) - Races!$I$19</f>
        <v>3.6399999999999997</v>
      </c>
      <c r="CP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4" s="97">
        <f ca="1">TblMili[[#This Row],[Mystic bonus]]*TblMili[[#This Row],[Unit 3]]+TblMili[[#This Row],[Druid bonus]]*TblMili[[#This Row],[Unit 4]]</f>
        <v>0</v>
      </c>
      <c r="CR44" s="158">
        <f ca="1">MIN(6,TblMili[[#This Row],[Dryad]]+Races!$F$35)*1.8 +  IF(TblMili[[#This Row],[Dryad]]+Races!$F$35&gt;6,(TblMili[[#This Row],[Dryad]]+Races!$F$35-6)*0.2,0) - Races!$I$19</f>
        <v>2.1599999999999993</v>
      </c>
      <c r="CS44" s="97">
        <f ca="1">sylvan*(TblMili[[#This Row],[Mystic bonus]]*TblMili[[#This Row],[Unit 3]])</f>
        <v>0</v>
      </c>
      <c r="CT44" s="158">
        <f ca="1">1.8 * MIN(MAX(Races!$E$27,TblMili[[#This Row],[Rockapult]]+Races!$F$27),6)  +  0.45 * MIN(MIN(Races!$E$27,TblMili[[#This Row],[Rockapult]]+Races!$F$27),6)  +  0.2 * ( MAX(Races!$E$27-6,0) + MAX(TblMili[[#This Row],[Rockapult]]+Races!$F$27-6,0) )  -  Races!$I$20</f>
        <v>5.8500000000000005</v>
      </c>
      <c r="CU44" s="97">
        <f ca="1">gnome*(TblMili[[#This Row],[Rockapult bonus]]*TblMili[[#This Row],[Unit 3]])</f>
        <v>0</v>
      </c>
      <c r="CV44" s="158">
        <f ca="1">1.8 * MIN(MAX(TblMili[[#This Row],[Spellblade]]+Races!$E$47,TblMili[[#This Row],[Adept-DP]]+Races!$F$47),6)  +  0.45 * MIN(MIN(TblMili[[#This Row],[Spellblade]]+Races!$E$47,TblMili[[#This Row],[Adept-DP]]+Races!$F$47),6)  +  0.2 * ( MAX(TblMili[[#This Row],[Spellblade]]+Races!$E$47-6,0) + MAX(TblMili[[#This Row],[Adept-DP]]+Races!$F$47-6,0) )  -  Races!$I$47</f>
        <v>0</v>
      </c>
      <c r="CW44" s="97">
        <f ca="1">dark_elf*(TblMili[[#This Row],[Adept bonus]]*TblMili[[#This Row],[Unit 3]])</f>
        <v>0</v>
      </c>
      <c r="CX44" s="158">
        <f ca="1">1.8 * MIN(MAX(TblMili[[#This Row],[Frost Mage]]+Races!$F$71,Races!$E$71),6)  +  0.45 * MIN(MIN(TblMili[[#This Row],[Frost Mage]]+Races!$F$71,Races!$E$71),6)  +  0.2 * ( MAX(TblMili[[#This Row],[Frost Mage]]+Races!$F$71-6,0) + MAX(Races!$E$71-6,0) )  -  Races!$I$71</f>
        <v>3.9599999999999991</v>
      </c>
      <c r="CY44" s="158">
        <f ca="1">1.8 * MIN(MAX(TblMili[[#This Row],[Ice Elemental]]+Races!$E$71,Races!$F$71),6)  +  0.45 * MIN(MIN(TblMili[[#This Row],[Ice Elemental]]+Races!$E$71,Races!$F$71),6)  +  0.2 * ( MAX(TblMili[[#This Row],[Ice Elemental]]+Races!$E$71-6,0) + MAX(Races!$F$71-6,0) )  -  Races!$I$71</f>
        <v>0.17999999999999972</v>
      </c>
      <c r="CZ44" s="97">
        <f ca="1">TblMili[[#This Row],[Frost Mage bonus]]*TblMili[[#This Row],[Unit 3]]+TblMili[[#This Row],[Ice Elemental bonus]]*TblMili[[#This Row],[Unit 4]]</f>
        <v>0</v>
      </c>
      <c r="DA44" s="268"/>
      <c r="DB44" s="146">
        <f ca="1">MIN(SUM(TblConstr[[#This Row],[Plain]:[Water]])/TblMili[[#This Row],[Land]]/favorable_terrain_bonus/100,favorable_terrain_max)</f>
        <v>0.1</v>
      </c>
      <c r="DC44" s="268"/>
      <c r="DD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4" s="145"/>
      <c r="DF44" s="269">
        <f ca="1">(TblMili[[#This Row],[Wizards]]+2*TblMili[[#This Row],[Archmages]])/TblConstr[[#This Row],[Land]]</f>
        <v>0.1</v>
      </c>
      <c r="DG44" s="269">
        <f ca="1">TblMili[[#This Row],[Raw (2)]]*(1+race_wizard_strength+IF(TblMili[[#This Row],[Hour]]&gt;72,tech_magical_weaponry_wiz*TblTech[[#This Row],[3-5]],0))</f>
        <v>0.1</v>
      </c>
    </row>
    <row r="45" spans="1:111"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45459.708333333234</v>
      </c>
      <c r="AG45" s="182"/>
      <c r="AH45" s="182"/>
      <c r="AI45" s="182"/>
      <c r="AJ45" s="182"/>
      <c r="AK45" s="182"/>
      <c r="AL45" s="182"/>
      <c r="AM45" s="182"/>
      <c r="AN45" s="182"/>
      <c r="AO45" s="449">
        <f ca="1">IF(AND(TblMagic[[#This Row],[Active DnD]]&lt;12,TblMagic[[#This Row],[Active DnD]]&gt;5),OFFSET(TblPop[[#This Row],[Draft Growth]],-1,0)/2,0)</f>
        <v>0</v>
      </c>
      <c r="AP45" s="145"/>
      <c r="AQ45" s="97">
        <f ca="1">TblProd[[#This Row],[Platinum]]</f>
        <v>345804</v>
      </c>
      <c r="AR45" s="97">
        <f ca="1">INDEX(TblProd[[#Headers],[Lumber]]:TblProd[[#This Row],[Ore]],COUNTA(TblProd[[#Headers],[Lumber]]:TblProd[[#This Row],[Lumber]]),MATCH(Military!$AQ$2,TblProd[[#Headers],[Lumber]:[Ore]],0))</f>
        <v>0</v>
      </c>
      <c r="AS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7">
        <f ca="1">TblMili[[#This Row],[Train Unit 1]]*TblMili[[#This Row],[OP Ore]]+TblMili[[#This Row],[Train Unit 2]]*TblMili[[#This Row],[DP Ore]]+TblMili[[#This Row],[Train Unit 3]]*TblMili[[#This Row],[E1 Ore]]+TblMili[[#This Row],[Train Unit 4]]*TblMili[[#This Row],[E2 Ore]]</f>
        <v>0</v>
      </c>
      <c r="AU45" s="145">
        <f>TblMili[[#This Row],[Hour]]</f>
        <v>42</v>
      </c>
      <c r="AV45" s="155">
        <f ca="1">TblMili[[#This Row],[Time]]</f>
        <v>45459.708333333234</v>
      </c>
      <c r="AW45" s="97">
        <f ca="1">TblMili[[#This Row],[Draftees]]</f>
        <v>626</v>
      </c>
      <c r="AX45" s="182"/>
      <c r="AY45" s="182"/>
      <c r="AZ45" s="182"/>
      <c r="BA45" s="182"/>
      <c r="BB45" s="182"/>
      <c r="BC45" s="182"/>
      <c r="BD45" s="182"/>
      <c r="BE45" s="182"/>
      <c r="BF45" s="182"/>
      <c r="BG45" s="145"/>
      <c r="BH45" s="160">
        <f ca="1">TblConstr[[#This Row],[Tot WG]]/TblConstr[[#This Row],[Land]]</f>
        <v>0</v>
      </c>
      <c r="BI45" s="160">
        <f ca="1">TblConstr[[#This Row],[Tot Hav]]/TblConstr[[#This Row],[Land]]</f>
        <v>0</v>
      </c>
      <c r="BJ45" s="97">
        <f ca="1">ROUNDUP((1-MIN(TblMili[[#This Row],[Smithies]]*smithy_bonus,smithy_bonus_cap) + tech_3_5*TblTech[[#This Row],[3-5]] + tech_5_3*TblTech[[#This Row],[5-3]] + tech_5_5*TblTech[[#This Row],[5-5]])*spec_op_plat,0)</f>
        <v>275</v>
      </c>
      <c r="BK45" s="97">
        <f ca="1">ROUNDUP(IF(race="Gnome",1,(1-MIN(TblMili[[#This Row],[Smithies]]*smithy_bonus,smithy_bonus_cap) + tech_3_5*TblTech[[#This Row],[3-5]] + tech_5_3*TblTech[[#This Row],[5-3]] + tech_5_5*TblTech[[#This Row],[5-5]]))*spec_op_ore,0)</f>
        <v>25</v>
      </c>
      <c r="BL45" s="97">
        <f ca="1">ROUNDUP((1-MIN(TblMili[[#This Row],[Smithies]]*smithy_bonus,smithy_bonus_cap) + tech_3_5*TblTech[[#This Row],[3-5]] + tech_5_3*TblTech[[#This Row],[5-3]] + tech_5_5*TblTech[[#This Row],[5-5]])*spec_dp_plat,0)</f>
        <v>275</v>
      </c>
      <c r="BM45" s="97">
        <f ca="1">ROUNDUP(IF(race="Gnome",1,(1-MIN(TblMili[[#This Row],[Smithies]]*smithy_bonus,smithy_bonus_cap) + tech_3_5*TblTech[[#This Row],[3-5]] + tech_5_3*TblTech[[#This Row],[5-3]] + tech_5_5*TblTech[[#This Row],[5-5]]))*spec_dp_ore,0)</f>
        <v>15</v>
      </c>
      <c r="BN45" s="97">
        <f ca="1">ROUNDUP((1-MIN(TblMili[[#This Row],[Smithies]]*smithy_bonus,smithy_bonus_cap) + tech_3_5*TblTech[[#This Row],[3-5]] + tech_5_3*TblTech[[#This Row],[5-3]] + tech_5_5*TblTech[[#This Row],[5-5]])*elite1_plat,0)</f>
        <v>1000</v>
      </c>
      <c r="BO45" s="97">
        <f ca="1">ROUNDUP(IF(race="Gnome",1,(1-MIN(TblMili[[#This Row],[Smithies]]*smithy_bonus,smithy_bonus_cap) + tech_3_5*TblTech[[#This Row],[3-5]] + tech_5_3*TblTech[[#This Row],[5-3]] + tech_5_5*TblTech[[#This Row],[5-5]]))*elite1_ore,0)</f>
        <v>75</v>
      </c>
      <c r="BP45" s="97">
        <f ca="1">ROUNDUP((1-MIN(TblMili[[#This Row],[Smithies]]*smithy_bonus,smithy_bonus_cap) + tech_3_5*TblTech[[#This Row],[3-5]] + tech_5_3*TblTech[[#This Row],[5-3]] + tech_5_5*TblTech[[#This Row],[5-5]])*elite2_plat,0)</f>
        <v>1250</v>
      </c>
      <c r="BQ45" s="97">
        <f ca="1">ROUNDUP(IF(race="Gnome",1,(1-MIN(TblMili[[#This Row],[Smithies]]*smithy_bonus,smithy_bonus_cap) + tech_3_5*TblTech[[#This Row],[3-5]] + tech_5_3*TblTech[[#This Row],[5-3]] + tech_5_5*TblTech[[#This Row],[5-5]]))*elite2_ore,0)</f>
        <v>100</v>
      </c>
      <c r="BR45" s="97">
        <f ca="1">ROUNDUP((1-MIN(ROUND(fh_spy_cost_red*TblMili[[#This Row],[FH''s]],4),fh_spy_cost_cap)+ tech_1_9*TblTech[[#This Row],[1-9]] + tech_9_1*TblTech[[#This Row],[9-1]])*spy_plat,0)</f>
        <v>500</v>
      </c>
      <c r="BS45" s="97">
        <f ca="1">ROUNDUP((1-MIN(ROUND(fh_spy_cost_red*TblMili[[#This Row],[FH''s]],4),fh_spy_cost_cap)+ tech_1_9*TblTech[[#This Row],[1-9]] + tech_9_1*TblTech[[#This Row],[9-1]])*archspy_plat,0)</f>
        <v>1000</v>
      </c>
      <c r="BT45" s="97">
        <f ca="1">ROUNDUP((1-MIN(ROUND(wg_wiz_cost_bonus*TblMili[[#This Row],[WG''s]],4),wg_wiz_cost_cap) + tech_1_9_2*TblTech[[#This Row],[1-9]] + tech_9_1_2*TblTech[[#This Row],[9-1]])*wizard_plat,0)</f>
        <v>500</v>
      </c>
      <c r="BU45" s="97">
        <f ca="1">ROUNDUP((1-MIN(ROUND(wg_wiz_cost_bonus*TblMili[[#This Row],[WG''s]],4),wg_wiz_cost_cap) + tech_1_9_2*TblTech[[#This Row],[1-9]] + tech_9_1_2*TblTech[[#This Row],[9-1]])*archmage_plat,0)</f>
        <v>1000</v>
      </c>
      <c r="BV45" s="145"/>
      <c r="BW45" s="160">
        <f ca="1">TblConstr[[#This Row],[Homeland]]/TblConstr[[#This Row],[Land]]</f>
        <v>0.44</v>
      </c>
      <c r="BX45" s="160">
        <f ca="1">TblMili[[#This Row],[WG''s]]</f>
        <v>0</v>
      </c>
      <c r="BY45" s="266">
        <f ca="1">IF(mystic_cap="none",TblMili[[#This Row],[Hill]]/mystic_bonus,MIN(mystic_cap,TblMili[[#This Row],[Hill]]/mystic_bonus))</f>
        <v>2.1999999999999997</v>
      </c>
      <c r="BZ45" s="266">
        <f ca="1">IF(druid_op_cap="none",TblMili[[#This Row],[Hill]]/druid_op_bonus,MIN(druid_op_cap,TblMili[[#This Row],[Hill]]/druid_op_bonus))</f>
        <v>2.1999999999999997</v>
      </c>
      <c r="CA45" s="266">
        <f ca="1">IF(druid_dp_cap="none",TblMili[[#This Row],[Hill]]/druid_dp_bonus,MIN(druid_dp_cap,TblMili[[#This Row],[Hill]]/druid_dp_bonus))</f>
        <v>2.1999999999999997</v>
      </c>
      <c r="CB45" s="266">
        <f ca="1">MIN(dryad_cap,TblMili[[#This Row],[Hill]]/dryad_bonus)</f>
        <v>2.1999999999999997</v>
      </c>
      <c r="CC45" s="266">
        <f ca="1">MIN(rocka_cap,TblMili[[#This Row],[Hill]]/rocka_bonus)</f>
        <v>2</v>
      </c>
      <c r="CD45" s="266">
        <f ca="1">MIN(adept_op_cap,TblMili[[#This Row],[WG]]/adept_op_bonus)</f>
        <v>0</v>
      </c>
      <c r="CE45" s="266">
        <f ca="1">MIN(adept_dp_cap,TblMili[[#This Row],[WG]]/adept_dp_bonus)</f>
        <v>0</v>
      </c>
      <c r="CF45" s="97">
        <f ca="1">MIN(TblMili[[#This Row],[Unit 3]],TblMili[[#This Row],[Unit 2]])*2</f>
        <v>0</v>
      </c>
      <c r="CG45" s="97">
        <f ca="1">MIN(TblMili[[#This Row],[Unit 1]],TblMili[[#This Row],[Unit 4]])*2</f>
        <v>0</v>
      </c>
      <c r="CH45" s="266">
        <f ca="1">MIN(frost_mage_cap,TblMili[[#This Row],[Hill]]/frost_mage_bonus)</f>
        <v>2.1999999999999997</v>
      </c>
      <c r="CI45" s="45">
        <f ca="1">MIN(ice_elem_cap,TblMili[[#This Row],[Raw (2)]]*ice_elem_bonus)</f>
        <v>0.1</v>
      </c>
      <c r="CJ45" s="266">
        <f t="shared" si="2"/>
        <v>0.83333333333333337</v>
      </c>
      <c r="CK45" s="266">
        <f ca="1">MIN(nox_nightshade_cap,TblConstr[[#This Row],[Homeland]]/TblConstr[[#This Row],[Land]]/nox_nightshade_swamp_bonus)</f>
        <v>4</v>
      </c>
      <c r="CL45" s="267"/>
      <c r="CM45" s="267"/>
      <c r="CN45" s="267"/>
      <c r="CO45" s="266">
        <f ca="1">MIN(6,TblMili[[#This Row],[Mystic]]+Races!$F$19)*1.8 +  IF(TblMili[[#This Row],[Mystic]]+Races!$F$19&gt;6,(TblMili[[#This Row],[Mystic]]+Races!$F$19-6)*0.2,0) - Races!$I$19</f>
        <v>3.6399999999999997</v>
      </c>
      <c r="CP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5" s="97">
        <f ca="1">TblMili[[#This Row],[Mystic bonus]]*TblMili[[#This Row],[Unit 3]]+TblMili[[#This Row],[Druid bonus]]*TblMili[[#This Row],[Unit 4]]</f>
        <v>0</v>
      </c>
      <c r="CR45" s="158">
        <f ca="1">MIN(6,TblMili[[#This Row],[Dryad]]+Races!$F$35)*1.8 +  IF(TblMili[[#This Row],[Dryad]]+Races!$F$35&gt;6,(TblMili[[#This Row],[Dryad]]+Races!$F$35-6)*0.2,0) - Races!$I$19</f>
        <v>2.1599999999999993</v>
      </c>
      <c r="CS45" s="97">
        <f ca="1">sylvan*(TblMili[[#This Row],[Mystic bonus]]*TblMili[[#This Row],[Unit 3]])</f>
        <v>0</v>
      </c>
      <c r="CT45" s="158">
        <f ca="1">1.8 * MIN(MAX(Races!$E$27,TblMili[[#This Row],[Rockapult]]+Races!$F$27),6)  +  0.45 * MIN(MIN(Races!$E$27,TblMili[[#This Row],[Rockapult]]+Races!$F$27),6)  +  0.2 * ( MAX(Races!$E$27-6,0) + MAX(TblMili[[#This Row],[Rockapult]]+Races!$F$27-6,0) )  -  Races!$I$20</f>
        <v>5.8500000000000005</v>
      </c>
      <c r="CU45" s="97">
        <f ca="1">gnome*(TblMili[[#This Row],[Rockapult bonus]]*TblMili[[#This Row],[Unit 3]])</f>
        <v>0</v>
      </c>
      <c r="CV45" s="158">
        <f ca="1">1.8 * MIN(MAX(TblMili[[#This Row],[Spellblade]]+Races!$E$47,TblMili[[#This Row],[Adept-DP]]+Races!$F$47),6)  +  0.45 * MIN(MIN(TblMili[[#This Row],[Spellblade]]+Races!$E$47,TblMili[[#This Row],[Adept-DP]]+Races!$F$47),6)  +  0.2 * ( MAX(TblMili[[#This Row],[Spellblade]]+Races!$E$47-6,0) + MAX(TblMili[[#This Row],[Adept-DP]]+Races!$F$47-6,0) )  -  Races!$I$47</f>
        <v>0</v>
      </c>
      <c r="CW45" s="97">
        <f ca="1">dark_elf*(TblMili[[#This Row],[Adept bonus]]*TblMili[[#This Row],[Unit 3]])</f>
        <v>0</v>
      </c>
      <c r="CX45" s="158">
        <f ca="1">1.8 * MIN(MAX(TblMili[[#This Row],[Frost Mage]]+Races!$F$71,Races!$E$71),6)  +  0.45 * MIN(MIN(TblMili[[#This Row],[Frost Mage]]+Races!$F$71,Races!$E$71),6)  +  0.2 * ( MAX(TblMili[[#This Row],[Frost Mage]]+Races!$F$71-6,0) + MAX(Races!$E$71-6,0) )  -  Races!$I$71</f>
        <v>3.9599999999999991</v>
      </c>
      <c r="CY45" s="158">
        <f ca="1">1.8 * MIN(MAX(TblMili[[#This Row],[Ice Elemental]]+Races!$E$71,Races!$F$71),6)  +  0.45 * MIN(MIN(TblMili[[#This Row],[Ice Elemental]]+Races!$E$71,Races!$F$71),6)  +  0.2 * ( MAX(TblMili[[#This Row],[Ice Elemental]]+Races!$E$71-6,0) + MAX(Races!$F$71-6,0) )  -  Races!$I$71</f>
        <v>0.17999999999999972</v>
      </c>
      <c r="CZ45" s="97">
        <f ca="1">TblMili[[#This Row],[Frost Mage bonus]]*TblMili[[#This Row],[Unit 3]]+TblMili[[#This Row],[Ice Elemental bonus]]*TblMili[[#This Row],[Unit 4]]</f>
        <v>0</v>
      </c>
      <c r="DA45" s="268"/>
      <c r="DB45" s="146">
        <f ca="1">MIN(SUM(TblConstr[[#This Row],[Plain]:[Water]])/TblMili[[#This Row],[Land]]/favorable_terrain_bonus/100,favorable_terrain_max)</f>
        <v>0.1</v>
      </c>
      <c r="DC45" s="268"/>
      <c r="DD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5" s="145"/>
      <c r="DF45" s="269">
        <f ca="1">(TblMili[[#This Row],[Wizards]]+2*TblMili[[#This Row],[Archmages]])/TblConstr[[#This Row],[Land]]</f>
        <v>0.1</v>
      </c>
      <c r="DG45" s="269">
        <f ca="1">TblMili[[#This Row],[Raw (2)]]*(1+race_wizard_strength+IF(TblMili[[#This Row],[Hour]]&gt;72,tech_magical_weaponry_wiz*TblTech[[#This Row],[3-5]],0))</f>
        <v>0.1</v>
      </c>
    </row>
    <row r="46" spans="1:111"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45459.749999999898</v>
      </c>
      <c r="AG46" s="182"/>
      <c r="AH46" s="182"/>
      <c r="AI46" s="182"/>
      <c r="AJ46" s="182"/>
      <c r="AK46" s="182"/>
      <c r="AL46" s="182"/>
      <c r="AM46" s="182"/>
      <c r="AN46" s="182"/>
      <c r="AO46" s="449">
        <f ca="1">IF(AND(TblMagic[[#This Row],[Active DnD]]&lt;12,TblMagic[[#This Row],[Active DnD]]&gt;5),OFFSET(TblPop[[#This Row],[Draft Growth]],-1,0)/2,0)</f>
        <v>0</v>
      </c>
      <c r="AP46" s="145"/>
      <c r="AQ46" s="97">
        <f ca="1">TblProd[[#This Row],[Platinum]]</f>
        <v>351290</v>
      </c>
      <c r="AR46" s="97">
        <f ca="1">INDEX(TblProd[[#Headers],[Lumber]]:TblProd[[#This Row],[Ore]],COUNTA(TblProd[[#Headers],[Lumber]]:TblProd[[#This Row],[Lumber]]),MATCH(Military!$AQ$2,TblProd[[#Headers],[Lumber]:[Ore]],0))</f>
        <v>0</v>
      </c>
      <c r="AS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7">
        <f ca="1">TblMili[[#This Row],[Train Unit 1]]*TblMili[[#This Row],[OP Ore]]+TblMili[[#This Row],[Train Unit 2]]*TblMili[[#This Row],[DP Ore]]+TblMili[[#This Row],[Train Unit 3]]*TblMili[[#This Row],[E1 Ore]]+TblMili[[#This Row],[Train Unit 4]]*TblMili[[#This Row],[E2 Ore]]</f>
        <v>0</v>
      </c>
      <c r="AU46" s="145">
        <f>TblMili[[#This Row],[Hour]]</f>
        <v>43</v>
      </c>
      <c r="AV46" s="155">
        <f ca="1">TblMili[[#This Row],[Time]]</f>
        <v>45459.749999999898</v>
      </c>
      <c r="AW46" s="97">
        <f ca="1">TblMili[[#This Row],[Draftees]]</f>
        <v>626</v>
      </c>
      <c r="AX46" s="182"/>
      <c r="AY46" s="182"/>
      <c r="AZ46" s="182"/>
      <c r="BA46" s="182"/>
      <c r="BB46" s="182"/>
      <c r="BC46" s="182"/>
      <c r="BD46" s="182"/>
      <c r="BE46" s="182"/>
      <c r="BF46" s="182"/>
      <c r="BG46" s="145"/>
      <c r="BH46" s="160">
        <f ca="1">TblConstr[[#This Row],[Tot WG]]/TblConstr[[#This Row],[Land]]</f>
        <v>0</v>
      </c>
      <c r="BI46" s="160">
        <f ca="1">TblConstr[[#This Row],[Tot Hav]]/TblConstr[[#This Row],[Land]]</f>
        <v>0</v>
      </c>
      <c r="BJ46" s="97">
        <f ca="1">ROUNDUP((1-MIN(TblMili[[#This Row],[Smithies]]*smithy_bonus,smithy_bonus_cap) + tech_3_5*TblTech[[#This Row],[3-5]] + tech_5_3*TblTech[[#This Row],[5-3]] + tech_5_5*TblTech[[#This Row],[5-5]])*spec_op_plat,0)</f>
        <v>275</v>
      </c>
      <c r="BK46" s="97">
        <f ca="1">ROUNDUP(IF(race="Gnome",1,(1-MIN(TblMili[[#This Row],[Smithies]]*smithy_bonus,smithy_bonus_cap) + tech_3_5*TblTech[[#This Row],[3-5]] + tech_5_3*TblTech[[#This Row],[5-3]] + tech_5_5*TblTech[[#This Row],[5-5]]))*spec_op_ore,0)</f>
        <v>25</v>
      </c>
      <c r="BL46" s="97">
        <f ca="1">ROUNDUP((1-MIN(TblMili[[#This Row],[Smithies]]*smithy_bonus,smithy_bonus_cap) + tech_3_5*TblTech[[#This Row],[3-5]] + tech_5_3*TblTech[[#This Row],[5-3]] + tech_5_5*TblTech[[#This Row],[5-5]])*spec_dp_plat,0)</f>
        <v>275</v>
      </c>
      <c r="BM46" s="97">
        <f ca="1">ROUNDUP(IF(race="Gnome",1,(1-MIN(TblMili[[#This Row],[Smithies]]*smithy_bonus,smithy_bonus_cap) + tech_3_5*TblTech[[#This Row],[3-5]] + tech_5_3*TblTech[[#This Row],[5-3]] + tech_5_5*TblTech[[#This Row],[5-5]]))*spec_dp_ore,0)</f>
        <v>15</v>
      </c>
      <c r="BN46" s="97">
        <f ca="1">ROUNDUP((1-MIN(TblMili[[#This Row],[Smithies]]*smithy_bonus,smithy_bonus_cap) + tech_3_5*TblTech[[#This Row],[3-5]] + tech_5_3*TblTech[[#This Row],[5-3]] + tech_5_5*TblTech[[#This Row],[5-5]])*elite1_plat,0)</f>
        <v>1000</v>
      </c>
      <c r="BO46" s="97">
        <f ca="1">ROUNDUP(IF(race="Gnome",1,(1-MIN(TblMili[[#This Row],[Smithies]]*smithy_bonus,smithy_bonus_cap) + tech_3_5*TblTech[[#This Row],[3-5]] + tech_5_3*TblTech[[#This Row],[5-3]] + tech_5_5*TblTech[[#This Row],[5-5]]))*elite1_ore,0)</f>
        <v>75</v>
      </c>
      <c r="BP46" s="97">
        <f ca="1">ROUNDUP((1-MIN(TblMili[[#This Row],[Smithies]]*smithy_bonus,smithy_bonus_cap) + tech_3_5*TblTech[[#This Row],[3-5]] + tech_5_3*TblTech[[#This Row],[5-3]] + tech_5_5*TblTech[[#This Row],[5-5]])*elite2_plat,0)</f>
        <v>1250</v>
      </c>
      <c r="BQ46" s="97">
        <f ca="1">ROUNDUP(IF(race="Gnome",1,(1-MIN(TblMili[[#This Row],[Smithies]]*smithy_bonus,smithy_bonus_cap) + tech_3_5*TblTech[[#This Row],[3-5]] + tech_5_3*TblTech[[#This Row],[5-3]] + tech_5_5*TblTech[[#This Row],[5-5]]))*elite2_ore,0)</f>
        <v>100</v>
      </c>
      <c r="BR46" s="97">
        <f ca="1">ROUNDUP((1-MIN(ROUND(fh_spy_cost_red*TblMili[[#This Row],[FH''s]],4),fh_spy_cost_cap)+ tech_1_9*TblTech[[#This Row],[1-9]] + tech_9_1*TblTech[[#This Row],[9-1]])*spy_plat,0)</f>
        <v>500</v>
      </c>
      <c r="BS46" s="97">
        <f ca="1">ROUNDUP((1-MIN(ROUND(fh_spy_cost_red*TblMili[[#This Row],[FH''s]],4),fh_spy_cost_cap)+ tech_1_9*TblTech[[#This Row],[1-9]] + tech_9_1*TblTech[[#This Row],[9-1]])*archspy_plat,0)</f>
        <v>1000</v>
      </c>
      <c r="BT46" s="97">
        <f ca="1">ROUNDUP((1-MIN(ROUND(wg_wiz_cost_bonus*TblMili[[#This Row],[WG''s]],4),wg_wiz_cost_cap) + tech_1_9_2*TblTech[[#This Row],[1-9]] + tech_9_1_2*TblTech[[#This Row],[9-1]])*wizard_plat,0)</f>
        <v>500</v>
      </c>
      <c r="BU46" s="97">
        <f ca="1">ROUNDUP((1-MIN(ROUND(wg_wiz_cost_bonus*TblMili[[#This Row],[WG''s]],4),wg_wiz_cost_cap) + tech_1_9_2*TblTech[[#This Row],[1-9]] + tech_9_1_2*TblTech[[#This Row],[9-1]])*archmage_plat,0)</f>
        <v>1000</v>
      </c>
      <c r="BV46" s="145"/>
      <c r="BW46" s="160">
        <f ca="1">TblConstr[[#This Row],[Homeland]]/TblConstr[[#This Row],[Land]]</f>
        <v>0.44</v>
      </c>
      <c r="BX46" s="160">
        <f ca="1">TblMili[[#This Row],[WG''s]]</f>
        <v>0</v>
      </c>
      <c r="BY46" s="266">
        <f ca="1">IF(mystic_cap="none",TblMili[[#This Row],[Hill]]/mystic_bonus,MIN(mystic_cap,TblMili[[#This Row],[Hill]]/mystic_bonus))</f>
        <v>2.1999999999999997</v>
      </c>
      <c r="BZ46" s="266">
        <f ca="1">IF(druid_op_cap="none",TblMili[[#This Row],[Hill]]/druid_op_bonus,MIN(druid_op_cap,TblMili[[#This Row],[Hill]]/druid_op_bonus))</f>
        <v>2.1999999999999997</v>
      </c>
      <c r="CA46" s="266">
        <f ca="1">IF(druid_dp_cap="none",TblMili[[#This Row],[Hill]]/druid_dp_bonus,MIN(druid_dp_cap,TblMili[[#This Row],[Hill]]/druid_dp_bonus))</f>
        <v>2.1999999999999997</v>
      </c>
      <c r="CB46" s="266">
        <f ca="1">MIN(dryad_cap,TblMili[[#This Row],[Hill]]/dryad_bonus)</f>
        <v>2.1999999999999997</v>
      </c>
      <c r="CC46" s="266">
        <f ca="1">MIN(rocka_cap,TblMili[[#This Row],[Hill]]/rocka_bonus)</f>
        <v>2</v>
      </c>
      <c r="CD46" s="266">
        <f ca="1">MIN(adept_op_cap,TblMili[[#This Row],[WG]]/adept_op_bonus)</f>
        <v>0</v>
      </c>
      <c r="CE46" s="266">
        <f ca="1">MIN(adept_dp_cap,TblMili[[#This Row],[WG]]/adept_dp_bonus)</f>
        <v>0</v>
      </c>
      <c r="CF46" s="97">
        <f ca="1">MIN(TblMili[[#This Row],[Unit 3]],TblMili[[#This Row],[Unit 2]])*2</f>
        <v>0</v>
      </c>
      <c r="CG46" s="97">
        <f ca="1">MIN(TblMili[[#This Row],[Unit 1]],TblMili[[#This Row],[Unit 4]])*2</f>
        <v>0</v>
      </c>
      <c r="CH46" s="266">
        <f ca="1">MIN(frost_mage_cap,TblMili[[#This Row],[Hill]]/frost_mage_bonus)</f>
        <v>2.1999999999999997</v>
      </c>
      <c r="CI46" s="45">
        <f ca="1">MIN(ice_elem_cap,TblMili[[#This Row],[Raw (2)]]*ice_elem_bonus)</f>
        <v>0.1</v>
      </c>
      <c r="CJ46" s="266">
        <f t="shared" si="2"/>
        <v>0.83333333333333337</v>
      </c>
      <c r="CK46" s="266">
        <f ca="1">MIN(nox_nightshade_cap,TblConstr[[#This Row],[Homeland]]/TblConstr[[#This Row],[Land]]/nox_nightshade_swamp_bonus)</f>
        <v>4</v>
      </c>
      <c r="CL46" s="267"/>
      <c r="CM46" s="267"/>
      <c r="CN46" s="267"/>
      <c r="CO46" s="266">
        <f ca="1">MIN(6,TblMili[[#This Row],[Mystic]]+Races!$F$19)*1.8 +  IF(TblMili[[#This Row],[Mystic]]+Races!$F$19&gt;6,(TblMili[[#This Row],[Mystic]]+Races!$F$19-6)*0.2,0) - Races!$I$19</f>
        <v>3.6399999999999997</v>
      </c>
      <c r="CP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6" s="97">
        <f ca="1">TblMili[[#This Row],[Mystic bonus]]*TblMili[[#This Row],[Unit 3]]+TblMili[[#This Row],[Druid bonus]]*TblMili[[#This Row],[Unit 4]]</f>
        <v>0</v>
      </c>
      <c r="CR46" s="158">
        <f ca="1">MIN(6,TblMili[[#This Row],[Dryad]]+Races!$F$35)*1.8 +  IF(TblMili[[#This Row],[Dryad]]+Races!$F$35&gt;6,(TblMili[[#This Row],[Dryad]]+Races!$F$35-6)*0.2,0) - Races!$I$19</f>
        <v>2.1599999999999993</v>
      </c>
      <c r="CS46" s="97">
        <f ca="1">sylvan*(TblMili[[#This Row],[Mystic bonus]]*TblMili[[#This Row],[Unit 3]])</f>
        <v>0</v>
      </c>
      <c r="CT46" s="158">
        <f ca="1">1.8 * MIN(MAX(Races!$E$27,TblMili[[#This Row],[Rockapult]]+Races!$F$27),6)  +  0.45 * MIN(MIN(Races!$E$27,TblMili[[#This Row],[Rockapult]]+Races!$F$27),6)  +  0.2 * ( MAX(Races!$E$27-6,0) + MAX(TblMili[[#This Row],[Rockapult]]+Races!$F$27-6,0) )  -  Races!$I$20</f>
        <v>5.8500000000000005</v>
      </c>
      <c r="CU46" s="97">
        <f ca="1">gnome*(TblMili[[#This Row],[Rockapult bonus]]*TblMili[[#This Row],[Unit 3]])</f>
        <v>0</v>
      </c>
      <c r="CV46" s="158">
        <f ca="1">1.8 * MIN(MAX(TblMili[[#This Row],[Spellblade]]+Races!$E$47,TblMili[[#This Row],[Adept-DP]]+Races!$F$47),6)  +  0.45 * MIN(MIN(TblMili[[#This Row],[Spellblade]]+Races!$E$47,TblMili[[#This Row],[Adept-DP]]+Races!$F$47),6)  +  0.2 * ( MAX(TblMili[[#This Row],[Spellblade]]+Races!$E$47-6,0) + MAX(TblMili[[#This Row],[Adept-DP]]+Races!$F$47-6,0) )  -  Races!$I$47</f>
        <v>0</v>
      </c>
      <c r="CW46" s="97">
        <f ca="1">dark_elf*(TblMili[[#This Row],[Adept bonus]]*TblMili[[#This Row],[Unit 3]])</f>
        <v>0</v>
      </c>
      <c r="CX46" s="158">
        <f ca="1">1.8 * MIN(MAX(TblMili[[#This Row],[Frost Mage]]+Races!$F$71,Races!$E$71),6)  +  0.45 * MIN(MIN(TblMili[[#This Row],[Frost Mage]]+Races!$F$71,Races!$E$71),6)  +  0.2 * ( MAX(TblMili[[#This Row],[Frost Mage]]+Races!$F$71-6,0) + MAX(Races!$E$71-6,0) )  -  Races!$I$71</f>
        <v>3.9599999999999991</v>
      </c>
      <c r="CY46" s="158">
        <f ca="1">1.8 * MIN(MAX(TblMili[[#This Row],[Ice Elemental]]+Races!$E$71,Races!$F$71),6)  +  0.45 * MIN(MIN(TblMili[[#This Row],[Ice Elemental]]+Races!$E$71,Races!$F$71),6)  +  0.2 * ( MAX(TblMili[[#This Row],[Ice Elemental]]+Races!$E$71-6,0) + MAX(Races!$F$71-6,0) )  -  Races!$I$71</f>
        <v>0.17999999999999972</v>
      </c>
      <c r="CZ46" s="97">
        <f ca="1">TblMili[[#This Row],[Frost Mage bonus]]*TblMili[[#This Row],[Unit 3]]+TblMili[[#This Row],[Ice Elemental bonus]]*TblMili[[#This Row],[Unit 4]]</f>
        <v>0</v>
      </c>
      <c r="DA46" s="268"/>
      <c r="DB46" s="146">
        <f ca="1">MIN(SUM(TblConstr[[#This Row],[Plain]:[Water]])/TblMili[[#This Row],[Land]]/favorable_terrain_bonus/100,favorable_terrain_max)</f>
        <v>0.1</v>
      </c>
      <c r="DC46" s="268"/>
      <c r="DD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6" s="145"/>
      <c r="DF46" s="269">
        <f ca="1">(TblMili[[#This Row],[Wizards]]+2*TblMili[[#This Row],[Archmages]])/TblConstr[[#This Row],[Land]]</f>
        <v>0.1</v>
      </c>
      <c r="DG46" s="269">
        <f ca="1">TblMili[[#This Row],[Raw (2)]]*(1+race_wizard_strength+IF(TblMili[[#This Row],[Hour]]&gt;72,tech_magical_weaponry_wiz*TblTech[[#This Row],[3-5]],0))</f>
        <v>0.1</v>
      </c>
    </row>
    <row r="47" spans="1:111"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45459.791666666562</v>
      </c>
      <c r="AG47" s="182"/>
      <c r="AH47" s="182"/>
      <c r="AI47" s="182"/>
      <c r="AJ47" s="182"/>
      <c r="AK47" s="182"/>
      <c r="AL47" s="182"/>
      <c r="AM47" s="182"/>
      <c r="AN47" s="182"/>
      <c r="AO47" s="449">
        <f ca="1">IF(AND(TblMagic[[#This Row],[Active DnD]]&lt;12,TblMagic[[#This Row],[Active DnD]]&gt;5),OFFSET(TblPop[[#This Row],[Draft Growth]],-1,0)/2,0)</f>
        <v>0</v>
      </c>
      <c r="AP47" s="145"/>
      <c r="AQ47" s="97">
        <f ca="1">TblProd[[#This Row],[Platinum]]</f>
        <v>356776</v>
      </c>
      <c r="AR47" s="97">
        <f ca="1">INDEX(TblProd[[#Headers],[Lumber]]:TblProd[[#This Row],[Ore]],COUNTA(TblProd[[#Headers],[Lumber]]:TblProd[[#This Row],[Lumber]]),MATCH(Military!$AQ$2,TblProd[[#Headers],[Lumber]:[Ore]],0))</f>
        <v>0</v>
      </c>
      <c r="AS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7">
        <f ca="1">TblMili[[#This Row],[Train Unit 1]]*TblMili[[#This Row],[OP Ore]]+TblMili[[#This Row],[Train Unit 2]]*TblMili[[#This Row],[DP Ore]]+TblMili[[#This Row],[Train Unit 3]]*TblMili[[#This Row],[E1 Ore]]+TblMili[[#This Row],[Train Unit 4]]*TblMili[[#This Row],[E2 Ore]]</f>
        <v>0</v>
      </c>
      <c r="AU47" s="145">
        <f>TblMili[[#This Row],[Hour]]</f>
        <v>44</v>
      </c>
      <c r="AV47" s="155">
        <f ca="1">TblMili[[#This Row],[Time]]</f>
        <v>45459.791666666562</v>
      </c>
      <c r="AW47" s="97">
        <f ca="1">TblMili[[#This Row],[Draftees]]</f>
        <v>626</v>
      </c>
      <c r="AX47" s="182"/>
      <c r="AY47" s="182"/>
      <c r="AZ47" s="182"/>
      <c r="BA47" s="182"/>
      <c r="BB47" s="182"/>
      <c r="BC47" s="182"/>
      <c r="BD47" s="182"/>
      <c r="BE47" s="182"/>
      <c r="BF47" s="182"/>
      <c r="BG47" s="145"/>
      <c r="BH47" s="160">
        <f ca="1">TblConstr[[#This Row],[Tot WG]]/TblConstr[[#This Row],[Land]]</f>
        <v>0</v>
      </c>
      <c r="BI47" s="160">
        <f ca="1">TblConstr[[#This Row],[Tot Hav]]/TblConstr[[#This Row],[Land]]</f>
        <v>0</v>
      </c>
      <c r="BJ47" s="97">
        <f ca="1">ROUNDUP((1-MIN(TblMili[[#This Row],[Smithies]]*smithy_bonus,smithy_bonus_cap) + tech_3_5*TblTech[[#This Row],[3-5]] + tech_5_3*TblTech[[#This Row],[5-3]] + tech_5_5*TblTech[[#This Row],[5-5]])*spec_op_plat,0)</f>
        <v>275</v>
      </c>
      <c r="BK47" s="97">
        <f ca="1">ROUNDUP(IF(race="Gnome",1,(1-MIN(TblMili[[#This Row],[Smithies]]*smithy_bonus,smithy_bonus_cap) + tech_3_5*TblTech[[#This Row],[3-5]] + tech_5_3*TblTech[[#This Row],[5-3]] + tech_5_5*TblTech[[#This Row],[5-5]]))*spec_op_ore,0)</f>
        <v>25</v>
      </c>
      <c r="BL47" s="97">
        <f ca="1">ROUNDUP((1-MIN(TblMili[[#This Row],[Smithies]]*smithy_bonus,smithy_bonus_cap) + tech_3_5*TblTech[[#This Row],[3-5]] + tech_5_3*TblTech[[#This Row],[5-3]] + tech_5_5*TblTech[[#This Row],[5-5]])*spec_dp_plat,0)</f>
        <v>275</v>
      </c>
      <c r="BM47" s="97">
        <f ca="1">ROUNDUP(IF(race="Gnome",1,(1-MIN(TblMili[[#This Row],[Smithies]]*smithy_bonus,smithy_bonus_cap) + tech_3_5*TblTech[[#This Row],[3-5]] + tech_5_3*TblTech[[#This Row],[5-3]] + tech_5_5*TblTech[[#This Row],[5-5]]))*spec_dp_ore,0)</f>
        <v>15</v>
      </c>
      <c r="BN47" s="97">
        <f ca="1">ROUNDUP((1-MIN(TblMili[[#This Row],[Smithies]]*smithy_bonus,smithy_bonus_cap) + tech_3_5*TblTech[[#This Row],[3-5]] + tech_5_3*TblTech[[#This Row],[5-3]] + tech_5_5*TblTech[[#This Row],[5-5]])*elite1_plat,0)</f>
        <v>1000</v>
      </c>
      <c r="BO47" s="97">
        <f ca="1">ROUNDUP(IF(race="Gnome",1,(1-MIN(TblMili[[#This Row],[Smithies]]*smithy_bonus,smithy_bonus_cap) + tech_3_5*TblTech[[#This Row],[3-5]] + tech_5_3*TblTech[[#This Row],[5-3]] + tech_5_5*TblTech[[#This Row],[5-5]]))*elite1_ore,0)</f>
        <v>75</v>
      </c>
      <c r="BP47" s="97">
        <f ca="1">ROUNDUP((1-MIN(TblMili[[#This Row],[Smithies]]*smithy_bonus,smithy_bonus_cap) + tech_3_5*TblTech[[#This Row],[3-5]] + tech_5_3*TblTech[[#This Row],[5-3]] + tech_5_5*TblTech[[#This Row],[5-5]])*elite2_plat,0)</f>
        <v>1250</v>
      </c>
      <c r="BQ47" s="97">
        <f ca="1">ROUNDUP(IF(race="Gnome",1,(1-MIN(TblMili[[#This Row],[Smithies]]*smithy_bonus,smithy_bonus_cap) + tech_3_5*TblTech[[#This Row],[3-5]] + tech_5_3*TblTech[[#This Row],[5-3]] + tech_5_5*TblTech[[#This Row],[5-5]]))*elite2_ore,0)</f>
        <v>100</v>
      </c>
      <c r="BR47" s="97">
        <f ca="1">ROUNDUP((1-MIN(ROUND(fh_spy_cost_red*TblMili[[#This Row],[FH''s]],4),fh_spy_cost_cap)+ tech_1_9*TblTech[[#This Row],[1-9]] + tech_9_1*TblTech[[#This Row],[9-1]])*spy_plat,0)</f>
        <v>500</v>
      </c>
      <c r="BS47" s="97">
        <f ca="1">ROUNDUP((1-MIN(ROUND(fh_spy_cost_red*TblMili[[#This Row],[FH''s]],4),fh_spy_cost_cap)+ tech_1_9*TblTech[[#This Row],[1-9]] + tech_9_1*TblTech[[#This Row],[9-1]])*archspy_plat,0)</f>
        <v>1000</v>
      </c>
      <c r="BT47" s="97">
        <f ca="1">ROUNDUP((1-MIN(ROUND(wg_wiz_cost_bonus*TblMili[[#This Row],[WG''s]],4),wg_wiz_cost_cap) + tech_1_9_2*TblTech[[#This Row],[1-9]] + tech_9_1_2*TblTech[[#This Row],[9-1]])*wizard_plat,0)</f>
        <v>500</v>
      </c>
      <c r="BU47" s="97">
        <f ca="1">ROUNDUP((1-MIN(ROUND(wg_wiz_cost_bonus*TblMili[[#This Row],[WG''s]],4),wg_wiz_cost_cap) + tech_1_9_2*TblTech[[#This Row],[1-9]] + tech_9_1_2*TblTech[[#This Row],[9-1]])*archmage_plat,0)</f>
        <v>1000</v>
      </c>
      <c r="BV47" s="145"/>
      <c r="BW47" s="160">
        <f ca="1">TblConstr[[#This Row],[Homeland]]/TblConstr[[#This Row],[Land]]</f>
        <v>0.44</v>
      </c>
      <c r="BX47" s="160">
        <f ca="1">TblMili[[#This Row],[WG''s]]</f>
        <v>0</v>
      </c>
      <c r="BY47" s="266">
        <f ca="1">IF(mystic_cap="none",TblMili[[#This Row],[Hill]]/mystic_bonus,MIN(mystic_cap,TblMili[[#This Row],[Hill]]/mystic_bonus))</f>
        <v>2.1999999999999997</v>
      </c>
      <c r="BZ47" s="266">
        <f ca="1">IF(druid_op_cap="none",TblMili[[#This Row],[Hill]]/druid_op_bonus,MIN(druid_op_cap,TblMili[[#This Row],[Hill]]/druid_op_bonus))</f>
        <v>2.1999999999999997</v>
      </c>
      <c r="CA47" s="266">
        <f ca="1">IF(druid_dp_cap="none",TblMili[[#This Row],[Hill]]/druid_dp_bonus,MIN(druid_dp_cap,TblMili[[#This Row],[Hill]]/druid_dp_bonus))</f>
        <v>2.1999999999999997</v>
      </c>
      <c r="CB47" s="266">
        <f ca="1">MIN(dryad_cap,TblMili[[#This Row],[Hill]]/dryad_bonus)</f>
        <v>2.1999999999999997</v>
      </c>
      <c r="CC47" s="266">
        <f ca="1">MIN(rocka_cap,TblMili[[#This Row],[Hill]]/rocka_bonus)</f>
        <v>2</v>
      </c>
      <c r="CD47" s="266">
        <f ca="1">MIN(adept_op_cap,TblMili[[#This Row],[WG]]/adept_op_bonus)</f>
        <v>0</v>
      </c>
      <c r="CE47" s="266">
        <f ca="1">MIN(adept_dp_cap,TblMili[[#This Row],[WG]]/adept_dp_bonus)</f>
        <v>0</v>
      </c>
      <c r="CF47" s="97">
        <f ca="1">MIN(TblMili[[#This Row],[Unit 3]],TblMili[[#This Row],[Unit 2]])*2</f>
        <v>0</v>
      </c>
      <c r="CG47" s="97">
        <f ca="1">MIN(TblMili[[#This Row],[Unit 1]],TblMili[[#This Row],[Unit 4]])*2</f>
        <v>0</v>
      </c>
      <c r="CH47" s="266">
        <f ca="1">MIN(frost_mage_cap,TblMili[[#This Row],[Hill]]/frost_mage_bonus)</f>
        <v>2.1999999999999997</v>
      </c>
      <c r="CI47" s="45">
        <f ca="1">MIN(ice_elem_cap,TblMili[[#This Row],[Raw (2)]]*ice_elem_bonus)</f>
        <v>0.1</v>
      </c>
      <c r="CJ47" s="266">
        <f t="shared" si="2"/>
        <v>0.83333333333333337</v>
      </c>
      <c r="CK47" s="266">
        <f ca="1">MIN(nox_nightshade_cap,TblConstr[[#This Row],[Homeland]]/TblConstr[[#This Row],[Land]]/nox_nightshade_swamp_bonus)</f>
        <v>4</v>
      </c>
      <c r="CL47" s="267"/>
      <c r="CM47" s="267"/>
      <c r="CN47" s="267"/>
      <c r="CO47" s="266">
        <f ca="1">MIN(6,TblMili[[#This Row],[Mystic]]+Races!$F$19)*1.8 +  IF(TblMili[[#This Row],[Mystic]]+Races!$F$19&gt;6,(TblMili[[#This Row],[Mystic]]+Races!$F$19-6)*0.2,0) - Races!$I$19</f>
        <v>3.6399999999999997</v>
      </c>
      <c r="CP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7" s="97">
        <f ca="1">TblMili[[#This Row],[Mystic bonus]]*TblMili[[#This Row],[Unit 3]]+TblMili[[#This Row],[Druid bonus]]*TblMili[[#This Row],[Unit 4]]</f>
        <v>0</v>
      </c>
      <c r="CR47" s="158">
        <f ca="1">MIN(6,TblMili[[#This Row],[Dryad]]+Races!$F$35)*1.8 +  IF(TblMili[[#This Row],[Dryad]]+Races!$F$35&gt;6,(TblMili[[#This Row],[Dryad]]+Races!$F$35-6)*0.2,0) - Races!$I$19</f>
        <v>2.1599999999999993</v>
      </c>
      <c r="CS47" s="97">
        <f ca="1">sylvan*(TblMili[[#This Row],[Mystic bonus]]*TblMili[[#This Row],[Unit 3]])</f>
        <v>0</v>
      </c>
      <c r="CT47" s="158">
        <f ca="1">1.8 * MIN(MAX(Races!$E$27,TblMili[[#This Row],[Rockapult]]+Races!$F$27),6)  +  0.45 * MIN(MIN(Races!$E$27,TblMili[[#This Row],[Rockapult]]+Races!$F$27),6)  +  0.2 * ( MAX(Races!$E$27-6,0) + MAX(TblMili[[#This Row],[Rockapult]]+Races!$F$27-6,0) )  -  Races!$I$20</f>
        <v>5.8500000000000005</v>
      </c>
      <c r="CU47" s="97">
        <f ca="1">gnome*(TblMili[[#This Row],[Rockapult bonus]]*TblMili[[#This Row],[Unit 3]])</f>
        <v>0</v>
      </c>
      <c r="CV47" s="158">
        <f ca="1">1.8 * MIN(MAX(TblMili[[#This Row],[Spellblade]]+Races!$E$47,TblMili[[#This Row],[Adept-DP]]+Races!$F$47),6)  +  0.45 * MIN(MIN(TblMili[[#This Row],[Spellblade]]+Races!$E$47,TblMili[[#This Row],[Adept-DP]]+Races!$F$47),6)  +  0.2 * ( MAX(TblMili[[#This Row],[Spellblade]]+Races!$E$47-6,0) + MAX(TblMili[[#This Row],[Adept-DP]]+Races!$F$47-6,0) )  -  Races!$I$47</f>
        <v>0</v>
      </c>
      <c r="CW47" s="97">
        <f ca="1">dark_elf*(TblMili[[#This Row],[Adept bonus]]*TblMili[[#This Row],[Unit 3]])</f>
        <v>0</v>
      </c>
      <c r="CX47" s="158">
        <f ca="1">1.8 * MIN(MAX(TblMili[[#This Row],[Frost Mage]]+Races!$F$71,Races!$E$71),6)  +  0.45 * MIN(MIN(TblMili[[#This Row],[Frost Mage]]+Races!$F$71,Races!$E$71),6)  +  0.2 * ( MAX(TblMili[[#This Row],[Frost Mage]]+Races!$F$71-6,0) + MAX(Races!$E$71-6,0) )  -  Races!$I$71</f>
        <v>3.9599999999999991</v>
      </c>
      <c r="CY47" s="158">
        <f ca="1">1.8 * MIN(MAX(TblMili[[#This Row],[Ice Elemental]]+Races!$E$71,Races!$F$71),6)  +  0.45 * MIN(MIN(TblMili[[#This Row],[Ice Elemental]]+Races!$E$71,Races!$F$71),6)  +  0.2 * ( MAX(TblMili[[#This Row],[Ice Elemental]]+Races!$E$71-6,0) + MAX(Races!$F$71-6,0) )  -  Races!$I$71</f>
        <v>0.17999999999999972</v>
      </c>
      <c r="CZ47" s="97">
        <f ca="1">TblMili[[#This Row],[Frost Mage bonus]]*TblMili[[#This Row],[Unit 3]]+TblMili[[#This Row],[Ice Elemental bonus]]*TblMili[[#This Row],[Unit 4]]</f>
        <v>0</v>
      </c>
      <c r="DA47" s="268"/>
      <c r="DB47" s="146">
        <f ca="1">MIN(SUM(TblConstr[[#This Row],[Plain]:[Water]])/TblMili[[#This Row],[Land]]/favorable_terrain_bonus/100,favorable_terrain_max)</f>
        <v>0.1</v>
      </c>
      <c r="DC47" s="268"/>
      <c r="DD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7" s="145"/>
      <c r="DF47" s="269">
        <f ca="1">(TblMili[[#This Row],[Wizards]]+2*TblMili[[#This Row],[Archmages]])/TblConstr[[#This Row],[Land]]</f>
        <v>0.1</v>
      </c>
      <c r="DG47" s="269">
        <f ca="1">TblMili[[#This Row],[Raw (2)]]*(1+race_wizard_strength+IF(TblMili[[#This Row],[Hour]]&gt;72,tech_magical_weaponry_wiz*TblTech[[#This Row],[3-5]],0))</f>
        <v>0.1</v>
      </c>
    </row>
    <row r="48" spans="1:111"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45459.833333333227</v>
      </c>
      <c r="AG48" s="182"/>
      <c r="AH48" s="182"/>
      <c r="AI48" s="182"/>
      <c r="AJ48" s="182"/>
      <c r="AK48" s="182"/>
      <c r="AL48" s="182"/>
      <c r="AM48" s="182"/>
      <c r="AN48" s="182"/>
      <c r="AO48" s="449">
        <f ca="1">IF(AND(TblMagic[[#This Row],[Active DnD]]&lt;12,TblMagic[[#This Row],[Active DnD]]&gt;5),OFFSET(TblPop[[#This Row],[Draft Growth]],-1,0)/2,0)</f>
        <v>0</v>
      </c>
      <c r="AP48" s="145"/>
      <c r="AQ48" s="97">
        <f ca="1">TblProd[[#This Row],[Platinum]]</f>
        <v>362262</v>
      </c>
      <c r="AR48" s="97">
        <f ca="1">INDEX(TblProd[[#Headers],[Lumber]]:TblProd[[#This Row],[Ore]],COUNTA(TblProd[[#Headers],[Lumber]]:TblProd[[#This Row],[Lumber]]),MATCH(Military!$AQ$2,TblProd[[#Headers],[Lumber]:[Ore]],0))</f>
        <v>0</v>
      </c>
      <c r="AS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7">
        <f ca="1">TblMili[[#This Row],[Train Unit 1]]*TblMili[[#This Row],[OP Ore]]+TblMili[[#This Row],[Train Unit 2]]*TblMili[[#This Row],[DP Ore]]+TblMili[[#This Row],[Train Unit 3]]*TblMili[[#This Row],[E1 Ore]]+TblMili[[#This Row],[Train Unit 4]]*TblMili[[#This Row],[E2 Ore]]</f>
        <v>0</v>
      </c>
      <c r="AU48" s="145">
        <f>TblMili[[#This Row],[Hour]]</f>
        <v>45</v>
      </c>
      <c r="AV48" s="155">
        <f ca="1">TblMili[[#This Row],[Time]]</f>
        <v>45459.833333333227</v>
      </c>
      <c r="AW48" s="97">
        <f ca="1">TblMili[[#This Row],[Draftees]]</f>
        <v>626</v>
      </c>
      <c r="AX48" s="182"/>
      <c r="AY48" s="182"/>
      <c r="AZ48" s="182"/>
      <c r="BA48" s="182"/>
      <c r="BB48" s="182"/>
      <c r="BC48" s="182"/>
      <c r="BD48" s="182"/>
      <c r="BE48" s="182"/>
      <c r="BF48" s="182"/>
      <c r="BG48" s="145"/>
      <c r="BH48" s="160">
        <f ca="1">TblConstr[[#This Row],[Tot WG]]/TblConstr[[#This Row],[Land]]</f>
        <v>0</v>
      </c>
      <c r="BI48" s="160">
        <f ca="1">TblConstr[[#This Row],[Tot Hav]]/TblConstr[[#This Row],[Land]]</f>
        <v>0</v>
      </c>
      <c r="BJ48" s="97">
        <f ca="1">ROUNDUP((1-MIN(TblMili[[#This Row],[Smithies]]*smithy_bonus,smithy_bonus_cap) + tech_3_5*TblTech[[#This Row],[3-5]] + tech_5_3*TblTech[[#This Row],[5-3]] + tech_5_5*TblTech[[#This Row],[5-5]])*spec_op_plat,0)</f>
        <v>275</v>
      </c>
      <c r="BK48" s="97">
        <f ca="1">ROUNDUP(IF(race="Gnome",1,(1-MIN(TblMili[[#This Row],[Smithies]]*smithy_bonus,smithy_bonus_cap) + tech_3_5*TblTech[[#This Row],[3-5]] + tech_5_3*TblTech[[#This Row],[5-3]] + tech_5_5*TblTech[[#This Row],[5-5]]))*spec_op_ore,0)</f>
        <v>25</v>
      </c>
      <c r="BL48" s="97">
        <f ca="1">ROUNDUP((1-MIN(TblMili[[#This Row],[Smithies]]*smithy_bonus,smithy_bonus_cap) + tech_3_5*TblTech[[#This Row],[3-5]] + tech_5_3*TblTech[[#This Row],[5-3]] + tech_5_5*TblTech[[#This Row],[5-5]])*spec_dp_plat,0)</f>
        <v>275</v>
      </c>
      <c r="BM48" s="97">
        <f ca="1">ROUNDUP(IF(race="Gnome",1,(1-MIN(TblMili[[#This Row],[Smithies]]*smithy_bonus,smithy_bonus_cap) + tech_3_5*TblTech[[#This Row],[3-5]] + tech_5_3*TblTech[[#This Row],[5-3]] + tech_5_5*TblTech[[#This Row],[5-5]]))*spec_dp_ore,0)</f>
        <v>15</v>
      </c>
      <c r="BN48" s="97">
        <f ca="1">ROUNDUP((1-MIN(TblMili[[#This Row],[Smithies]]*smithy_bonus,smithy_bonus_cap) + tech_3_5*TblTech[[#This Row],[3-5]] + tech_5_3*TblTech[[#This Row],[5-3]] + tech_5_5*TblTech[[#This Row],[5-5]])*elite1_plat,0)</f>
        <v>1000</v>
      </c>
      <c r="BO48" s="97">
        <f ca="1">ROUNDUP(IF(race="Gnome",1,(1-MIN(TblMili[[#This Row],[Smithies]]*smithy_bonus,smithy_bonus_cap) + tech_3_5*TblTech[[#This Row],[3-5]] + tech_5_3*TblTech[[#This Row],[5-3]] + tech_5_5*TblTech[[#This Row],[5-5]]))*elite1_ore,0)</f>
        <v>75</v>
      </c>
      <c r="BP48" s="97">
        <f ca="1">ROUNDUP((1-MIN(TblMili[[#This Row],[Smithies]]*smithy_bonus,smithy_bonus_cap) + tech_3_5*TblTech[[#This Row],[3-5]] + tech_5_3*TblTech[[#This Row],[5-3]] + tech_5_5*TblTech[[#This Row],[5-5]])*elite2_plat,0)</f>
        <v>1250</v>
      </c>
      <c r="BQ48" s="97">
        <f ca="1">ROUNDUP(IF(race="Gnome",1,(1-MIN(TblMili[[#This Row],[Smithies]]*smithy_bonus,smithy_bonus_cap) + tech_3_5*TblTech[[#This Row],[3-5]] + tech_5_3*TblTech[[#This Row],[5-3]] + tech_5_5*TblTech[[#This Row],[5-5]]))*elite2_ore,0)</f>
        <v>100</v>
      </c>
      <c r="BR48" s="97">
        <f ca="1">ROUNDUP((1-MIN(ROUND(fh_spy_cost_red*TblMili[[#This Row],[FH''s]],4),fh_spy_cost_cap)+ tech_1_9*TblTech[[#This Row],[1-9]] + tech_9_1*TblTech[[#This Row],[9-1]])*spy_plat,0)</f>
        <v>500</v>
      </c>
      <c r="BS48" s="97">
        <f ca="1">ROUNDUP((1-MIN(ROUND(fh_spy_cost_red*TblMili[[#This Row],[FH''s]],4),fh_spy_cost_cap)+ tech_1_9*TblTech[[#This Row],[1-9]] + tech_9_1*TblTech[[#This Row],[9-1]])*archspy_plat,0)</f>
        <v>1000</v>
      </c>
      <c r="BT48" s="97">
        <f ca="1">ROUNDUP((1-MIN(ROUND(wg_wiz_cost_bonus*TblMili[[#This Row],[WG''s]],4),wg_wiz_cost_cap) + tech_1_9_2*TblTech[[#This Row],[1-9]] + tech_9_1_2*TblTech[[#This Row],[9-1]])*wizard_plat,0)</f>
        <v>500</v>
      </c>
      <c r="BU48" s="97">
        <f ca="1">ROUNDUP((1-MIN(ROUND(wg_wiz_cost_bonus*TblMili[[#This Row],[WG''s]],4),wg_wiz_cost_cap) + tech_1_9_2*TblTech[[#This Row],[1-9]] + tech_9_1_2*TblTech[[#This Row],[9-1]])*archmage_plat,0)</f>
        <v>1000</v>
      </c>
      <c r="BV48" s="145"/>
      <c r="BW48" s="160">
        <f ca="1">TblConstr[[#This Row],[Homeland]]/TblConstr[[#This Row],[Land]]</f>
        <v>0.44</v>
      </c>
      <c r="BX48" s="160">
        <f ca="1">TblMili[[#This Row],[WG''s]]</f>
        <v>0</v>
      </c>
      <c r="BY48" s="266">
        <f ca="1">IF(mystic_cap="none",TblMili[[#This Row],[Hill]]/mystic_bonus,MIN(mystic_cap,TblMili[[#This Row],[Hill]]/mystic_bonus))</f>
        <v>2.1999999999999997</v>
      </c>
      <c r="BZ48" s="266">
        <f ca="1">IF(druid_op_cap="none",TblMili[[#This Row],[Hill]]/druid_op_bonus,MIN(druid_op_cap,TblMili[[#This Row],[Hill]]/druid_op_bonus))</f>
        <v>2.1999999999999997</v>
      </c>
      <c r="CA48" s="266">
        <f ca="1">IF(druid_dp_cap="none",TblMili[[#This Row],[Hill]]/druid_dp_bonus,MIN(druid_dp_cap,TblMili[[#This Row],[Hill]]/druid_dp_bonus))</f>
        <v>2.1999999999999997</v>
      </c>
      <c r="CB48" s="266">
        <f ca="1">MIN(dryad_cap,TblMili[[#This Row],[Hill]]/dryad_bonus)</f>
        <v>2.1999999999999997</v>
      </c>
      <c r="CC48" s="266">
        <f ca="1">MIN(rocka_cap,TblMili[[#This Row],[Hill]]/rocka_bonus)</f>
        <v>2</v>
      </c>
      <c r="CD48" s="266">
        <f ca="1">MIN(adept_op_cap,TblMili[[#This Row],[WG]]/adept_op_bonus)</f>
        <v>0</v>
      </c>
      <c r="CE48" s="266">
        <f ca="1">MIN(adept_dp_cap,TblMili[[#This Row],[WG]]/adept_dp_bonus)</f>
        <v>0</v>
      </c>
      <c r="CF48" s="97">
        <f ca="1">MIN(TblMili[[#This Row],[Unit 3]],TblMili[[#This Row],[Unit 2]])*2</f>
        <v>0</v>
      </c>
      <c r="CG48" s="97">
        <f ca="1">MIN(TblMili[[#This Row],[Unit 1]],TblMili[[#This Row],[Unit 4]])*2</f>
        <v>0</v>
      </c>
      <c r="CH48" s="266">
        <f ca="1">MIN(frost_mage_cap,TblMili[[#This Row],[Hill]]/frost_mage_bonus)</f>
        <v>2.1999999999999997</v>
      </c>
      <c r="CI48" s="45">
        <f ca="1">MIN(ice_elem_cap,TblMili[[#This Row],[Raw (2)]]*ice_elem_bonus)</f>
        <v>0.1</v>
      </c>
      <c r="CJ48" s="266">
        <f t="shared" si="2"/>
        <v>0.83333333333333337</v>
      </c>
      <c r="CK48" s="266">
        <f ca="1">MIN(nox_nightshade_cap,TblConstr[[#This Row],[Homeland]]/TblConstr[[#This Row],[Land]]/nox_nightshade_swamp_bonus)</f>
        <v>4</v>
      </c>
      <c r="CL48" s="267"/>
      <c r="CM48" s="267"/>
      <c r="CN48" s="267"/>
      <c r="CO48" s="266">
        <f ca="1">MIN(6,TblMili[[#This Row],[Mystic]]+Races!$F$19)*1.8 +  IF(TblMili[[#This Row],[Mystic]]+Races!$F$19&gt;6,(TblMili[[#This Row],[Mystic]]+Races!$F$19-6)*0.2,0) - Races!$I$19</f>
        <v>3.6399999999999997</v>
      </c>
      <c r="CP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8" s="97">
        <f ca="1">TblMili[[#This Row],[Mystic bonus]]*TblMili[[#This Row],[Unit 3]]+TblMili[[#This Row],[Druid bonus]]*TblMili[[#This Row],[Unit 4]]</f>
        <v>0</v>
      </c>
      <c r="CR48" s="158">
        <f ca="1">MIN(6,TblMili[[#This Row],[Dryad]]+Races!$F$35)*1.8 +  IF(TblMili[[#This Row],[Dryad]]+Races!$F$35&gt;6,(TblMili[[#This Row],[Dryad]]+Races!$F$35-6)*0.2,0) - Races!$I$19</f>
        <v>2.1599999999999993</v>
      </c>
      <c r="CS48" s="97">
        <f ca="1">sylvan*(TblMili[[#This Row],[Mystic bonus]]*TblMili[[#This Row],[Unit 3]])</f>
        <v>0</v>
      </c>
      <c r="CT48" s="158">
        <f ca="1">1.8 * MIN(MAX(Races!$E$27,TblMili[[#This Row],[Rockapult]]+Races!$F$27),6)  +  0.45 * MIN(MIN(Races!$E$27,TblMili[[#This Row],[Rockapult]]+Races!$F$27),6)  +  0.2 * ( MAX(Races!$E$27-6,0) + MAX(TblMili[[#This Row],[Rockapult]]+Races!$F$27-6,0) )  -  Races!$I$20</f>
        <v>5.8500000000000005</v>
      </c>
      <c r="CU48" s="97">
        <f ca="1">gnome*(TblMili[[#This Row],[Rockapult bonus]]*TblMili[[#This Row],[Unit 3]])</f>
        <v>0</v>
      </c>
      <c r="CV48" s="158">
        <f ca="1">1.8 * MIN(MAX(TblMili[[#This Row],[Spellblade]]+Races!$E$47,TblMili[[#This Row],[Adept-DP]]+Races!$F$47),6)  +  0.45 * MIN(MIN(TblMili[[#This Row],[Spellblade]]+Races!$E$47,TblMili[[#This Row],[Adept-DP]]+Races!$F$47),6)  +  0.2 * ( MAX(TblMili[[#This Row],[Spellblade]]+Races!$E$47-6,0) + MAX(TblMili[[#This Row],[Adept-DP]]+Races!$F$47-6,0) )  -  Races!$I$47</f>
        <v>0</v>
      </c>
      <c r="CW48" s="97">
        <f ca="1">dark_elf*(TblMili[[#This Row],[Adept bonus]]*TblMili[[#This Row],[Unit 3]])</f>
        <v>0</v>
      </c>
      <c r="CX48" s="158">
        <f ca="1">1.8 * MIN(MAX(TblMili[[#This Row],[Frost Mage]]+Races!$F$71,Races!$E$71),6)  +  0.45 * MIN(MIN(TblMili[[#This Row],[Frost Mage]]+Races!$F$71,Races!$E$71),6)  +  0.2 * ( MAX(TblMili[[#This Row],[Frost Mage]]+Races!$F$71-6,0) + MAX(Races!$E$71-6,0) )  -  Races!$I$71</f>
        <v>3.9599999999999991</v>
      </c>
      <c r="CY48" s="158">
        <f ca="1">1.8 * MIN(MAX(TblMili[[#This Row],[Ice Elemental]]+Races!$E$71,Races!$F$71),6)  +  0.45 * MIN(MIN(TblMili[[#This Row],[Ice Elemental]]+Races!$E$71,Races!$F$71),6)  +  0.2 * ( MAX(TblMili[[#This Row],[Ice Elemental]]+Races!$E$71-6,0) + MAX(Races!$F$71-6,0) )  -  Races!$I$71</f>
        <v>0.17999999999999972</v>
      </c>
      <c r="CZ48" s="97">
        <f ca="1">TblMili[[#This Row],[Frost Mage bonus]]*TblMili[[#This Row],[Unit 3]]+TblMili[[#This Row],[Ice Elemental bonus]]*TblMili[[#This Row],[Unit 4]]</f>
        <v>0</v>
      </c>
      <c r="DA48" s="268"/>
      <c r="DB48" s="146">
        <f ca="1">MIN(SUM(TblConstr[[#This Row],[Plain]:[Water]])/TblMili[[#This Row],[Land]]/favorable_terrain_bonus/100,favorable_terrain_max)</f>
        <v>0.1</v>
      </c>
      <c r="DC48" s="268"/>
      <c r="DD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8" s="145"/>
      <c r="DF48" s="269">
        <f ca="1">(TblMili[[#This Row],[Wizards]]+2*TblMili[[#This Row],[Archmages]])/TblConstr[[#This Row],[Land]]</f>
        <v>0.1</v>
      </c>
      <c r="DG48" s="269">
        <f ca="1">TblMili[[#This Row],[Raw (2)]]*(1+race_wizard_strength+IF(TblMili[[#This Row],[Hour]]&gt;72,tech_magical_weaponry_wiz*TblTech[[#This Row],[3-5]],0))</f>
        <v>0.1</v>
      </c>
    </row>
    <row r="49" spans="1:111"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45459.874999999891</v>
      </c>
      <c r="AG49" s="182"/>
      <c r="AH49" s="182"/>
      <c r="AI49" s="182"/>
      <c r="AJ49" s="182"/>
      <c r="AK49" s="182"/>
      <c r="AL49" s="182"/>
      <c r="AM49" s="182"/>
      <c r="AN49" s="182"/>
      <c r="AO49" s="449">
        <f ca="1">IF(AND(TblMagic[[#This Row],[Active DnD]]&lt;12,TblMagic[[#This Row],[Active DnD]]&gt;5),OFFSET(TblPop[[#This Row],[Draft Growth]],-1,0)/2,0)</f>
        <v>0</v>
      </c>
      <c r="AP49" s="145"/>
      <c r="AQ49" s="97">
        <f ca="1">TblProd[[#This Row],[Platinum]]</f>
        <v>367748</v>
      </c>
      <c r="AR49" s="97">
        <f ca="1">INDEX(TblProd[[#Headers],[Lumber]]:TblProd[[#This Row],[Ore]],COUNTA(TblProd[[#Headers],[Lumber]]:TblProd[[#This Row],[Lumber]]),MATCH(Military!$AQ$2,TblProd[[#Headers],[Lumber]:[Ore]],0))</f>
        <v>0</v>
      </c>
      <c r="AS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7">
        <f ca="1">TblMili[[#This Row],[Train Unit 1]]*TblMili[[#This Row],[OP Ore]]+TblMili[[#This Row],[Train Unit 2]]*TblMili[[#This Row],[DP Ore]]+TblMili[[#This Row],[Train Unit 3]]*TblMili[[#This Row],[E1 Ore]]+TblMili[[#This Row],[Train Unit 4]]*TblMili[[#This Row],[E2 Ore]]</f>
        <v>0</v>
      </c>
      <c r="AU49" s="145">
        <f>TblMili[[#This Row],[Hour]]</f>
        <v>46</v>
      </c>
      <c r="AV49" s="155">
        <f ca="1">TblMili[[#This Row],[Time]]</f>
        <v>45459.874999999891</v>
      </c>
      <c r="AW49" s="97">
        <f ca="1">TblMili[[#This Row],[Draftees]]</f>
        <v>626</v>
      </c>
      <c r="AX49" s="182"/>
      <c r="AY49" s="182"/>
      <c r="AZ49" s="182"/>
      <c r="BA49" s="182"/>
      <c r="BB49" s="182"/>
      <c r="BC49" s="182"/>
      <c r="BD49" s="182"/>
      <c r="BE49" s="182"/>
      <c r="BF49" s="182"/>
      <c r="BG49" s="145"/>
      <c r="BH49" s="160">
        <f ca="1">TblConstr[[#This Row],[Tot WG]]/TblConstr[[#This Row],[Land]]</f>
        <v>0</v>
      </c>
      <c r="BI49" s="160">
        <f ca="1">TblConstr[[#This Row],[Tot Hav]]/TblConstr[[#This Row],[Land]]</f>
        <v>0</v>
      </c>
      <c r="BJ49" s="97">
        <f ca="1">ROUNDUP((1-MIN(TblMili[[#This Row],[Smithies]]*smithy_bonus,smithy_bonus_cap) + tech_3_5*TblTech[[#This Row],[3-5]] + tech_5_3*TblTech[[#This Row],[5-3]] + tech_5_5*TblTech[[#This Row],[5-5]])*spec_op_plat,0)</f>
        <v>275</v>
      </c>
      <c r="BK49" s="97">
        <f ca="1">ROUNDUP(IF(race="Gnome",1,(1-MIN(TblMili[[#This Row],[Smithies]]*smithy_bonus,smithy_bonus_cap) + tech_3_5*TblTech[[#This Row],[3-5]] + tech_5_3*TblTech[[#This Row],[5-3]] + tech_5_5*TblTech[[#This Row],[5-5]]))*spec_op_ore,0)</f>
        <v>25</v>
      </c>
      <c r="BL49" s="97">
        <f ca="1">ROUNDUP((1-MIN(TblMili[[#This Row],[Smithies]]*smithy_bonus,smithy_bonus_cap) + tech_3_5*TblTech[[#This Row],[3-5]] + tech_5_3*TblTech[[#This Row],[5-3]] + tech_5_5*TblTech[[#This Row],[5-5]])*spec_dp_plat,0)</f>
        <v>275</v>
      </c>
      <c r="BM49" s="97">
        <f ca="1">ROUNDUP(IF(race="Gnome",1,(1-MIN(TblMili[[#This Row],[Smithies]]*smithy_bonus,smithy_bonus_cap) + tech_3_5*TblTech[[#This Row],[3-5]] + tech_5_3*TblTech[[#This Row],[5-3]] + tech_5_5*TblTech[[#This Row],[5-5]]))*spec_dp_ore,0)</f>
        <v>15</v>
      </c>
      <c r="BN49" s="97">
        <f ca="1">ROUNDUP((1-MIN(TblMili[[#This Row],[Smithies]]*smithy_bonus,smithy_bonus_cap) + tech_3_5*TblTech[[#This Row],[3-5]] + tech_5_3*TblTech[[#This Row],[5-3]] + tech_5_5*TblTech[[#This Row],[5-5]])*elite1_plat,0)</f>
        <v>1000</v>
      </c>
      <c r="BO49" s="97">
        <f ca="1">ROUNDUP(IF(race="Gnome",1,(1-MIN(TblMili[[#This Row],[Smithies]]*smithy_bonus,smithy_bonus_cap) + tech_3_5*TblTech[[#This Row],[3-5]] + tech_5_3*TblTech[[#This Row],[5-3]] + tech_5_5*TblTech[[#This Row],[5-5]]))*elite1_ore,0)</f>
        <v>75</v>
      </c>
      <c r="BP49" s="97">
        <f ca="1">ROUNDUP((1-MIN(TblMili[[#This Row],[Smithies]]*smithy_bonus,smithy_bonus_cap) + tech_3_5*TblTech[[#This Row],[3-5]] + tech_5_3*TblTech[[#This Row],[5-3]] + tech_5_5*TblTech[[#This Row],[5-5]])*elite2_plat,0)</f>
        <v>1250</v>
      </c>
      <c r="BQ49" s="97">
        <f ca="1">ROUNDUP(IF(race="Gnome",1,(1-MIN(TblMili[[#This Row],[Smithies]]*smithy_bonus,smithy_bonus_cap) + tech_3_5*TblTech[[#This Row],[3-5]] + tech_5_3*TblTech[[#This Row],[5-3]] + tech_5_5*TblTech[[#This Row],[5-5]]))*elite2_ore,0)</f>
        <v>100</v>
      </c>
      <c r="BR49" s="97">
        <f ca="1">ROUNDUP((1-MIN(ROUND(fh_spy_cost_red*TblMili[[#This Row],[FH''s]],4),fh_spy_cost_cap)+ tech_1_9*TblTech[[#This Row],[1-9]] + tech_9_1*TblTech[[#This Row],[9-1]])*spy_plat,0)</f>
        <v>500</v>
      </c>
      <c r="BS49" s="97">
        <f ca="1">ROUNDUP((1-MIN(ROUND(fh_spy_cost_red*TblMili[[#This Row],[FH''s]],4),fh_spy_cost_cap)+ tech_1_9*TblTech[[#This Row],[1-9]] + tech_9_1*TblTech[[#This Row],[9-1]])*archspy_plat,0)</f>
        <v>1000</v>
      </c>
      <c r="BT49" s="97">
        <f ca="1">ROUNDUP((1-MIN(ROUND(wg_wiz_cost_bonus*TblMili[[#This Row],[WG''s]],4),wg_wiz_cost_cap) + tech_1_9_2*TblTech[[#This Row],[1-9]] + tech_9_1_2*TblTech[[#This Row],[9-1]])*wizard_plat,0)</f>
        <v>500</v>
      </c>
      <c r="BU49" s="97">
        <f ca="1">ROUNDUP((1-MIN(ROUND(wg_wiz_cost_bonus*TblMili[[#This Row],[WG''s]],4),wg_wiz_cost_cap) + tech_1_9_2*TblTech[[#This Row],[1-9]] + tech_9_1_2*TblTech[[#This Row],[9-1]])*archmage_plat,0)</f>
        <v>1000</v>
      </c>
      <c r="BV49" s="145"/>
      <c r="BW49" s="160">
        <f ca="1">TblConstr[[#This Row],[Homeland]]/TblConstr[[#This Row],[Land]]</f>
        <v>0.44</v>
      </c>
      <c r="BX49" s="160">
        <f ca="1">TblMili[[#This Row],[WG''s]]</f>
        <v>0</v>
      </c>
      <c r="BY49" s="266">
        <f ca="1">IF(mystic_cap="none",TblMili[[#This Row],[Hill]]/mystic_bonus,MIN(mystic_cap,TblMili[[#This Row],[Hill]]/mystic_bonus))</f>
        <v>2.1999999999999997</v>
      </c>
      <c r="BZ49" s="266">
        <f ca="1">IF(druid_op_cap="none",TblMili[[#This Row],[Hill]]/druid_op_bonus,MIN(druid_op_cap,TblMili[[#This Row],[Hill]]/druid_op_bonus))</f>
        <v>2.1999999999999997</v>
      </c>
      <c r="CA49" s="266">
        <f ca="1">IF(druid_dp_cap="none",TblMili[[#This Row],[Hill]]/druid_dp_bonus,MIN(druid_dp_cap,TblMili[[#This Row],[Hill]]/druid_dp_bonus))</f>
        <v>2.1999999999999997</v>
      </c>
      <c r="CB49" s="266">
        <f ca="1">MIN(dryad_cap,TblMili[[#This Row],[Hill]]/dryad_bonus)</f>
        <v>2.1999999999999997</v>
      </c>
      <c r="CC49" s="266">
        <f ca="1">MIN(rocka_cap,TblMili[[#This Row],[Hill]]/rocka_bonus)</f>
        <v>2</v>
      </c>
      <c r="CD49" s="266">
        <f ca="1">MIN(adept_op_cap,TblMili[[#This Row],[WG]]/adept_op_bonus)</f>
        <v>0</v>
      </c>
      <c r="CE49" s="266">
        <f ca="1">MIN(adept_dp_cap,TblMili[[#This Row],[WG]]/adept_dp_bonus)</f>
        <v>0</v>
      </c>
      <c r="CF49" s="97">
        <f ca="1">MIN(TblMili[[#This Row],[Unit 3]],TblMili[[#This Row],[Unit 2]])*2</f>
        <v>0</v>
      </c>
      <c r="CG49" s="97">
        <f ca="1">MIN(TblMili[[#This Row],[Unit 1]],TblMili[[#This Row],[Unit 4]])*2</f>
        <v>0</v>
      </c>
      <c r="CH49" s="266">
        <f ca="1">MIN(frost_mage_cap,TblMili[[#This Row],[Hill]]/frost_mage_bonus)</f>
        <v>2.1999999999999997</v>
      </c>
      <c r="CI49" s="45">
        <f ca="1">MIN(ice_elem_cap,TblMili[[#This Row],[Raw (2)]]*ice_elem_bonus)</f>
        <v>0.1</v>
      </c>
      <c r="CJ49" s="266">
        <f t="shared" si="2"/>
        <v>0.83333333333333337</v>
      </c>
      <c r="CK49" s="266">
        <f ca="1">MIN(nox_nightshade_cap,TblConstr[[#This Row],[Homeland]]/TblConstr[[#This Row],[Land]]/nox_nightshade_swamp_bonus)</f>
        <v>4</v>
      </c>
      <c r="CL49" s="267"/>
      <c r="CM49" s="267"/>
      <c r="CN49" s="267"/>
      <c r="CO49" s="266">
        <f ca="1">MIN(6,TblMili[[#This Row],[Mystic]]+Races!$F$19)*1.8 +  IF(TblMili[[#This Row],[Mystic]]+Races!$F$19&gt;6,(TblMili[[#This Row],[Mystic]]+Races!$F$19-6)*0.2,0) - Races!$I$19</f>
        <v>3.6399999999999997</v>
      </c>
      <c r="CP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9" s="97">
        <f ca="1">TblMili[[#This Row],[Mystic bonus]]*TblMili[[#This Row],[Unit 3]]+TblMili[[#This Row],[Druid bonus]]*TblMili[[#This Row],[Unit 4]]</f>
        <v>0</v>
      </c>
      <c r="CR49" s="158">
        <f ca="1">MIN(6,TblMili[[#This Row],[Dryad]]+Races!$F$35)*1.8 +  IF(TblMili[[#This Row],[Dryad]]+Races!$F$35&gt;6,(TblMili[[#This Row],[Dryad]]+Races!$F$35-6)*0.2,0) - Races!$I$19</f>
        <v>2.1599999999999993</v>
      </c>
      <c r="CS49" s="97">
        <f ca="1">sylvan*(TblMili[[#This Row],[Mystic bonus]]*TblMili[[#This Row],[Unit 3]])</f>
        <v>0</v>
      </c>
      <c r="CT49" s="158">
        <f ca="1">1.8 * MIN(MAX(Races!$E$27,TblMili[[#This Row],[Rockapult]]+Races!$F$27),6)  +  0.45 * MIN(MIN(Races!$E$27,TblMili[[#This Row],[Rockapult]]+Races!$F$27),6)  +  0.2 * ( MAX(Races!$E$27-6,0) + MAX(TblMili[[#This Row],[Rockapult]]+Races!$F$27-6,0) )  -  Races!$I$20</f>
        <v>5.8500000000000005</v>
      </c>
      <c r="CU49" s="97">
        <f ca="1">gnome*(TblMili[[#This Row],[Rockapult bonus]]*TblMili[[#This Row],[Unit 3]])</f>
        <v>0</v>
      </c>
      <c r="CV49" s="158">
        <f ca="1">1.8 * MIN(MAX(TblMili[[#This Row],[Spellblade]]+Races!$E$47,TblMili[[#This Row],[Adept-DP]]+Races!$F$47),6)  +  0.45 * MIN(MIN(TblMili[[#This Row],[Spellblade]]+Races!$E$47,TblMili[[#This Row],[Adept-DP]]+Races!$F$47),6)  +  0.2 * ( MAX(TblMili[[#This Row],[Spellblade]]+Races!$E$47-6,0) + MAX(TblMili[[#This Row],[Adept-DP]]+Races!$F$47-6,0) )  -  Races!$I$47</f>
        <v>0</v>
      </c>
      <c r="CW49" s="97">
        <f ca="1">dark_elf*(TblMili[[#This Row],[Adept bonus]]*TblMili[[#This Row],[Unit 3]])</f>
        <v>0</v>
      </c>
      <c r="CX49" s="158">
        <f ca="1">1.8 * MIN(MAX(TblMili[[#This Row],[Frost Mage]]+Races!$F$71,Races!$E$71),6)  +  0.45 * MIN(MIN(TblMili[[#This Row],[Frost Mage]]+Races!$F$71,Races!$E$71),6)  +  0.2 * ( MAX(TblMili[[#This Row],[Frost Mage]]+Races!$F$71-6,0) + MAX(Races!$E$71-6,0) )  -  Races!$I$71</f>
        <v>3.9599999999999991</v>
      </c>
      <c r="CY49" s="158">
        <f ca="1">1.8 * MIN(MAX(TblMili[[#This Row],[Ice Elemental]]+Races!$E$71,Races!$F$71),6)  +  0.45 * MIN(MIN(TblMili[[#This Row],[Ice Elemental]]+Races!$E$71,Races!$F$71),6)  +  0.2 * ( MAX(TblMili[[#This Row],[Ice Elemental]]+Races!$E$71-6,0) + MAX(Races!$F$71-6,0) )  -  Races!$I$71</f>
        <v>0.17999999999999972</v>
      </c>
      <c r="CZ49" s="97">
        <f ca="1">TblMili[[#This Row],[Frost Mage bonus]]*TblMili[[#This Row],[Unit 3]]+TblMili[[#This Row],[Ice Elemental bonus]]*TblMili[[#This Row],[Unit 4]]</f>
        <v>0</v>
      </c>
      <c r="DA49" s="268"/>
      <c r="DB49" s="146">
        <f ca="1">MIN(SUM(TblConstr[[#This Row],[Plain]:[Water]])/TblMili[[#This Row],[Land]]/favorable_terrain_bonus/100,favorable_terrain_max)</f>
        <v>0.1</v>
      </c>
      <c r="DC49" s="268"/>
      <c r="DD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9" s="145"/>
      <c r="DF49" s="269">
        <f ca="1">(TblMili[[#This Row],[Wizards]]+2*TblMili[[#This Row],[Archmages]])/TblConstr[[#This Row],[Land]]</f>
        <v>0.1</v>
      </c>
      <c r="DG49" s="269">
        <f ca="1">TblMili[[#This Row],[Raw (2)]]*(1+race_wizard_strength+IF(TblMili[[#This Row],[Hour]]&gt;72,tech_magical_weaponry_wiz*TblTech[[#This Row],[3-5]],0))</f>
        <v>0.1</v>
      </c>
    </row>
    <row r="50" spans="1:111"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45459.916666666555</v>
      </c>
      <c r="AG50" s="182"/>
      <c r="AH50" s="182"/>
      <c r="AI50" s="182"/>
      <c r="AJ50" s="182"/>
      <c r="AK50" s="182"/>
      <c r="AL50" s="182"/>
      <c r="AM50" s="182"/>
      <c r="AN50" s="182"/>
      <c r="AO50" s="449">
        <f ca="1">IF(AND(TblMagic[[#This Row],[Active DnD]]&lt;12,TblMagic[[#This Row],[Active DnD]]&gt;5),OFFSET(TblPop[[#This Row],[Draft Growth]],-1,0)/2,0)</f>
        <v>0</v>
      </c>
      <c r="AP50" s="145"/>
      <c r="AQ50" s="97">
        <f ca="1">TblProd[[#This Row],[Platinum]]</f>
        <v>373234</v>
      </c>
      <c r="AR50" s="97">
        <f ca="1">INDEX(TblProd[[#Headers],[Lumber]]:TblProd[[#This Row],[Ore]],COUNTA(TblProd[[#Headers],[Lumber]]:TblProd[[#This Row],[Lumber]]),MATCH(Military!$AQ$2,TblProd[[#Headers],[Lumber]:[Ore]],0))</f>
        <v>0</v>
      </c>
      <c r="AS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7">
        <f ca="1">TblMili[[#This Row],[Train Unit 1]]*TblMili[[#This Row],[OP Ore]]+TblMili[[#This Row],[Train Unit 2]]*TblMili[[#This Row],[DP Ore]]+TblMili[[#This Row],[Train Unit 3]]*TblMili[[#This Row],[E1 Ore]]+TblMili[[#This Row],[Train Unit 4]]*TblMili[[#This Row],[E2 Ore]]</f>
        <v>0</v>
      </c>
      <c r="AU50" s="145">
        <f>TblMili[[#This Row],[Hour]]</f>
        <v>47</v>
      </c>
      <c r="AV50" s="155">
        <f ca="1">TblMili[[#This Row],[Time]]</f>
        <v>45459.916666666555</v>
      </c>
      <c r="AW50" s="97">
        <f ca="1">TblMili[[#This Row],[Draftees]]</f>
        <v>626</v>
      </c>
      <c r="AX50" s="182"/>
      <c r="AY50" s="182"/>
      <c r="AZ50" s="182"/>
      <c r="BA50" s="182"/>
      <c r="BB50" s="182"/>
      <c r="BC50" s="182"/>
      <c r="BD50" s="182"/>
      <c r="BE50" s="182"/>
      <c r="BF50" s="182"/>
      <c r="BG50" s="145"/>
      <c r="BH50" s="160">
        <f ca="1">TblConstr[[#This Row],[Tot WG]]/TblConstr[[#This Row],[Land]]</f>
        <v>0</v>
      </c>
      <c r="BI50" s="160">
        <f ca="1">TblConstr[[#This Row],[Tot Hav]]/TblConstr[[#This Row],[Land]]</f>
        <v>0</v>
      </c>
      <c r="BJ50" s="97">
        <f ca="1">ROUNDUP((1-MIN(TblMili[[#This Row],[Smithies]]*smithy_bonus,smithy_bonus_cap) + tech_3_5*TblTech[[#This Row],[3-5]] + tech_5_3*TblTech[[#This Row],[5-3]] + tech_5_5*TblTech[[#This Row],[5-5]])*spec_op_plat,0)</f>
        <v>275</v>
      </c>
      <c r="BK50" s="97">
        <f ca="1">ROUNDUP(IF(race="Gnome",1,(1-MIN(TblMili[[#This Row],[Smithies]]*smithy_bonus,smithy_bonus_cap) + tech_3_5*TblTech[[#This Row],[3-5]] + tech_5_3*TblTech[[#This Row],[5-3]] + tech_5_5*TblTech[[#This Row],[5-5]]))*spec_op_ore,0)</f>
        <v>25</v>
      </c>
      <c r="BL50" s="97">
        <f ca="1">ROUNDUP((1-MIN(TblMili[[#This Row],[Smithies]]*smithy_bonus,smithy_bonus_cap) + tech_3_5*TblTech[[#This Row],[3-5]] + tech_5_3*TblTech[[#This Row],[5-3]] + tech_5_5*TblTech[[#This Row],[5-5]])*spec_dp_plat,0)</f>
        <v>275</v>
      </c>
      <c r="BM50" s="97">
        <f ca="1">ROUNDUP(IF(race="Gnome",1,(1-MIN(TblMili[[#This Row],[Smithies]]*smithy_bonus,smithy_bonus_cap) + tech_3_5*TblTech[[#This Row],[3-5]] + tech_5_3*TblTech[[#This Row],[5-3]] + tech_5_5*TblTech[[#This Row],[5-5]]))*spec_dp_ore,0)</f>
        <v>15</v>
      </c>
      <c r="BN50" s="97">
        <f ca="1">ROUNDUP((1-MIN(TblMili[[#This Row],[Smithies]]*smithy_bonus,smithy_bonus_cap) + tech_3_5*TblTech[[#This Row],[3-5]] + tech_5_3*TblTech[[#This Row],[5-3]] + tech_5_5*TblTech[[#This Row],[5-5]])*elite1_plat,0)</f>
        <v>1000</v>
      </c>
      <c r="BO50" s="97">
        <f ca="1">ROUNDUP(IF(race="Gnome",1,(1-MIN(TblMili[[#This Row],[Smithies]]*smithy_bonus,smithy_bonus_cap) + tech_3_5*TblTech[[#This Row],[3-5]] + tech_5_3*TblTech[[#This Row],[5-3]] + tech_5_5*TblTech[[#This Row],[5-5]]))*elite1_ore,0)</f>
        <v>75</v>
      </c>
      <c r="BP50" s="97">
        <f ca="1">ROUNDUP((1-MIN(TblMili[[#This Row],[Smithies]]*smithy_bonus,smithy_bonus_cap) + tech_3_5*TblTech[[#This Row],[3-5]] + tech_5_3*TblTech[[#This Row],[5-3]] + tech_5_5*TblTech[[#This Row],[5-5]])*elite2_plat,0)</f>
        <v>1250</v>
      </c>
      <c r="BQ50" s="97">
        <f ca="1">ROUNDUP(IF(race="Gnome",1,(1-MIN(TblMili[[#This Row],[Smithies]]*smithy_bonus,smithy_bonus_cap) + tech_3_5*TblTech[[#This Row],[3-5]] + tech_5_3*TblTech[[#This Row],[5-3]] + tech_5_5*TblTech[[#This Row],[5-5]]))*elite2_ore,0)</f>
        <v>100</v>
      </c>
      <c r="BR50" s="97">
        <f ca="1">ROUNDUP((1-MIN(ROUND(fh_spy_cost_red*TblMili[[#This Row],[FH''s]],4),fh_spy_cost_cap)+ tech_1_9*TblTech[[#This Row],[1-9]] + tech_9_1*TblTech[[#This Row],[9-1]])*spy_plat,0)</f>
        <v>500</v>
      </c>
      <c r="BS50" s="97">
        <f ca="1">ROUNDUP((1-MIN(ROUND(fh_spy_cost_red*TblMili[[#This Row],[FH''s]],4),fh_spy_cost_cap)+ tech_1_9*TblTech[[#This Row],[1-9]] + tech_9_1*TblTech[[#This Row],[9-1]])*archspy_plat,0)</f>
        <v>1000</v>
      </c>
      <c r="BT50" s="97">
        <f ca="1">ROUNDUP((1-MIN(ROUND(wg_wiz_cost_bonus*TblMili[[#This Row],[WG''s]],4),wg_wiz_cost_cap) + tech_1_9_2*TblTech[[#This Row],[1-9]] + tech_9_1_2*TblTech[[#This Row],[9-1]])*wizard_plat,0)</f>
        <v>500</v>
      </c>
      <c r="BU50" s="97">
        <f ca="1">ROUNDUP((1-MIN(ROUND(wg_wiz_cost_bonus*TblMili[[#This Row],[WG''s]],4),wg_wiz_cost_cap) + tech_1_9_2*TblTech[[#This Row],[1-9]] + tech_9_1_2*TblTech[[#This Row],[9-1]])*archmage_plat,0)</f>
        <v>1000</v>
      </c>
      <c r="BV50" s="145"/>
      <c r="BW50" s="160">
        <f ca="1">TblConstr[[#This Row],[Homeland]]/TblConstr[[#This Row],[Land]]</f>
        <v>0.44</v>
      </c>
      <c r="BX50" s="160">
        <f ca="1">TblMili[[#This Row],[WG''s]]</f>
        <v>0</v>
      </c>
      <c r="BY50" s="266">
        <f ca="1">IF(mystic_cap="none",TblMili[[#This Row],[Hill]]/mystic_bonus,MIN(mystic_cap,TblMili[[#This Row],[Hill]]/mystic_bonus))</f>
        <v>2.1999999999999997</v>
      </c>
      <c r="BZ50" s="266">
        <f ca="1">IF(druid_op_cap="none",TblMili[[#This Row],[Hill]]/druid_op_bonus,MIN(druid_op_cap,TblMili[[#This Row],[Hill]]/druid_op_bonus))</f>
        <v>2.1999999999999997</v>
      </c>
      <c r="CA50" s="266">
        <f ca="1">IF(druid_dp_cap="none",TblMili[[#This Row],[Hill]]/druid_dp_bonus,MIN(druid_dp_cap,TblMili[[#This Row],[Hill]]/druid_dp_bonus))</f>
        <v>2.1999999999999997</v>
      </c>
      <c r="CB50" s="266">
        <f ca="1">MIN(dryad_cap,TblMili[[#This Row],[Hill]]/dryad_bonus)</f>
        <v>2.1999999999999997</v>
      </c>
      <c r="CC50" s="266">
        <f ca="1">MIN(rocka_cap,TblMili[[#This Row],[Hill]]/rocka_bonus)</f>
        <v>2</v>
      </c>
      <c r="CD50" s="266">
        <f ca="1">MIN(adept_op_cap,TblMili[[#This Row],[WG]]/adept_op_bonus)</f>
        <v>0</v>
      </c>
      <c r="CE50" s="266">
        <f ca="1">MIN(adept_dp_cap,TblMili[[#This Row],[WG]]/adept_dp_bonus)</f>
        <v>0</v>
      </c>
      <c r="CF50" s="97">
        <f ca="1">MIN(TblMili[[#This Row],[Unit 3]],TblMili[[#This Row],[Unit 2]])*2</f>
        <v>0</v>
      </c>
      <c r="CG50" s="97">
        <f ca="1">MIN(TblMili[[#This Row],[Unit 1]],TblMili[[#This Row],[Unit 4]])*2</f>
        <v>0</v>
      </c>
      <c r="CH50" s="266">
        <f ca="1">MIN(frost_mage_cap,TblMili[[#This Row],[Hill]]/frost_mage_bonus)</f>
        <v>2.1999999999999997</v>
      </c>
      <c r="CI50" s="45">
        <f ca="1">MIN(ice_elem_cap,TblMili[[#This Row],[Raw (2)]]*ice_elem_bonus)</f>
        <v>0.1</v>
      </c>
      <c r="CJ50" s="266">
        <f t="shared" si="2"/>
        <v>0.83333333333333337</v>
      </c>
      <c r="CK50" s="266">
        <f ca="1">MIN(nox_nightshade_cap,TblConstr[[#This Row],[Homeland]]/TblConstr[[#This Row],[Land]]/nox_nightshade_swamp_bonus)</f>
        <v>4</v>
      </c>
      <c r="CL50" s="267"/>
      <c r="CM50" s="267"/>
      <c r="CN50" s="267"/>
      <c r="CO50" s="266">
        <f ca="1">MIN(6,TblMili[[#This Row],[Mystic]]+Races!$F$19)*1.8 +  IF(TblMili[[#This Row],[Mystic]]+Races!$F$19&gt;6,(TblMili[[#This Row],[Mystic]]+Races!$F$19-6)*0.2,0) - Races!$I$19</f>
        <v>3.6399999999999997</v>
      </c>
      <c r="CP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0" s="97">
        <f ca="1">TblMili[[#This Row],[Mystic bonus]]*TblMili[[#This Row],[Unit 3]]+TblMili[[#This Row],[Druid bonus]]*TblMili[[#This Row],[Unit 4]]</f>
        <v>0</v>
      </c>
      <c r="CR50" s="158">
        <f ca="1">MIN(6,TblMili[[#This Row],[Dryad]]+Races!$F$35)*1.8 +  IF(TblMili[[#This Row],[Dryad]]+Races!$F$35&gt;6,(TblMili[[#This Row],[Dryad]]+Races!$F$35-6)*0.2,0) - Races!$I$19</f>
        <v>2.1599999999999993</v>
      </c>
      <c r="CS50" s="97">
        <f ca="1">sylvan*(TblMili[[#This Row],[Mystic bonus]]*TblMili[[#This Row],[Unit 3]])</f>
        <v>0</v>
      </c>
      <c r="CT50" s="158">
        <f ca="1">1.8 * MIN(MAX(Races!$E$27,TblMili[[#This Row],[Rockapult]]+Races!$F$27),6)  +  0.45 * MIN(MIN(Races!$E$27,TblMili[[#This Row],[Rockapult]]+Races!$F$27),6)  +  0.2 * ( MAX(Races!$E$27-6,0) + MAX(TblMili[[#This Row],[Rockapult]]+Races!$F$27-6,0) )  -  Races!$I$20</f>
        <v>5.8500000000000005</v>
      </c>
      <c r="CU50" s="97">
        <f ca="1">gnome*(TblMili[[#This Row],[Rockapult bonus]]*TblMili[[#This Row],[Unit 3]])</f>
        <v>0</v>
      </c>
      <c r="CV50" s="158">
        <f ca="1">1.8 * MIN(MAX(TblMili[[#This Row],[Spellblade]]+Races!$E$47,TblMili[[#This Row],[Adept-DP]]+Races!$F$47),6)  +  0.45 * MIN(MIN(TblMili[[#This Row],[Spellblade]]+Races!$E$47,TblMili[[#This Row],[Adept-DP]]+Races!$F$47),6)  +  0.2 * ( MAX(TblMili[[#This Row],[Spellblade]]+Races!$E$47-6,0) + MAX(TblMili[[#This Row],[Adept-DP]]+Races!$F$47-6,0) )  -  Races!$I$47</f>
        <v>0</v>
      </c>
      <c r="CW50" s="97">
        <f ca="1">dark_elf*(TblMili[[#This Row],[Adept bonus]]*TblMili[[#This Row],[Unit 3]])</f>
        <v>0</v>
      </c>
      <c r="CX50" s="158">
        <f ca="1">1.8 * MIN(MAX(TblMili[[#This Row],[Frost Mage]]+Races!$F$71,Races!$E$71),6)  +  0.45 * MIN(MIN(TblMili[[#This Row],[Frost Mage]]+Races!$F$71,Races!$E$71),6)  +  0.2 * ( MAX(TblMili[[#This Row],[Frost Mage]]+Races!$F$71-6,0) + MAX(Races!$E$71-6,0) )  -  Races!$I$71</f>
        <v>3.9599999999999991</v>
      </c>
      <c r="CY50" s="158">
        <f ca="1">1.8 * MIN(MAX(TblMili[[#This Row],[Ice Elemental]]+Races!$E$71,Races!$F$71),6)  +  0.45 * MIN(MIN(TblMili[[#This Row],[Ice Elemental]]+Races!$E$71,Races!$F$71),6)  +  0.2 * ( MAX(TblMili[[#This Row],[Ice Elemental]]+Races!$E$71-6,0) + MAX(Races!$F$71-6,0) )  -  Races!$I$71</f>
        <v>0.17999999999999972</v>
      </c>
      <c r="CZ50" s="97">
        <f ca="1">TblMili[[#This Row],[Frost Mage bonus]]*TblMili[[#This Row],[Unit 3]]+TblMili[[#This Row],[Ice Elemental bonus]]*TblMili[[#This Row],[Unit 4]]</f>
        <v>0</v>
      </c>
      <c r="DA50" s="268"/>
      <c r="DB50" s="146">
        <f ca="1">MIN(SUM(TblConstr[[#This Row],[Plain]:[Water]])/TblMili[[#This Row],[Land]]/favorable_terrain_bonus/100,favorable_terrain_max)</f>
        <v>0.1</v>
      </c>
      <c r="DC50" s="268"/>
      <c r="DD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0" s="145"/>
      <c r="DF50" s="269">
        <f ca="1">(TblMili[[#This Row],[Wizards]]+2*TblMili[[#This Row],[Archmages]])/TblConstr[[#This Row],[Land]]</f>
        <v>0.1</v>
      </c>
      <c r="DG50" s="269">
        <f ca="1">TblMili[[#This Row],[Raw (2)]]*(1+race_wizard_strength+IF(TblMili[[#This Row],[Hour]]&gt;72,tech_magical_weaponry_wiz*TblTech[[#This Row],[3-5]],0))</f>
        <v>0.1</v>
      </c>
    </row>
    <row r="51" spans="1:111"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45459.958333333219</v>
      </c>
      <c r="AG51" s="182"/>
      <c r="AH51" s="182"/>
      <c r="AI51" s="182"/>
      <c r="AJ51" s="182"/>
      <c r="AK51" s="182"/>
      <c r="AL51" s="182"/>
      <c r="AM51" s="182"/>
      <c r="AN51" s="182"/>
      <c r="AO51" s="449">
        <f ca="1">IF(AND(TblMagic[[#This Row],[Active DnD]]&lt;12,TblMagic[[#This Row],[Active DnD]]&gt;5),OFFSET(TblPop[[#This Row],[Draft Growth]],-1,0)/2,0)</f>
        <v>0</v>
      </c>
      <c r="AP51" s="145"/>
      <c r="AQ51" s="97">
        <f ca="1">TblProd[[#This Row],[Platinum]]</f>
        <v>378720</v>
      </c>
      <c r="AR51" s="97">
        <f ca="1">INDEX(TblProd[[#Headers],[Lumber]]:TblProd[[#This Row],[Ore]],COUNTA(TblProd[[#Headers],[Lumber]]:TblProd[[#This Row],[Lumber]]),MATCH(Military!$AQ$2,TblProd[[#Headers],[Lumber]:[Ore]],0))</f>
        <v>0</v>
      </c>
      <c r="AS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7">
        <f ca="1">TblMili[[#This Row],[Train Unit 1]]*TblMili[[#This Row],[OP Ore]]+TblMili[[#This Row],[Train Unit 2]]*TblMili[[#This Row],[DP Ore]]+TblMili[[#This Row],[Train Unit 3]]*TblMili[[#This Row],[E1 Ore]]+TblMili[[#This Row],[Train Unit 4]]*TblMili[[#This Row],[E2 Ore]]</f>
        <v>0</v>
      </c>
      <c r="AU51" s="145">
        <f>TblMili[[#This Row],[Hour]]</f>
        <v>48</v>
      </c>
      <c r="AV51" s="155">
        <f ca="1">TblMili[[#This Row],[Time]]</f>
        <v>45459.958333333219</v>
      </c>
      <c r="AW51" s="97">
        <f ca="1">TblMili[[#This Row],[Draftees]]</f>
        <v>626</v>
      </c>
      <c r="AX51" s="182"/>
      <c r="AY51" s="182"/>
      <c r="AZ51" s="182"/>
      <c r="BA51" s="182"/>
      <c r="BB51" s="182"/>
      <c r="BC51" s="182"/>
      <c r="BD51" s="182"/>
      <c r="BE51" s="182"/>
      <c r="BF51" s="182"/>
      <c r="BG51" s="145"/>
      <c r="BH51" s="160">
        <f ca="1">TblConstr[[#This Row],[Tot WG]]/TblConstr[[#This Row],[Land]]</f>
        <v>0</v>
      </c>
      <c r="BI51" s="160">
        <f ca="1">TblConstr[[#This Row],[Tot Hav]]/TblConstr[[#This Row],[Land]]</f>
        <v>0</v>
      </c>
      <c r="BJ51" s="97">
        <f ca="1">ROUNDUP((1-MIN(TblMili[[#This Row],[Smithies]]*smithy_bonus,smithy_bonus_cap) + tech_3_5*TblTech[[#This Row],[3-5]] + tech_5_3*TblTech[[#This Row],[5-3]] + tech_5_5*TblTech[[#This Row],[5-5]])*spec_op_plat,0)</f>
        <v>275</v>
      </c>
      <c r="BK51" s="97">
        <f ca="1">ROUNDUP(IF(race="Gnome",1,(1-MIN(TblMili[[#This Row],[Smithies]]*smithy_bonus,smithy_bonus_cap) + tech_3_5*TblTech[[#This Row],[3-5]] + tech_5_3*TblTech[[#This Row],[5-3]] + tech_5_5*TblTech[[#This Row],[5-5]]))*spec_op_ore,0)</f>
        <v>25</v>
      </c>
      <c r="BL51" s="97">
        <f ca="1">ROUNDUP((1-MIN(TblMili[[#This Row],[Smithies]]*smithy_bonus,smithy_bonus_cap) + tech_3_5*TblTech[[#This Row],[3-5]] + tech_5_3*TblTech[[#This Row],[5-3]] + tech_5_5*TblTech[[#This Row],[5-5]])*spec_dp_plat,0)</f>
        <v>275</v>
      </c>
      <c r="BM51" s="97">
        <f ca="1">ROUNDUP(IF(race="Gnome",1,(1-MIN(TblMili[[#This Row],[Smithies]]*smithy_bonus,smithy_bonus_cap) + tech_3_5*TblTech[[#This Row],[3-5]] + tech_5_3*TblTech[[#This Row],[5-3]] + tech_5_5*TblTech[[#This Row],[5-5]]))*spec_dp_ore,0)</f>
        <v>15</v>
      </c>
      <c r="BN51" s="97">
        <f ca="1">ROUNDUP((1-MIN(TblMili[[#This Row],[Smithies]]*smithy_bonus,smithy_bonus_cap) + tech_3_5*TblTech[[#This Row],[3-5]] + tech_5_3*TblTech[[#This Row],[5-3]] + tech_5_5*TblTech[[#This Row],[5-5]])*elite1_plat,0)</f>
        <v>1000</v>
      </c>
      <c r="BO51" s="97">
        <f ca="1">ROUNDUP(IF(race="Gnome",1,(1-MIN(TblMili[[#This Row],[Smithies]]*smithy_bonus,smithy_bonus_cap) + tech_3_5*TblTech[[#This Row],[3-5]] + tech_5_3*TblTech[[#This Row],[5-3]] + tech_5_5*TblTech[[#This Row],[5-5]]))*elite1_ore,0)</f>
        <v>75</v>
      </c>
      <c r="BP51" s="97">
        <f ca="1">ROUNDUP((1-MIN(TblMili[[#This Row],[Smithies]]*smithy_bonus,smithy_bonus_cap) + tech_3_5*TblTech[[#This Row],[3-5]] + tech_5_3*TblTech[[#This Row],[5-3]] + tech_5_5*TblTech[[#This Row],[5-5]])*elite2_plat,0)</f>
        <v>1250</v>
      </c>
      <c r="BQ51" s="97">
        <f ca="1">ROUNDUP(IF(race="Gnome",1,(1-MIN(TblMili[[#This Row],[Smithies]]*smithy_bonus,smithy_bonus_cap) + tech_3_5*TblTech[[#This Row],[3-5]] + tech_5_3*TblTech[[#This Row],[5-3]] + tech_5_5*TblTech[[#This Row],[5-5]]))*elite2_ore,0)</f>
        <v>100</v>
      </c>
      <c r="BR51" s="97">
        <f ca="1">ROUNDUP((1-MIN(ROUND(fh_spy_cost_red*TblMili[[#This Row],[FH''s]],4),fh_spy_cost_cap)+ tech_1_9*TblTech[[#This Row],[1-9]] + tech_9_1*TblTech[[#This Row],[9-1]])*spy_plat,0)</f>
        <v>500</v>
      </c>
      <c r="BS51" s="97">
        <f ca="1">ROUNDUP((1-MIN(ROUND(fh_spy_cost_red*TblMili[[#This Row],[FH''s]],4),fh_spy_cost_cap)+ tech_1_9*TblTech[[#This Row],[1-9]] + tech_9_1*TblTech[[#This Row],[9-1]])*archspy_plat,0)</f>
        <v>1000</v>
      </c>
      <c r="BT51" s="97">
        <f ca="1">ROUNDUP((1-MIN(ROUND(wg_wiz_cost_bonus*TblMili[[#This Row],[WG''s]],4),wg_wiz_cost_cap) + tech_1_9_2*TblTech[[#This Row],[1-9]] + tech_9_1_2*TblTech[[#This Row],[9-1]])*wizard_plat,0)</f>
        <v>500</v>
      </c>
      <c r="BU51" s="97">
        <f ca="1">ROUNDUP((1-MIN(ROUND(wg_wiz_cost_bonus*TblMili[[#This Row],[WG''s]],4),wg_wiz_cost_cap) + tech_1_9_2*TblTech[[#This Row],[1-9]] + tech_9_1_2*TblTech[[#This Row],[9-1]])*archmage_plat,0)</f>
        <v>1000</v>
      </c>
      <c r="BV51" s="145"/>
      <c r="BW51" s="160">
        <f ca="1">TblConstr[[#This Row],[Homeland]]/TblConstr[[#This Row],[Land]]</f>
        <v>0.44</v>
      </c>
      <c r="BX51" s="160">
        <f ca="1">TblMili[[#This Row],[WG''s]]</f>
        <v>0</v>
      </c>
      <c r="BY51" s="266">
        <f ca="1">IF(mystic_cap="none",TblMili[[#This Row],[Hill]]/mystic_bonus,MIN(mystic_cap,TblMili[[#This Row],[Hill]]/mystic_bonus))</f>
        <v>2.1999999999999997</v>
      </c>
      <c r="BZ51" s="266">
        <f ca="1">IF(druid_op_cap="none",TblMili[[#This Row],[Hill]]/druid_op_bonus,MIN(druid_op_cap,TblMili[[#This Row],[Hill]]/druid_op_bonus))</f>
        <v>2.1999999999999997</v>
      </c>
      <c r="CA51" s="266">
        <f ca="1">IF(druid_dp_cap="none",TblMili[[#This Row],[Hill]]/druid_dp_bonus,MIN(druid_dp_cap,TblMili[[#This Row],[Hill]]/druid_dp_bonus))</f>
        <v>2.1999999999999997</v>
      </c>
      <c r="CB51" s="266">
        <f ca="1">MIN(dryad_cap,TblMili[[#This Row],[Hill]]/dryad_bonus)</f>
        <v>2.1999999999999997</v>
      </c>
      <c r="CC51" s="266">
        <f ca="1">MIN(rocka_cap,TblMili[[#This Row],[Hill]]/rocka_bonus)</f>
        <v>2</v>
      </c>
      <c r="CD51" s="266">
        <f ca="1">MIN(adept_op_cap,TblMili[[#This Row],[WG]]/adept_op_bonus)</f>
        <v>0</v>
      </c>
      <c r="CE51" s="266">
        <f ca="1">MIN(adept_dp_cap,TblMili[[#This Row],[WG]]/adept_dp_bonus)</f>
        <v>0</v>
      </c>
      <c r="CF51" s="97">
        <f ca="1">MIN(TblMili[[#This Row],[Unit 3]],TblMili[[#This Row],[Unit 2]])*2</f>
        <v>0</v>
      </c>
      <c r="CG51" s="97">
        <f ca="1">MIN(TblMili[[#This Row],[Unit 1]],TblMili[[#This Row],[Unit 4]])*2</f>
        <v>0</v>
      </c>
      <c r="CH51" s="266">
        <f ca="1">MIN(frost_mage_cap,TblMili[[#This Row],[Hill]]/frost_mage_bonus)</f>
        <v>2.1999999999999997</v>
      </c>
      <c r="CI51" s="45">
        <f ca="1">MIN(ice_elem_cap,TblMili[[#This Row],[Raw (2)]]*ice_elem_bonus)</f>
        <v>0.1</v>
      </c>
      <c r="CJ51" s="266">
        <f t="shared" si="2"/>
        <v>0.83333333333333337</v>
      </c>
      <c r="CK51" s="266">
        <f ca="1">MIN(nox_nightshade_cap,TblConstr[[#This Row],[Homeland]]/TblConstr[[#This Row],[Land]]/nox_nightshade_swamp_bonus)</f>
        <v>4</v>
      </c>
      <c r="CL51" s="267"/>
      <c r="CM51" s="267"/>
      <c r="CN51" s="267"/>
      <c r="CO51" s="266">
        <f ca="1">MIN(6,TblMili[[#This Row],[Mystic]]+Races!$F$19)*1.8 +  IF(TblMili[[#This Row],[Mystic]]+Races!$F$19&gt;6,(TblMili[[#This Row],[Mystic]]+Races!$F$19-6)*0.2,0) - Races!$I$19</f>
        <v>3.6399999999999997</v>
      </c>
      <c r="CP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1" s="97">
        <f ca="1">TblMili[[#This Row],[Mystic bonus]]*TblMili[[#This Row],[Unit 3]]+TblMili[[#This Row],[Druid bonus]]*TblMili[[#This Row],[Unit 4]]</f>
        <v>0</v>
      </c>
      <c r="CR51" s="158">
        <f ca="1">MIN(6,TblMili[[#This Row],[Dryad]]+Races!$F$35)*1.8 +  IF(TblMili[[#This Row],[Dryad]]+Races!$F$35&gt;6,(TblMili[[#This Row],[Dryad]]+Races!$F$35-6)*0.2,0) - Races!$I$19</f>
        <v>2.1599999999999993</v>
      </c>
      <c r="CS51" s="97">
        <f ca="1">sylvan*(TblMili[[#This Row],[Mystic bonus]]*TblMili[[#This Row],[Unit 3]])</f>
        <v>0</v>
      </c>
      <c r="CT51" s="158">
        <f ca="1">1.8 * MIN(MAX(Races!$E$27,TblMili[[#This Row],[Rockapult]]+Races!$F$27),6)  +  0.45 * MIN(MIN(Races!$E$27,TblMili[[#This Row],[Rockapult]]+Races!$F$27),6)  +  0.2 * ( MAX(Races!$E$27-6,0) + MAX(TblMili[[#This Row],[Rockapult]]+Races!$F$27-6,0) )  -  Races!$I$20</f>
        <v>5.8500000000000005</v>
      </c>
      <c r="CU51" s="97">
        <f ca="1">gnome*(TblMili[[#This Row],[Rockapult bonus]]*TblMili[[#This Row],[Unit 3]])</f>
        <v>0</v>
      </c>
      <c r="CV51" s="158">
        <f ca="1">1.8 * MIN(MAX(TblMili[[#This Row],[Spellblade]]+Races!$E$47,TblMili[[#This Row],[Adept-DP]]+Races!$F$47),6)  +  0.45 * MIN(MIN(TblMili[[#This Row],[Spellblade]]+Races!$E$47,TblMili[[#This Row],[Adept-DP]]+Races!$F$47),6)  +  0.2 * ( MAX(TblMili[[#This Row],[Spellblade]]+Races!$E$47-6,0) + MAX(TblMili[[#This Row],[Adept-DP]]+Races!$F$47-6,0) )  -  Races!$I$47</f>
        <v>0</v>
      </c>
      <c r="CW51" s="97">
        <f ca="1">dark_elf*(TblMili[[#This Row],[Adept bonus]]*TblMili[[#This Row],[Unit 3]])</f>
        <v>0</v>
      </c>
      <c r="CX51" s="158">
        <f ca="1">1.8 * MIN(MAX(TblMili[[#This Row],[Frost Mage]]+Races!$F$71,Races!$E$71),6)  +  0.45 * MIN(MIN(TblMili[[#This Row],[Frost Mage]]+Races!$F$71,Races!$E$71),6)  +  0.2 * ( MAX(TblMili[[#This Row],[Frost Mage]]+Races!$F$71-6,0) + MAX(Races!$E$71-6,0) )  -  Races!$I$71</f>
        <v>3.9599999999999991</v>
      </c>
      <c r="CY51" s="158">
        <f ca="1">1.8 * MIN(MAX(TblMili[[#This Row],[Ice Elemental]]+Races!$E$71,Races!$F$71),6)  +  0.45 * MIN(MIN(TblMili[[#This Row],[Ice Elemental]]+Races!$E$71,Races!$F$71),6)  +  0.2 * ( MAX(TblMili[[#This Row],[Ice Elemental]]+Races!$E$71-6,0) + MAX(Races!$F$71-6,0) )  -  Races!$I$71</f>
        <v>0.17999999999999972</v>
      </c>
      <c r="CZ51" s="97">
        <f ca="1">TblMili[[#This Row],[Frost Mage bonus]]*TblMili[[#This Row],[Unit 3]]+TblMili[[#This Row],[Ice Elemental bonus]]*TblMili[[#This Row],[Unit 4]]</f>
        <v>0</v>
      </c>
      <c r="DA51" s="268"/>
      <c r="DB51" s="146">
        <f ca="1">MIN(SUM(TblConstr[[#This Row],[Plain]:[Water]])/TblMili[[#This Row],[Land]]/favorable_terrain_bonus/100,favorable_terrain_max)</f>
        <v>0.1</v>
      </c>
      <c r="DC51" s="268"/>
      <c r="DD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1" s="145"/>
      <c r="DF51" s="269">
        <f ca="1">(TblMili[[#This Row],[Wizards]]+2*TblMili[[#This Row],[Archmages]])/TblConstr[[#This Row],[Land]]</f>
        <v>0.1</v>
      </c>
      <c r="DG51" s="269">
        <f ca="1">TblMili[[#This Row],[Raw (2)]]*(1+race_wizard_strength+IF(TblMili[[#This Row],[Hour]]&gt;72,tech_magical_weaponry_wiz*TblTech[[#This Row],[3-5]],0))</f>
        <v>0.1</v>
      </c>
    </row>
    <row r="52" spans="1:111"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45459.999999999884</v>
      </c>
      <c r="AG52" s="182"/>
      <c r="AH52" s="182"/>
      <c r="AI52" s="182"/>
      <c r="AJ52" s="182"/>
      <c r="AK52" s="182"/>
      <c r="AL52" s="182"/>
      <c r="AM52" s="182"/>
      <c r="AN52" s="182"/>
      <c r="AO52" s="449">
        <f ca="1">IF(AND(TblMagic[[#This Row],[Active DnD]]&lt;12,TblMagic[[#This Row],[Active DnD]]&gt;5),OFFSET(TblPop[[#This Row],[Draft Growth]],-1,0)/2,0)</f>
        <v>0</v>
      </c>
      <c r="AP52" s="145"/>
      <c r="AQ52" s="97">
        <f ca="1">TblProd[[#This Row],[Platinum]]</f>
        <v>384206</v>
      </c>
      <c r="AR52" s="97">
        <f ca="1">INDEX(TblProd[[#Headers],[Lumber]]:TblProd[[#This Row],[Ore]],COUNTA(TblProd[[#Headers],[Lumber]]:TblProd[[#This Row],[Lumber]]),MATCH(Military!$AQ$2,TblProd[[#Headers],[Lumber]:[Ore]],0))</f>
        <v>0</v>
      </c>
      <c r="AS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7">
        <f ca="1">TblMili[[#This Row],[Train Unit 1]]*TblMili[[#This Row],[OP Ore]]+TblMili[[#This Row],[Train Unit 2]]*TblMili[[#This Row],[DP Ore]]+TblMili[[#This Row],[Train Unit 3]]*TblMili[[#This Row],[E1 Ore]]+TblMili[[#This Row],[Train Unit 4]]*TblMili[[#This Row],[E2 Ore]]</f>
        <v>0</v>
      </c>
      <c r="AU52" s="145">
        <f>TblMili[[#This Row],[Hour]]</f>
        <v>49</v>
      </c>
      <c r="AV52" s="155">
        <f ca="1">TblMili[[#This Row],[Time]]</f>
        <v>45459.999999999884</v>
      </c>
      <c r="AW52" s="97">
        <f ca="1">TblMili[[#This Row],[Draftees]]</f>
        <v>626</v>
      </c>
      <c r="AX52" s="182"/>
      <c r="AY52" s="182"/>
      <c r="AZ52" s="182"/>
      <c r="BA52" s="182"/>
      <c r="BB52" s="182"/>
      <c r="BC52" s="182"/>
      <c r="BD52" s="182"/>
      <c r="BE52" s="182"/>
      <c r="BF52" s="182"/>
      <c r="BG52" s="145"/>
      <c r="BH52" s="160">
        <f ca="1">TblConstr[[#This Row],[Tot WG]]/TblConstr[[#This Row],[Land]]</f>
        <v>0</v>
      </c>
      <c r="BI52" s="160">
        <f ca="1">TblConstr[[#This Row],[Tot Hav]]/TblConstr[[#This Row],[Land]]</f>
        <v>0</v>
      </c>
      <c r="BJ52" s="97">
        <f ca="1">ROUNDUP((1-MIN(TblMili[[#This Row],[Smithies]]*smithy_bonus,smithy_bonus_cap) + tech_3_5*TblTech[[#This Row],[3-5]] + tech_5_3*TblTech[[#This Row],[5-3]] + tech_5_5*TblTech[[#This Row],[5-5]])*spec_op_plat,0)</f>
        <v>275</v>
      </c>
      <c r="BK52" s="97">
        <f ca="1">ROUNDUP(IF(race="Gnome",1,(1-MIN(TblMili[[#This Row],[Smithies]]*smithy_bonus,smithy_bonus_cap) + tech_3_5*TblTech[[#This Row],[3-5]] + tech_5_3*TblTech[[#This Row],[5-3]] + tech_5_5*TblTech[[#This Row],[5-5]]))*spec_op_ore,0)</f>
        <v>25</v>
      </c>
      <c r="BL52" s="97">
        <f ca="1">ROUNDUP((1-MIN(TblMili[[#This Row],[Smithies]]*smithy_bonus,smithy_bonus_cap) + tech_3_5*TblTech[[#This Row],[3-5]] + tech_5_3*TblTech[[#This Row],[5-3]] + tech_5_5*TblTech[[#This Row],[5-5]])*spec_dp_plat,0)</f>
        <v>275</v>
      </c>
      <c r="BM52" s="97">
        <f ca="1">ROUNDUP(IF(race="Gnome",1,(1-MIN(TblMili[[#This Row],[Smithies]]*smithy_bonus,smithy_bonus_cap) + tech_3_5*TblTech[[#This Row],[3-5]] + tech_5_3*TblTech[[#This Row],[5-3]] + tech_5_5*TblTech[[#This Row],[5-5]]))*spec_dp_ore,0)</f>
        <v>15</v>
      </c>
      <c r="BN52" s="97">
        <f ca="1">ROUNDUP((1-MIN(TblMili[[#This Row],[Smithies]]*smithy_bonus,smithy_bonus_cap) + tech_3_5*TblTech[[#This Row],[3-5]] + tech_5_3*TblTech[[#This Row],[5-3]] + tech_5_5*TblTech[[#This Row],[5-5]])*elite1_plat,0)</f>
        <v>1000</v>
      </c>
      <c r="BO52" s="97">
        <f ca="1">ROUNDUP(IF(race="Gnome",1,(1-MIN(TblMili[[#This Row],[Smithies]]*smithy_bonus,smithy_bonus_cap) + tech_3_5*TblTech[[#This Row],[3-5]] + tech_5_3*TblTech[[#This Row],[5-3]] + tech_5_5*TblTech[[#This Row],[5-5]]))*elite1_ore,0)</f>
        <v>75</v>
      </c>
      <c r="BP52" s="97">
        <f ca="1">ROUNDUP((1-MIN(TblMili[[#This Row],[Smithies]]*smithy_bonus,smithy_bonus_cap) + tech_3_5*TblTech[[#This Row],[3-5]] + tech_5_3*TblTech[[#This Row],[5-3]] + tech_5_5*TblTech[[#This Row],[5-5]])*elite2_plat,0)</f>
        <v>1250</v>
      </c>
      <c r="BQ52" s="97">
        <f ca="1">ROUNDUP(IF(race="Gnome",1,(1-MIN(TblMili[[#This Row],[Smithies]]*smithy_bonus,smithy_bonus_cap) + tech_3_5*TblTech[[#This Row],[3-5]] + tech_5_3*TblTech[[#This Row],[5-3]] + tech_5_5*TblTech[[#This Row],[5-5]]))*elite2_ore,0)</f>
        <v>100</v>
      </c>
      <c r="BR52" s="97">
        <f ca="1">ROUNDUP((1-MIN(ROUND(fh_spy_cost_red*TblMili[[#This Row],[FH''s]],4),fh_spy_cost_cap)+ tech_1_9*TblTech[[#This Row],[1-9]] + tech_9_1*TblTech[[#This Row],[9-1]])*spy_plat,0)</f>
        <v>500</v>
      </c>
      <c r="BS52" s="97">
        <f ca="1">ROUNDUP((1-MIN(ROUND(fh_spy_cost_red*TblMili[[#This Row],[FH''s]],4),fh_spy_cost_cap)+ tech_1_9*TblTech[[#This Row],[1-9]] + tech_9_1*TblTech[[#This Row],[9-1]])*archspy_plat,0)</f>
        <v>1000</v>
      </c>
      <c r="BT52" s="97">
        <f ca="1">ROUNDUP((1-MIN(ROUND(wg_wiz_cost_bonus*TblMili[[#This Row],[WG''s]],4),wg_wiz_cost_cap) + tech_1_9_2*TblTech[[#This Row],[1-9]] + tech_9_1_2*TblTech[[#This Row],[9-1]])*wizard_plat,0)</f>
        <v>500</v>
      </c>
      <c r="BU52" s="97">
        <f ca="1">ROUNDUP((1-MIN(ROUND(wg_wiz_cost_bonus*TblMili[[#This Row],[WG''s]],4),wg_wiz_cost_cap) + tech_1_9_2*TblTech[[#This Row],[1-9]] + tech_9_1_2*TblTech[[#This Row],[9-1]])*archmage_plat,0)</f>
        <v>1000</v>
      </c>
      <c r="BV52" s="145"/>
      <c r="BW52" s="160">
        <f ca="1">TblConstr[[#This Row],[Homeland]]/TblConstr[[#This Row],[Land]]</f>
        <v>0.44</v>
      </c>
      <c r="BX52" s="160">
        <f ca="1">TblMili[[#This Row],[WG''s]]</f>
        <v>0</v>
      </c>
      <c r="BY52" s="266">
        <f ca="1">IF(mystic_cap="none",TblMili[[#This Row],[Hill]]/mystic_bonus,MIN(mystic_cap,TblMili[[#This Row],[Hill]]/mystic_bonus))</f>
        <v>2.1999999999999997</v>
      </c>
      <c r="BZ52" s="266">
        <f ca="1">IF(druid_op_cap="none",TblMili[[#This Row],[Hill]]/druid_op_bonus,MIN(druid_op_cap,TblMili[[#This Row],[Hill]]/druid_op_bonus))</f>
        <v>2.1999999999999997</v>
      </c>
      <c r="CA52" s="266">
        <f ca="1">IF(druid_dp_cap="none",TblMili[[#This Row],[Hill]]/druid_dp_bonus,MIN(druid_dp_cap,TblMili[[#This Row],[Hill]]/druid_dp_bonus))</f>
        <v>2.1999999999999997</v>
      </c>
      <c r="CB52" s="266">
        <f ca="1">MIN(dryad_cap,TblMili[[#This Row],[Hill]]/dryad_bonus)</f>
        <v>2.1999999999999997</v>
      </c>
      <c r="CC52" s="266">
        <f ca="1">MIN(rocka_cap,TblMili[[#This Row],[Hill]]/rocka_bonus)</f>
        <v>2</v>
      </c>
      <c r="CD52" s="266">
        <f ca="1">MIN(adept_op_cap,TblMili[[#This Row],[WG]]/adept_op_bonus)</f>
        <v>0</v>
      </c>
      <c r="CE52" s="266">
        <f ca="1">MIN(adept_dp_cap,TblMili[[#This Row],[WG]]/adept_dp_bonus)</f>
        <v>0</v>
      </c>
      <c r="CF52" s="97">
        <f ca="1">MIN(TblMili[[#This Row],[Unit 3]],TblMili[[#This Row],[Unit 2]])*2</f>
        <v>0</v>
      </c>
      <c r="CG52" s="97">
        <f ca="1">MIN(TblMili[[#This Row],[Unit 1]],TblMili[[#This Row],[Unit 4]])*2</f>
        <v>0</v>
      </c>
      <c r="CH52" s="266">
        <f ca="1">MIN(frost_mage_cap,TblMili[[#This Row],[Hill]]/frost_mage_bonus)</f>
        <v>2.1999999999999997</v>
      </c>
      <c r="CI52" s="45">
        <f ca="1">MIN(ice_elem_cap,TblMili[[#This Row],[Raw (2)]]*ice_elem_bonus)</f>
        <v>0.1</v>
      </c>
      <c r="CJ52" s="266">
        <f t="shared" si="2"/>
        <v>0.83333333333333337</v>
      </c>
      <c r="CK52" s="266">
        <f ca="1">MIN(nox_nightshade_cap,TblConstr[[#This Row],[Homeland]]/TblConstr[[#This Row],[Land]]/nox_nightshade_swamp_bonus)</f>
        <v>4</v>
      </c>
      <c r="CL52" s="267"/>
      <c r="CM52" s="267"/>
      <c r="CN52" s="267"/>
      <c r="CO52" s="266">
        <f ca="1">MIN(6,TblMili[[#This Row],[Mystic]]+Races!$F$19)*1.8 +  IF(TblMili[[#This Row],[Mystic]]+Races!$F$19&gt;6,(TblMili[[#This Row],[Mystic]]+Races!$F$19-6)*0.2,0) - Races!$I$19</f>
        <v>3.6399999999999997</v>
      </c>
      <c r="CP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2" s="97">
        <f ca="1">TblMili[[#This Row],[Mystic bonus]]*TblMili[[#This Row],[Unit 3]]+TblMili[[#This Row],[Druid bonus]]*TblMili[[#This Row],[Unit 4]]</f>
        <v>0</v>
      </c>
      <c r="CR52" s="158">
        <f ca="1">MIN(6,TblMili[[#This Row],[Dryad]]+Races!$F$35)*1.8 +  IF(TblMili[[#This Row],[Dryad]]+Races!$F$35&gt;6,(TblMili[[#This Row],[Dryad]]+Races!$F$35-6)*0.2,0) - Races!$I$19</f>
        <v>2.1599999999999993</v>
      </c>
      <c r="CS52" s="97">
        <f ca="1">sylvan*(TblMili[[#This Row],[Mystic bonus]]*TblMili[[#This Row],[Unit 3]])</f>
        <v>0</v>
      </c>
      <c r="CT52" s="158">
        <f ca="1">1.8 * MIN(MAX(Races!$E$27,TblMili[[#This Row],[Rockapult]]+Races!$F$27),6)  +  0.45 * MIN(MIN(Races!$E$27,TblMili[[#This Row],[Rockapult]]+Races!$F$27),6)  +  0.2 * ( MAX(Races!$E$27-6,0) + MAX(TblMili[[#This Row],[Rockapult]]+Races!$F$27-6,0) )  -  Races!$I$20</f>
        <v>5.8500000000000005</v>
      </c>
      <c r="CU52" s="97">
        <f ca="1">gnome*(TblMili[[#This Row],[Rockapult bonus]]*TblMili[[#This Row],[Unit 3]])</f>
        <v>0</v>
      </c>
      <c r="CV52" s="158">
        <f ca="1">1.8 * MIN(MAX(TblMili[[#This Row],[Spellblade]]+Races!$E$47,TblMili[[#This Row],[Adept-DP]]+Races!$F$47),6)  +  0.45 * MIN(MIN(TblMili[[#This Row],[Spellblade]]+Races!$E$47,TblMili[[#This Row],[Adept-DP]]+Races!$F$47),6)  +  0.2 * ( MAX(TblMili[[#This Row],[Spellblade]]+Races!$E$47-6,0) + MAX(TblMili[[#This Row],[Adept-DP]]+Races!$F$47-6,0) )  -  Races!$I$47</f>
        <v>0</v>
      </c>
      <c r="CW52" s="97">
        <f ca="1">dark_elf*(TblMili[[#This Row],[Adept bonus]]*TblMili[[#This Row],[Unit 3]])</f>
        <v>0</v>
      </c>
      <c r="CX52" s="158">
        <f ca="1">1.8 * MIN(MAX(TblMili[[#This Row],[Frost Mage]]+Races!$F$71,Races!$E$71),6)  +  0.45 * MIN(MIN(TblMili[[#This Row],[Frost Mage]]+Races!$F$71,Races!$E$71),6)  +  0.2 * ( MAX(TblMili[[#This Row],[Frost Mage]]+Races!$F$71-6,0) + MAX(Races!$E$71-6,0) )  -  Races!$I$71</f>
        <v>3.9599999999999991</v>
      </c>
      <c r="CY52" s="158">
        <f ca="1">1.8 * MIN(MAX(TblMili[[#This Row],[Ice Elemental]]+Races!$E$71,Races!$F$71),6)  +  0.45 * MIN(MIN(TblMili[[#This Row],[Ice Elemental]]+Races!$E$71,Races!$F$71),6)  +  0.2 * ( MAX(TblMili[[#This Row],[Ice Elemental]]+Races!$E$71-6,0) + MAX(Races!$F$71-6,0) )  -  Races!$I$71</f>
        <v>0.17999999999999972</v>
      </c>
      <c r="CZ52" s="97">
        <f ca="1">TblMili[[#This Row],[Frost Mage bonus]]*TblMili[[#This Row],[Unit 3]]+TblMili[[#This Row],[Ice Elemental bonus]]*TblMili[[#This Row],[Unit 4]]</f>
        <v>0</v>
      </c>
      <c r="DA52" s="268"/>
      <c r="DB52" s="146">
        <f ca="1">MIN(SUM(TblConstr[[#This Row],[Plain]:[Water]])/TblMili[[#This Row],[Land]]/favorable_terrain_bonus/100,favorable_terrain_max)</f>
        <v>0.1</v>
      </c>
      <c r="DC52" s="268"/>
      <c r="DD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2" s="145"/>
      <c r="DF52" s="269">
        <f ca="1">(TblMili[[#This Row],[Wizards]]+2*TblMili[[#This Row],[Archmages]])/TblConstr[[#This Row],[Land]]</f>
        <v>0.1</v>
      </c>
      <c r="DG52" s="269">
        <f ca="1">TblMili[[#This Row],[Raw (2)]]*(1+race_wizard_strength+IF(TblMili[[#This Row],[Hour]]&gt;72,tech_magical_weaponry_wiz*TblTech[[#This Row],[3-5]],0))</f>
        <v>0.1</v>
      </c>
    </row>
    <row r="53" spans="1:111"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45460.041666666548</v>
      </c>
      <c r="AG53" s="161"/>
      <c r="AH53" s="182"/>
      <c r="AI53" s="161"/>
      <c r="AJ53" s="182"/>
      <c r="AK53" s="182"/>
      <c r="AL53" s="182"/>
      <c r="AM53" s="182"/>
      <c r="AN53" s="182"/>
      <c r="AO53" s="449">
        <f ca="1">IF(AND(TblMagic[[#This Row],[Active DnD]]&lt;12,TblMagic[[#This Row],[Active DnD]]&gt;5),OFFSET(TblPop[[#This Row],[Draft Growth]],-1,0)/2,0)</f>
        <v>0</v>
      </c>
      <c r="AP53" s="145"/>
      <c r="AQ53" s="97">
        <f ca="1">TblProd[[#This Row],[Platinum]]</f>
        <v>389692</v>
      </c>
      <c r="AR53" s="97">
        <f ca="1">INDEX(TblProd[[#Headers],[Lumber]]:TblProd[[#This Row],[Ore]],COUNTA(TblProd[[#Headers],[Lumber]]:TblProd[[#This Row],[Lumber]]),MATCH(Military!$AQ$2,TblProd[[#Headers],[Lumber]:[Ore]],0))</f>
        <v>0</v>
      </c>
      <c r="AS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7">
        <f ca="1">TblMili[[#This Row],[Train Unit 1]]*TblMili[[#This Row],[OP Ore]]+TblMili[[#This Row],[Train Unit 2]]*TblMili[[#This Row],[DP Ore]]+TblMili[[#This Row],[Train Unit 3]]*TblMili[[#This Row],[E1 Ore]]+TblMili[[#This Row],[Train Unit 4]]*TblMili[[#This Row],[E2 Ore]]</f>
        <v>0</v>
      </c>
      <c r="AU53" s="145">
        <f>TblMili[[#This Row],[Hour]]</f>
        <v>50</v>
      </c>
      <c r="AV53" s="155">
        <f ca="1">TblMili[[#This Row],[Time]]</f>
        <v>45460.041666666548</v>
      </c>
      <c r="AW53" s="97">
        <f ca="1">TblMili[[#This Row],[Draftees]]</f>
        <v>626</v>
      </c>
      <c r="AX53" s="182"/>
      <c r="AY53" s="182"/>
      <c r="AZ53" s="182"/>
      <c r="BA53" s="182"/>
      <c r="BB53" s="182"/>
      <c r="BC53" s="182"/>
      <c r="BD53" s="182"/>
      <c r="BE53" s="182"/>
      <c r="BF53" s="182"/>
      <c r="BG53" s="145"/>
      <c r="BH53" s="160">
        <f ca="1">TblConstr[[#This Row],[Tot WG]]/TblConstr[[#This Row],[Land]]</f>
        <v>0</v>
      </c>
      <c r="BI53" s="160">
        <f ca="1">TblConstr[[#This Row],[Tot Hav]]/TblConstr[[#This Row],[Land]]</f>
        <v>0</v>
      </c>
      <c r="BJ53" s="97">
        <f ca="1">ROUNDUP((1-MIN(TblMili[[#This Row],[Smithies]]*smithy_bonus,smithy_bonus_cap) + tech_3_5*TblTech[[#This Row],[3-5]] + tech_5_3*TblTech[[#This Row],[5-3]] + tech_5_5*TblTech[[#This Row],[5-5]])*spec_op_plat,0)</f>
        <v>275</v>
      </c>
      <c r="BK53" s="97">
        <f ca="1">ROUNDUP(IF(race="Gnome",1,(1-MIN(TblMili[[#This Row],[Smithies]]*smithy_bonus,smithy_bonus_cap) + tech_3_5*TblTech[[#This Row],[3-5]] + tech_5_3*TblTech[[#This Row],[5-3]] + tech_5_5*TblTech[[#This Row],[5-5]]))*spec_op_ore,0)</f>
        <v>25</v>
      </c>
      <c r="BL53" s="97">
        <f ca="1">ROUNDUP((1-MIN(TblMili[[#This Row],[Smithies]]*smithy_bonus,smithy_bonus_cap) + tech_3_5*TblTech[[#This Row],[3-5]] + tech_5_3*TblTech[[#This Row],[5-3]] + tech_5_5*TblTech[[#This Row],[5-5]])*spec_dp_plat,0)</f>
        <v>275</v>
      </c>
      <c r="BM53" s="97">
        <f ca="1">ROUNDUP(IF(race="Gnome",1,(1-MIN(TblMili[[#This Row],[Smithies]]*smithy_bonus,smithy_bonus_cap) + tech_3_5*TblTech[[#This Row],[3-5]] + tech_5_3*TblTech[[#This Row],[5-3]] + tech_5_5*TblTech[[#This Row],[5-5]]))*spec_dp_ore,0)</f>
        <v>15</v>
      </c>
      <c r="BN53" s="97">
        <f ca="1">ROUNDUP((1-MIN(TblMili[[#This Row],[Smithies]]*smithy_bonus,smithy_bonus_cap) + tech_3_5*TblTech[[#This Row],[3-5]] + tech_5_3*TblTech[[#This Row],[5-3]] + tech_5_5*TblTech[[#This Row],[5-5]])*elite1_plat,0)</f>
        <v>1000</v>
      </c>
      <c r="BO53" s="97">
        <f ca="1">ROUNDUP(IF(race="Gnome",1,(1-MIN(TblMili[[#This Row],[Smithies]]*smithy_bonus,smithy_bonus_cap) + tech_3_5*TblTech[[#This Row],[3-5]] + tech_5_3*TblTech[[#This Row],[5-3]] + tech_5_5*TblTech[[#This Row],[5-5]]))*elite1_ore,0)</f>
        <v>75</v>
      </c>
      <c r="BP53" s="97">
        <f ca="1">ROUNDUP((1-MIN(TblMili[[#This Row],[Smithies]]*smithy_bonus,smithy_bonus_cap) + tech_3_5*TblTech[[#This Row],[3-5]] + tech_5_3*TblTech[[#This Row],[5-3]] + tech_5_5*TblTech[[#This Row],[5-5]])*elite2_plat,0)</f>
        <v>1250</v>
      </c>
      <c r="BQ53" s="97">
        <f ca="1">ROUNDUP(IF(race="Gnome",1,(1-MIN(TblMili[[#This Row],[Smithies]]*smithy_bonus,smithy_bonus_cap) + tech_3_5*TblTech[[#This Row],[3-5]] + tech_5_3*TblTech[[#This Row],[5-3]] + tech_5_5*TblTech[[#This Row],[5-5]]))*elite2_ore,0)</f>
        <v>100</v>
      </c>
      <c r="BR53" s="97">
        <f ca="1">ROUNDUP((1-MIN(ROUND(fh_spy_cost_red*TblMili[[#This Row],[FH''s]],4),fh_spy_cost_cap)+ tech_1_9*TblTech[[#This Row],[1-9]] + tech_9_1*TblTech[[#This Row],[9-1]])*spy_plat,0)</f>
        <v>500</v>
      </c>
      <c r="BS53" s="97">
        <f ca="1">ROUNDUP((1-MIN(ROUND(fh_spy_cost_red*TblMili[[#This Row],[FH''s]],4),fh_spy_cost_cap)+ tech_1_9*TblTech[[#This Row],[1-9]] + tech_9_1*TblTech[[#This Row],[9-1]])*archspy_plat,0)</f>
        <v>1000</v>
      </c>
      <c r="BT53" s="97">
        <f ca="1">ROUNDUP((1-MIN(ROUND(wg_wiz_cost_bonus*TblMili[[#This Row],[WG''s]],4),wg_wiz_cost_cap) + tech_1_9_2*TblTech[[#This Row],[1-9]] + tech_9_1_2*TblTech[[#This Row],[9-1]])*wizard_plat,0)</f>
        <v>500</v>
      </c>
      <c r="BU53" s="97">
        <f ca="1">ROUNDUP((1-MIN(ROUND(wg_wiz_cost_bonus*TblMili[[#This Row],[WG''s]],4),wg_wiz_cost_cap) + tech_1_9_2*TblTech[[#This Row],[1-9]] + tech_9_1_2*TblTech[[#This Row],[9-1]])*archmage_plat,0)</f>
        <v>1000</v>
      </c>
      <c r="BV53" s="145"/>
      <c r="BW53" s="160">
        <f ca="1">TblConstr[[#This Row],[Homeland]]/TblConstr[[#This Row],[Land]]</f>
        <v>0.44</v>
      </c>
      <c r="BX53" s="160">
        <f ca="1">TblMili[[#This Row],[WG''s]]</f>
        <v>0</v>
      </c>
      <c r="BY53" s="266">
        <f ca="1">IF(mystic_cap="none",TblMili[[#This Row],[Hill]]/mystic_bonus,MIN(mystic_cap,TblMili[[#This Row],[Hill]]/mystic_bonus))</f>
        <v>2.1999999999999997</v>
      </c>
      <c r="BZ53" s="266">
        <f ca="1">IF(druid_op_cap="none",TblMili[[#This Row],[Hill]]/druid_op_bonus,MIN(druid_op_cap,TblMili[[#This Row],[Hill]]/druid_op_bonus))</f>
        <v>2.1999999999999997</v>
      </c>
      <c r="CA53" s="266">
        <f ca="1">IF(druid_dp_cap="none",TblMili[[#This Row],[Hill]]/druid_dp_bonus,MIN(druid_dp_cap,TblMili[[#This Row],[Hill]]/druid_dp_bonus))</f>
        <v>2.1999999999999997</v>
      </c>
      <c r="CB53" s="266">
        <f ca="1">MIN(dryad_cap,TblMili[[#This Row],[Hill]]/dryad_bonus)</f>
        <v>2.1999999999999997</v>
      </c>
      <c r="CC53" s="266">
        <f ca="1">MIN(rocka_cap,TblMili[[#This Row],[Hill]]/rocka_bonus)</f>
        <v>2</v>
      </c>
      <c r="CD53" s="266">
        <f ca="1">MIN(adept_op_cap,TblMili[[#This Row],[WG]]/adept_op_bonus)</f>
        <v>0</v>
      </c>
      <c r="CE53" s="266">
        <f ca="1">MIN(adept_dp_cap,TblMili[[#This Row],[WG]]/adept_dp_bonus)</f>
        <v>0</v>
      </c>
      <c r="CF53" s="97">
        <f ca="1">MIN(TblMili[[#This Row],[Unit 3]],TblMili[[#This Row],[Unit 2]])*2</f>
        <v>0</v>
      </c>
      <c r="CG53" s="97">
        <f ca="1">MIN(TblMili[[#This Row],[Unit 1]],TblMili[[#This Row],[Unit 4]])*2</f>
        <v>0</v>
      </c>
      <c r="CH53" s="266">
        <f ca="1">MIN(frost_mage_cap,TblMili[[#This Row],[Hill]]/frost_mage_bonus)</f>
        <v>2.1999999999999997</v>
      </c>
      <c r="CI53" s="45">
        <f ca="1">MIN(ice_elem_cap,TblMili[[#This Row],[Raw (2)]]*ice_elem_bonus)</f>
        <v>0.1</v>
      </c>
      <c r="CJ53" s="266">
        <f t="shared" si="2"/>
        <v>0.83333333333333337</v>
      </c>
      <c r="CK53" s="266">
        <f ca="1">MIN(nox_nightshade_cap,TblConstr[[#This Row],[Homeland]]/TblConstr[[#This Row],[Land]]/nox_nightshade_swamp_bonus)</f>
        <v>4</v>
      </c>
      <c r="CL53" s="267"/>
      <c r="CM53" s="267"/>
      <c r="CN53" s="267"/>
      <c r="CO53" s="266">
        <f ca="1">MIN(6,TblMili[[#This Row],[Mystic]]+Races!$F$19)*1.8 +  IF(TblMili[[#This Row],[Mystic]]+Races!$F$19&gt;6,(TblMili[[#This Row],[Mystic]]+Races!$F$19-6)*0.2,0) - Races!$I$19</f>
        <v>3.6399999999999997</v>
      </c>
      <c r="CP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3" s="97">
        <f ca="1">TblMili[[#This Row],[Mystic bonus]]*TblMili[[#This Row],[Unit 3]]+TblMili[[#This Row],[Druid bonus]]*TblMili[[#This Row],[Unit 4]]</f>
        <v>0</v>
      </c>
      <c r="CR53" s="158">
        <f ca="1">MIN(6,TblMili[[#This Row],[Dryad]]+Races!$F$35)*1.8 +  IF(TblMili[[#This Row],[Dryad]]+Races!$F$35&gt;6,(TblMili[[#This Row],[Dryad]]+Races!$F$35-6)*0.2,0) - Races!$I$19</f>
        <v>2.1599999999999993</v>
      </c>
      <c r="CS53" s="97">
        <f ca="1">sylvan*(TblMili[[#This Row],[Mystic bonus]]*TblMili[[#This Row],[Unit 3]])</f>
        <v>0</v>
      </c>
      <c r="CT53" s="158">
        <f ca="1">1.8 * MIN(MAX(Races!$E$27,TblMili[[#This Row],[Rockapult]]+Races!$F$27),6)  +  0.45 * MIN(MIN(Races!$E$27,TblMili[[#This Row],[Rockapult]]+Races!$F$27),6)  +  0.2 * ( MAX(Races!$E$27-6,0) + MAX(TblMili[[#This Row],[Rockapult]]+Races!$F$27-6,0) )  -  Races!$I$20</f>
        <v>5.8500000000000005</v>
      </c>
      <c r="CU53" s="97">
        <f ca="1">gnome*(TblMili[[#This Row],[Rockapult bonus]]*TblMili[[#This Row],[Unit 3]])</f>
        <v>0</v>
      </c>
      <c r="CV53" s="158">
        <f ca="1">1.8 * MIN(MAX(TblMili[[#This Row],[Spellblade]]+Races!$E$47,TblMili[[#This Row],[Adept-DP]]+Races!$F$47),6)  +  0.45 * MIN(MIN(TblMili[[#This Row],[Spellblade]]+Races!$E$47,TblMili[[#This Row],[Adept-DP]]+Races!$F$47),6)  +  0.2 * ( MAX(TblMili[[#This Row],[Spellblade]]+Races!$E$47-6,0) + MAX(TblMili[[#This Row],[Adept-DP]]+Races!$F$47-6,0) )  -  Races!$I$47</f>
        <v>0</v>
      </c>
      <c r="CW53" s="97">
        <f ca="1">dark_elf*(TblMili[[#This Row],[Adept bonus]]*TblMili[[#This Row],[Unit 3]])</f>
        <v>0</v>
      </c>
      <c r="CX53" s="158">
        <f ca="1">1.8 * MIN(MAX(TblMili[[#This Row],[Frost Mage]]+Races!$F$71,Races!$E$71),6)  +  0.45 * MIN(MIN(TblMili[[#This Row],[Frost Mage]]+Races!$F$71,Races!$E$71),6)  +  0.2 * ( MAX(TblMili[[#This Row],[Frost Mage]]+Races!$F$71-6,0) + MAX(Races!$E$71-6,0) )  -  Races!$I$71</f>
        <v>3.9599999999999991</v>
      </c>
      <c r="CY53" s="158">
        <f ca="1">1.8 * MIN(MAX(TblMili[[#This Row],[Ice Elemental]]+Races!$E$71,Races!$F$71),6)  +  0.45 * MIN(MIN(TblMili[[#This Row],[Ice Elemental]]+Races!$E$71,Races!$F$71),6)  +  0.2 * ( MAX(TblMili[[#This Row],[Ice Elemental]]+Races!$E$71-6,0) + MAX(Races!$F$71-6,0) )  -  Races!$I$71</f>
        <v>0.17999999999999972</v>
      </c>
      <c r="CZ53" s="97">
        <f ca="1">TblMili[[#This Row],[Frost Mage bonus]]*TblMili[[#This Row],[Unit 3]]+TblMili[[#This Row],[Ice Elemental bonus]]*TblMili[[#This Row],[Unit 4]]</f>
        <v>0</v>
      </c>
      <c r="DA53" s="268"/>
      <c r="DB53" s="146">
        <f ca="1">MIN(SUM(TblConstr[[#This Row],[Plain]:[Water]])/TblMili[[#This Row],[Land]]/favorable_terrain_bonus/100,favorable_terrain_max)</f>
        <v>0.1</v>
      </c>
      <c r="DC53" s="268"/>
      <c r="DD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3" s="145"/>
      <c r="DF53" s="269">
        <f ca="1">(TblMili[[#This Row],[Wizards]]+2*TblMili[[#This Row],[Archmages]])/TblConstr[[#This Row],[Land]]</f>
        <v>0.1</v>
      </c>
      <c r="DG53" s="269">
        <f ca="1">TblMili[[#This Row],[Raw (2)]]*(1+race_wizard_strength+IF(TblMili[[#This Row],[Hour]]&gt;72,tech_magical_weaponry_wiz*TblTech[[#This Row],[3-5]],0))</f>
        <v>0.1</v>
      </c>
    </row>
    <row r="54" spans="1:111"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45460.083333333212</v>
      </c>
      <c r="AG54" s="182"/>
      <c r="AH54" s="182"/>
      <c r="AI54" s="182"/>
      <c r="AJ54" s="182"/>
      <c r="AK54" s="182"/>
      <c r="AL54" s="182"/>
      <c r="AM54" s="182"/>
      <c r="AN54" s="182"/>
      <c r="AO54" s="449">
        <f ca="1">IF(AND(TblMagic[[#This Row],[Active DnD]]&lt;12,TblMagic[[#This Row],[Active DnD]]&gt;5),OFFSET(TblPop[[#This Row],[Draft Growth]],-1,0)/2,0)</f>
        <v>0</v>
      </c>
      <c r="AP54" s="145"/>
      <c r="AQ54" s="97">
        <f ca="1">TblProd[[#This Row],[Platinum]]</f>
        <v>395178</v>
      </c>
      <c r="AR54" s="97">
        <f ca="1">INDEX(TblProd[[#Headers],[Lumber]]:TblProd[[#This Row],[Ore]],COUNTA(TblProd[[#Headers],[Lumber]]:TblProd[[#This Row],[Lumber]]),MATCH(Military!$AQ$2,TblProd[[#Headers],[Lumber]:[Ore]],0))</f>
        <v>0</v>
      </c>
      <c r="AS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7">
        <f ca="1">TblMili[[#This Row],[Train Unit 1]]*TblMili[[#This Row],[OP Ore]]+TblMili[[#This Row],[Train Unit 2]]*TblMili[[#This Row],[DP Ore]]+TblMili[[#This Row],[Train Unit 3]]*TblMili[[#This Row],[E1 Ore]]+TblMili[[#This Row],[Train Unit 4]]*TblMili[[#This Row],[E2 Ore]]</f>
        <v>0</v>
      </c>
      <c r="AU54" s="145">
        <f>TblMili[[#This Row],[Hour]]</f>
        <v>51</v>
      </c>
      <c r="AV54" s="155">
        <f ca="1">TblMili[[#This Row],[Time]]</f>
        <v>45460.083333333212</v>
      </c>
      <c r="AW54" s="97">
        <f ca="1">TblMili[[#This Row],[Draftees]]</f>
        <v>626</v>
      </c>
      <c r="AX54" s="182"/>
      <c r="AY54" s="182"/>
      <c r="AZ54" s="182"/>
      <c r="BA54" s="182"/>
      <c r="BB54" s="182"/>
      <c r="BC54" s="182"/>
      <c r="BD54" s="182"/>
      <c r="BE54" s="182"/>
      <c r="BF54" s="182"/>
      <c r="BG54" s="145"/>
      <c r="BH54" s="160">
        <f ca="1">TblConstr[[#This Row],[Tot WG]]/TblConstr[[#This Row],[Land]]</f>
        <v>0</v>
      </c>
      <c r="BI54" s="160">
        <f ca="1">TblConstr[[#This Row],[Tot Hav]]/TblConstr[[#This Row],[Land]]</f>
        <v>0</v>
      </c>
      <c r="BJ54" s="97">
        <f ca="1">ROUNDUP((1-MIN(TblMili[[#This Row],[Smithies]]*smithy_bonus,smithy_bonus_cap) + tech_3_5*TblTech[[#This Row],[3-5]] + tech_5_3*TblTech[[#This Row],[5-3]] + tech_5_5*TblTech[[#This Row],[5-5]])*spec_op_plat,0)</f>
        <v>275</v>
      </c>
      <c r="BK54" s="97">
        <f ca="1">ROUNDUP(IF(race="Gnome",1,(1-MIN(TblMili[[#This Row],[Smithies]]*smithy_bonus,smithy_bonus_cap) + tech_3_5*TblTech[[#This Row],[3-5]] + tech_5_3*TblTech[[#This Row],[5-3]] + tech_5_5*TblTech[[#This Row],[5-5]]))*spec_op_ore,0)</f>
        <v>25</v>
      </c>
      <c r="BL54" s="97">
        <f ca="1">ROUNDUP((1-MIN(TblMili[[#This Row],[Smithies]]*smithy_bonus,smithy_bonus_cap) + tech_3_5*TblTech[[#This Row],[3-5]] + tech_5_3*TblTech[[#This Row],[5-3]] + tech_5_5*TblTech[[#This Row],[5-5]])*spec_dp_plat,0)</f>
        <v>275</v>
      </c>
      <c r="BM54" s="97">
        <f ca="1">ROUNDUP(IF(race="Gnome",1,(1-MIN(TblMili[[#This Row],[Smithies]]*smithy_bonus,smithy_bonus_cap) + tech_3_5*TblTech[[#This Row],[3-5]] + tech_5_3*TblTech[[#This Row],[5-3]] + tech_5_5*TblTech[[#This Row],[5-5]]))*spec_dp_ore,0)</f>
        <v>15</v>
      </c>
      <c r="BN54" s="97">
        <f ca="1">ROUNDUP((1-MIN(TblMili[[#This Row],[Smithies]]*smithy_bonus,smithy_bonus_cap) + tech_3_5*TblTech[[#This Row],[3-5]] + tech_5_3*TblTech[[#This Row],[5-3]] + tech_5_5*TblTech[[#This Row],[5-5]])*elite1_plat,0)</f>
        <v>1000</v>
      </c>
      <c r="BO54" s="97">
        <f ca="1">ROUNDUP(IF(race="Gnome",1,(1-MIN(TblMili[[#This Row],[Smithies]]*smithy_bonus,smithy_bonus_cap) + tech_3_5*TblTech[[#This Row],[3-5]] + tech_5_3*TblTech[[#This Row],[5-3]] + tech_5_5*TblTech[[#This Row],[5-5]]))*elite1_ore,0)</f>
        <v>75</v>
      </c>
      <c r="BP54" s="97">
        <f ca="1">ROUNDUP((1-MIN(TblMili[[#This Row],[Smithies]]*smithy_bonus,smithy_bonus_cap) + tech_3_5*TblTech[[#This Row],[3-5]] + tech_5_3*TblTech[[#This Row],[5-3]] + tech_5_5*TblTech[[#This Row],[5-5]])*elite2_plat,0)</f>
        <v>1250</v>
      </c>
      <c r="BQ54" s="97">
        <f ca="1">ROUNDUP(IF(race="Gnome",1,(1-MIN(TblMili[[#This Row],[Smithies]]*smithy_bonus,smithy_bonus_cap) + tech_3_5*TblTech[[#This Row],[3-5]] + tech_5_3*TblTech[[#This Row],[5-3]] + tech_5_5*TblTech[[#This Row],[5-5]]))*elite2_ore,0)</f>
        <v>100</v>
      </c>
      <c r="BR54" s="97">
        <f ca="1">ROUNDUP((1-MIN(ROUND(fh_spy_cost_red*TblMili[[#This Row],[FH''s]],4),fh_spy_cost_cap)+ tech_1_9*TblTech[[#This Row],[1-9]] + tech_9_1*TblTech[[#This Row],[9-1]])*spy_plat,0)</f>
        <v>500</v>
      </c>
      <c r="BS54" s="97">
        <f ca="1">ROUNDUP((1-MIN(ROUND(fh_spy_cost_red*TblMili[[#This Row],[FH''s]],4),fh_spy_cost_cap)+ tech_1_9*TblTech[[#This Row],[1-9]] + tech_9_1*TblTech[[#This Row],[9-1]])*archspy_plat,0)</f>
        <v>1000</v>
      </c>
      <c r="BT54" s="97">
        <f ca="1">ROUNDUP((1-MIN(ROUND(wg_wiz_cost_bonus*TblMili[[#This Row],[WG''s]],4),wg_wiz_cost_cap) + tech_1_9_2*TblTech[[#This Row],[1-9]] + tech_9_1_2*TblTech[[#This Row],[9-1]])*wizard_plat,0)</f>
        <v>500</v>
      </c>
      <c r="BU54" s="97">
        <f ca="1">ROUNDUP((1-MIN(ROUND(wg_wiz_cost_bonus*TblMili[[#This Row],[WG''s]],4),wg_wiz_cost_cap) + tech_1_9_2*TblTech[[#This Row],[1-9]] + tech_9_1_2*TblTech[[#This Row],[9-1]])*archmage_plat,0)</f>
        <v>1000</v>
      </c>
      <c r="BV54" s="145"/>
      <c r="BW54" s="160">
        <f ca="1">TblConstr[[#This Row],[Homeland]]/TblConstr[[#This Row],[Land]]</f>
        <v>0.44</v>
      </c>
      <c r="BX54" s="160">
        <f ca="1">TblMili[[#This Row],[WG''s]]</f>
        <v>0</v>
      </c>
      <c r="BY54" s="266">
        <f ca="1">IF(mystic_cap="none",TblMili[[#This Row],[Hill]]/mystic_bonus,MIN(mystic_cap,TblMili[[#This Row],[Hill]]/mystic_bonus))</f>
        <v>2.1999999999999997</v>
      </c>
      <c r="BZ54" s="266">
        <f ca="1">IF(druid_op_cap="none",TblMili[[#This Row],[Hill]]/druid_op_bonus,MIN(druid_op_cap,TblMili[[#This Row],[Hill]]/druid_op_bonus))</f>
        <v>2.1999999999999997</v>
      </c>
      <c r="CA54" s="266">
        <f ca="1">IF(druid_dp_cap="none",TblMili[[#This Row],[Hill]]/druid_dp_bonus,MIN(druid_dp_cap,TblMili[[#This Row],[Hill]]/druid_dp_bonus))</f>
        <v>2.1999999999999997</v>
      </c>
      <c r="CB54" s="266">
        <f ca="1">MIN(dryad_cap,TblMili[[#This Row],[Hill]]/dryad_bonus)</f>
        <v>2.1999999999999997</v>
      </c>
      <c r="CC54" s="266">
        <f ca="1">MIN(rocka_cap,TblMili[[#This Row],[Hill]]/rocka_bonus)</f>
        <v>2</v>
      </c>
      <c r="CD54" s="266">
        <f ca="1">MIN(adept_op_cap,TblMili[[#This Row],[WG]]/adept_op_bonus)</f>
        <v>0</v>
      </c>
      <c r="CE54" s="266">
        <f ca="1">MIN(adept_dp_cap,TblMili[[#This Row],[WG]]/adept_dp_bonus)</f>
        <v>0</v>
      </c>
      <c r="CF54" s="97">
        <f ca="1">MIN(TblMili[[#This Row],[Unit 3]],TblMili[[#This Row],[Unit 2]])*2</f>
        <v>0</v>
      </c>
      <c r="CG54" s="97">
        <f ca="1">MIN(TblMili[[#This Row],[Unit 1]],TblMili[[#This Row],[Unit 4]])*2</f>
        <v>0</v>
      </c>
      <c r="CH54" s="266">
        <f ca="1">MIN(frost_mage_cap,TblMili[[#This Row],[Hill]]/frost_mage_bonus)</f>
        <v>2.1999999999999997</v>
      </c>
      <c r="CI54" s="45">
        <f ca="1">MIN(ice_elem_cap,TblMili[[#This Row],[Raw (2)]]*ice_elem_bonus)</f>
        <v>0.1</v>
      </c>
      <c r="CJ54" s="266">
        <f t="shared" si="2"/>
        <v>0.83333333333333337</v>
      </c>
      <c r="CK54" s="266">
        <f ca="1">MIN(nox_nightshade_cap,TblConstr[[#This Row],[Homeland]]/TblConstr[[#This Row],[Land]]/nox_nightshade_swamp_bonus)</f>
        <v>4</v>
      </c>
      <c r="CL54" s="267"/>
      <c r="CM54" s="267"/>
      <c r="CN54" s="267"/>
      <c r="CO54" s="266">
        <f ca="1">MIN(6,TblMili[[#This Row],[Mystic]]+Races!$F$19)*1.8 +  IF(TblMili[[#This Row],[Mystic]]+Races!$F$19&gt;6,(TblMili[[#This Row],[Mystic]]+Races!$F$19-6)*0.2,0) - Races!$I$19</f>
        <v>3.6399999999999997</v>
      </c>
      <c r="CP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4" s="97">
        <f ca="1">TblMili[[#This Row],[Mystic bonus]]*TblMili[[#This Row],[Unit 3]]+TblMili[[#This Row],[Druid bonus]]*TblMili[[#This Row],[Unit 4]]</f>
        <v>0</v>
      </c>
      <c r="CR54" s="158">
        <f ca="1">MIN(6,TblMili[[#This Row],[Dryad]]+Races!$F$35)*1.8 +  IF(TblMili[[#This Row],[Dryad]]+Races!$F$35&gt;6,(TblMili[[#This Row],[Dryad]]+Races!$F$35-6)*0.2,0) - Races!$I$19</f>
        <v>2.1599999999999993</v>
      </c>
      <c r="CS54" s="97">
        <f ca="1">sylvan*(TblMili[[#This Row],[Mystic bonus]]*TblMili[[#This Row],[Unit 3]])</f>
        <v>0</v>
      </c>
      <c r="CT54" s="158">
        <f ca="1">1.8 * MIN(MAX(Races!$E$27,TblMili[[#This Row],[Rockapult]]+Races!$F$27),6)  +  0.45 * MIN(MIN(Races!$E$27,TblMili[[#This Row],[Rockapult]]+Races!$F$27),6)  +  0.2 * ( MAX(Races!$E$27-6,0) + MAX(TblMili[[#This Row],[Rockapult]]+Races!$F$27-6,0) )  -  Races!$I$20</f>
        <v>5.8500000000000005</v>
      </c>
      <c r="CU54" s="97">
        <f ca="1">gnome*(TblMili[[#This Row],[Rockapult bonus]]*TblMili[[#This Row],[Unit 3]])</f>
        <v>0</v>
      </c>
      <c r="CV54" s="158">
        <f ca="1">1.8 * MIN(MAX(TblMili[[#This Row],[Spellblade]]+Races!$E$47,TblMili[[#This Row],[Adept-DP]]+Races!$F$47),6)  +  0.45 * MIN(MIN(TblMili[[#This Row],[Spellblade]]+Races!$E$47,TblMili[[#This Row],[Adept-DP]]+Races!$F$47),6)  +  0.2 * ( MAX(TblMili[[#This Row],[Spellblade]]+Races!$E$47-6,0) + MAX(TblMili[[#This Row],[Adept-DP]]+Races!$F$47-6,0) )  -  Races!$I$47</f>
        <v>0</v>
      </c>
      <c r="CW54" s="97">
        <f ca="1">dark_elf*(TblMili[[#This Row],[Adept bonus]]*TblMili[[#This Row],[Unit 3]])</f>
        <v>0</v>
      </c>
      <c r="CX54" s="158">
        <f ca="1">1.8 * MIN(MAX(TblMili[[#This Row],[Frost Mage]]+Races!$F$71,Races!$E$71),6)  +  0.45 * MIN(MIN(TblMili[[#This Row],[Frost Mage]]+Races!$F$71,Races!$E$71),6)  +  0.2 * ( MAX(TblMili[[#This Row],[Frost Mage]]+Races!$F$71-6,0) + MAX(Races!$E$71-6,0) )  -  Races!$I$71</f>
        <v>3.9599999999999991</v>
      </c>
      <c r="CY54" s="158">
        <f ca="1">1.8 * MIN(MAX(TblMili[[#This Row],[Ice Elemental]]+Races!$E$71,Races!$F$71),6)  +  0.45 * MIN(MIN(TblMili[[#This Row],[Ice Elemental]]+Races!$E$71,Races!$F$71),6)  +  0.2 * ( MAX(TblMili[[#This Row],[Ice Elemental]]+Races!$E$71-6,0) + MAX(Races!$F$71-6,0) )  -  Races!$I$71</f>
        <v>0.17999999999999972</v>
      </c>
      <c r="CZ54" s="97">
        <f ca="1">TblMili[[#This Row],[Frost Mage bonus]]*TblMili[[#This Row],[Unit 3]]+TblMili[[#This Row],[Ice Elemental bonus]]*TblMili[[#This Row],[Unit 4]]</f>
        <v>0</v>
      </c>
      <c r="DA54" s="268"/>
      <c r="DB54" s="146">
        <f ca="1">MIN(SUM(TblConstr[[#This Row],[Plain]:[Water]])/TblMili[[#This Row],[Land]]/favorable_terrain_bonus/100,favorable_terrain_max)</f>
        <v>0.1</v>
      </c>
      <c r="DC54" s="268"/>
      <c r="DD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4" s="145"/>
      <c r="DF54" s="269">
        <f ca="1">(TblMili[[#This Row],[Wizards]]+2*TblMili[[#This Row],[Archmages]])/TblConstr[[#This Row],[Land]]</f>
        <v>0.1</v>
      </c>
      <c r="DG54" s="269">
        <f ca="1">TblMili[[#This Row],[Raw (2)]]*(1+race_wizard_strength+IF(TblMili[[#This Row],[Hour]]&gt;72,tech_magical_weaponry_wiz*TblTech[[#This Row],[3-5]],0))</f>
        <v>0.1</v>
      </c>
    </row>
    <row r="55" spans="1:111"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45460.124999999876</v>
      </c>
      <c r="AG55" s="182"/>
      <c r="AH55" s="182"/>
      <c r="AI55" s="182"/>
      <c r="AJ55" s="182"/>
      <c r="AK55" s="182"/>
      <c r="AL55" s="182"/>
      <c r="AM55" s="182"/>
      <c r="AN55" s="182"/>
      <c r="AO55" s="449">
        <f ca="1">IF(AND(TblMagic[[#This Row],[Active DnD]]&lt;12,TblMagic[[#This Row],[Active DnD]]&gt;5),OFFSET(TblPop[[#This Row],[Draft Growth]],-1,0)/2,0)</f>
        <v>0</v>
      </c>
      <c r="AP55" s="145"/>
      <c r="AQ55" s="97">
        <f ca="1">TblProd[[#This Row],[Platinum]]</f>
        <v>400664</v>
      </c>
      <c r="AR55" s="97">
        <f ca="1">INDEX(TblProd[[#Headers],[Lumber]]:TblProd[[#This Row],[Ore]],COUNTA(TblProd[[#Headers],[Lumber]]:TblProd[[#This Row],[Lumber]]),MATCH(Military!$AQ$2,TblProd[[#Headers],[Lumber]:[Ore]],0))</f>
        <v>0</v>
      </c>
      <c r="AS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7">
        <f ca="1">TblMili[[#This Row],[Train Unit 1]]*TblMili[[#This Row],[OP Ore]]+TblMili[[#This Row],[Train Unit 2]]*TblMili[[#This Row],[DP Ore]]+TblMili[[#This Row],[Train Unit 3]]*TblMili[[#This Row],[E1 Ore]]+TblMili[[#This Row],[Train Unit 4]]*TblMili[[#This Row],[E2 Ore]]</f>
        <v>0</v>
      </c>
      <c r="AU55" s="145">
        <f>TblMili[[#This Row],[Hour]]</f>
        <v>52</v>
      </c>
      <c r="AV55" s="155">
        <f ca="1">TblMili[[#This Row],[Time]]</f>
        <v>45460.124999999876</v>
      </c>
      <c r="AW55" s="97">
        <f ca="1">TblMili[[#This Row],[Draftees]]</f>
        <v>626</v>
      </c>
      <c r="AX55" s="182"/>
      <c r="AY55" s="182"/>
      <c r="AZ55" s="182"/>
      <c r="BA55" s="182"/>
      <c r="BB55" s="182"/>
      <c r="BC55" s="182"/>
      <c r="BD55" s="182"/>
      <c r="BE55" s="182"/>
      <c r="BF55" s="182"/>
      <c r="BG55" s="145"/>
      <c r="BH55" s="160">
        <f ca="1">TblConstr[[#This Row],[Tot WG]]/TblConstr[[#This Row],[Land]]</f>
        <v>0</v>
      </c>
      <c r="BI55" s="160">
        <f ca="1">TblConstr[[#This Row],[Tot Hav]]/TblConstr[[#This Row],[Land]]</f>
        <v>0</v>
      </c>
      <c r="BJ55" s="97">
        <f ca="1">ROUNDUP((1-MIN(TblMili[[#This Row],[Smithies]]*smithy_bonus,smithy_bonus_cap) + tech_3_5*TblTech[[#This Row],[3-5]] + tech_5_3*TblTech[[#This Row],[5-3]] + tech_5_5*TblTech[[#This Row],[5-5]])*spec_op_plat,0)</f>
        <v>275</v>
      </c>
      <c r="BK55" s="97">
        <f ca="1">ROUNDUP(IF(race="Gnome",1,(1-MIN(TblMili[[#This Row],[Smithies]]*smithy_bonus,smithy_bonus_cap) + tech_3_5*TblTech[[#This Row],[3-5]] + tech_5_3*TblTech[[#This Row],[5-3]] + tech_5_5*TblTech[[#This Row],[5-5]]))*spec_op_ore,0)</f>
        <v>25</v>
      </c>
      <c r="BL55" s="97">
        <f ca="1">ROUNDUP((1-MIN(TblMili[[#This Row],[Smithies]]*smithy_bonus,smithy_bonus_cap) + tech_3_5*TblTech[[#This Row],[3-5]] + tech_5_3*TblTech[[#This Row],[5-3]] + tech_5_5*TblTech[[#This Row],[5-5]])*spec_dp_plat,0)</f>
        <v>275</v>
      </c>
      <c r="BM55" s="97">
        <f ca="1">ROUNDUP(IF(race="Gnome",1,(1-MIN(TblMili[[#This Row],[Smithies]]*smithy_bonus,smithy_bonus_cap) + tech_3_5*TblTech[[#This Row],[3-5]] + tech_5_3*TblTech[[#This Row],[5-3]] + tech_5_5*TblTech[[#This Row],[5-5]]))*spec_dp_ore,0)</f>
        <v>15</v>
      </c>
      <c r="BN55" s="97">
        <f ca="1">ROUNDUP((1-MIN(TblMili[[#This Row],[Smithies]]*smithy_bonus,smithy_bonus_cap) + tech_3_5*TblTech[[#This Row],[3-5]] + tech_5_3*TblTech[[#This Row],[5-3]] + tech_5_5*TblTech[[#This Row],[5-5]])*elite1_plat,0)</f>
        <v>1000</v>
      </c>
      <c r="BO55" s="97">
        <f ca="1">ROUNDUP(IF(race="Gnome",1,(1-MIN(TblMili[[#This Row],[Smithies]]*smithy_bonus,smithy_bonus_cap) + tech_3_5*TblTech[[#This Row],[3-5]] + tech_5_3*TblTech[[#This Row],[5-3]] + tech_5_5*TblTech[[#This Row],[5-5]]))*elite1_ore,0)</f>
        <v>75</v>
      </c>
      <c r="BP55" s="97">
        <f ca="1">ROUNDUP((1-MIN(TblMili[[#This Row],[Smithies]]*smithy_bonus,smithy_bonus_cap) + tech_3_5*TblTech[[#This Row],[3-5]] + tech_5_3*TblTech[[#This Row],[5-3]] + tech_5_5*TblTech[[#This Row],[5-5]])*elite2_plat,0)</f>
        <v>1250</v>
      </c>
      <c r="BQ55" s="97">
        <f ca="1">ROUNDUP(IF(race="Gnome",1,(1-MIN(TblMili[[#This Row],[Smithies]]*smithy_bonus,smithy_bonus_cap) + tech_3_5*TblTech[[#This Row],[3-5]] + tech_5_3*TblTech[[#This Row],[5-3]] + tech_5_5*TblTech[[#This Row],[5-5]]))*elite2_ore,0)</f>
        <v>100</v>
      </c>
      <c r="BR55" s="97">
        <f ca="1">ROUNDUP((1-MIN(ROUND(fh_spy_cost_red*TblMili[[#This Row],[FH''s]],4),fh_spy_cost_cap)+ tech_1_9*TblTech[[#This Row],[1-9]] + tech_9_1*TblTech[[#This Row],[9-1]])*spy_plat,0)</f>
        <v>500</v>
      </c>
      <c r="BS55" s="97">
        <f ca="1">ROUNDUP((1-MIN(ROUND(fh_spy_cost_red*TblMili[[#This Row],[FH''s]],4),fh_spy_cost_cap)+ tech_1_9*TblTech[[#This Row],[1-9]] + tech_9_1*TblTech[[#This Row],[9-1]])*archspy_plat,0)</f>
        <v>1000</v>
      </c>
      <c r="BT55" s="97">
        <f ca="1">ROUNDUP((1-MIN(ROUND(wg_wiz_cost_bonus*TblMili[[#This Row],[WG''s]],4),wg_wiz_cost_cap) + tech_1_9_2*TblTech[[#This Row],[1-9]] + tech_9_1_2*TblTech[[#This Row],[9-1]])*wizard_plat,0)</f>
        <v>500</v>
      </c>
      <c r="BU55" s="97">
        <f ca="1">ROUNDUP((1-MIN(ROUND(wg_wiz_cost_bonus*TblMili[[#This Row],[WG''s]],4),wg_wiz_cost_cap) + tech_1_9_2*TblTech[[#This Row],[1-9]] + tech_9_1_2*TblTech[[#This Row],[9-1]])*archmage_plat,0)</f>
        <v>1000</v>
      </c>
      <c r="BV55" s="145"/>
      <c r="BW55" s="160">
        <f ca="1">TblConstr[[#This Row],[Homeland]]/TblConstr[[#This Row],[Land]]</f>
        <v>0.44</v>
      </c>
      <c r="BX55" s="160">
        <f ca="1">TblMili[[#This Row],[WG''s]]</f>
        <v>0</v>
      </c>
      <c r="BY55" s="266">
        <f ca="1">IF(mystic_cap="none",TblMili[[#This Row],[Hill]]/mystic_bonus,MIN(mystic_cap,TblMili[[#This Row],[Hill]]/mystic_bonus))</f>
        <v>2.1999999999999997</v>
      </c>
      <c r="BZ55" s="266">
        <f ca="1">IF(druid_op_cap="none",TblMili[[#This Row],[Hill]]/druid_op_bonus,MIN(druid_op_cap,TblMili[[#This Row],[Hill]]/druid_op_bonus))</f>
        <v>2.1999999999999997</v>
      </c>
      <c r="CA55" s="266">
        <f ca="1">IF(druid_dp_cap="none",TblMili[[#This Row],[Hill]]/druid_dp_bonus,MIN(druid_dp_cap,TblMili[[#This Row],[Hill]]/druid_dp_bonus))</f>
        <v>2.1999999999999997</v>
      </c>
      <c r="CB55" s="266">
        <f ca="1">MIN(dryad_cap,TblMili[[#This Row],[Hill]]/dryad_bonus)</f>
        <v>2.1999999999999997</v>
      </c>
      <c r="CC55" s="266">
        <f ca="1">MIN(rocka_cap,TblMili[[#This Row],[Hill]]/rocka_bonus)</f>
        <v>2</v>
      </c>
      <c r="CD55" s="266">
        <f ca="1">MIN(adept_op_cap,TblMili[[#This Row],[WG]]/adept_op_bonus)</f>
        <v>0</v>
      </c>
      <c r="CE55" s="266">
        <f ca="1">MIN(adept_dp_cap,TblMili[[#This Row],[WG]]/adept_dp_bonus)</f>
        <v>0</v>
      </c>
      <c r="CF55" s="97">
        <f ca="1">MIN(TblMili[[#This Row],[Unit 3]],TblMili[[#This Row],[Unit 2]])*2</f>
        <v>0</v>
      </c>
      <c r="CG55" s="97">
        <f ca="1">MIN(TblMili[[#This Row],[Unit 1]],TblMili[[#This Row],[Unit 4]])*2</f>
        <v>0</v>
      </c>
      <c r="CH55" s="266">
        <f ca="1">MIN(frost_mage_cap,TblMili[[#This Row],[Hill]]/frost_mage_bonus)</f>
        <v>2.1999999999999997</v>
      </c>
      <c r="CI55" s="45">
        <f ca="1">MIN(ice_elem_cap,TblMili[[#This Row],[Raw (2)]]*ice_elem_bonus)</f>
        <v>0.1</v>
      </c>
      <c r="CJ55" s="266">
        <f t="shared" si="2"/>
        <v>0.83333333333333337</v>
      </c>
      <c r="CK55" s="266">
        <f ca="1">MIN(nox_nightshade_cap,TblConstr[[#This Row],[Homeland]]/TblConstr[[#This Row],[Land]]/nox_nightshade_swamp_bonus)</f>
        <v>4</v>
      </c>
      <c r="CL55" s="267"/>
      <c r="CM55" s="267"/>
      <c r="CN55" s="267"/>
      <c r="CO55" s="266">
        <f ca="1">MIN(6,TblMili[[#This Row],[Mystic]]+Races!$F$19)*1.8 +  IF(TblMili[[#This Row],[Mystic]]+Races!$F$19&gt;6,(TblMili[[#This Row],[Mystic]]+Races!$F$19-6)*0.2,0) - Races!$I$19</f>
        <v>3.6399999999999997</v>
      </c>
      <c r="CP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5" s="97">
        <f ca="1">TblMili[[#This Row],[Mystic bonus]]*TblMili[[#This Row],[Unit 3]]+TblMili[[#This Row],[Druid bonus]]*TblMili[[#This Row],[Unit 4]]</f>
        <v>0</v>
      </c>
      <c r="CR55" s="158">
        <f ca="1">MIN(6,TblMili[[#This Row],[Dryad]]+Races!$F$35)*1.8 +  IF(TblMili[[#This Row],[Dryad]]+Races!$F$35&gt;6,(TblMili[[#This Row],[Dryad]]+Races!$F$35-6)*0.2,0) - Races!$I$19</f>
        <v>2.1599999999999993</v>
      </c>
      <c r="CS55" s="97">
        <f ca="1">sylvan*(TblMili[[#This Row],[Mystic bonus]]*TblMili[[#This Row],[Unit 3]])</f>
        <v>0</v>
      </c>
      <c r="CT55" s="158">
        <f ca="1">1.8 * MIN(MAX(Races!$E$27,TblMili[[#This Row],[Rockapult]]+Races!$F$27),6)  +  0.45 * MIN(MIN(Races!$E$27,TblMili[[#This Row],[Rockapult]]+Races!$F$27),6)  +  0.2 * ( MAX(Races!$E$27-6,0) + MAX(TblMili[[#This Row],[Rockapult]]+Races!$F$27-6,0) )  -  Races!$I$20</f>
        <v>5.8500000000000005</v>
      </c>
      <c r="CU55" s="97">
        <f ca="1">gnome*(TblMili[[#This Row],[Rockapult bonus]]*TblMili[[#This Row],[Unit 3]])</f>
        <v>0</v>
      </c>
      <c r="CV55" s="158">
        <f ca="1">1.8 * MIN(MAX(TblMili[[#This Row],[Spellblade]]+Races!$E$47,TblMili[[#This Row],[Adept-DP]]+Races!$F$47),6)  +  0.45 * MIN(MIN(TblMili[[#This Row],[Spellblade]]+Races!$E$47,TblMili[[#This Row],[Adept-DP]]+Races!$F$47),6)  +  0.2 * ( MAX(TblMili[[#This Row],[Spellblade]]+Races!$E$47-6,0) + MAX(TblMili[[#This Row],[Adept-DP]]+Races!$F$47-6,0) )  -  Races!$I$47</f>
        <v>0</v>
      </c>
      <c r="CW55" s="97">
        <f ca="1">dark_elf*(TblMili[[#This Row],[Adept bonus]]*TblMili[[#This Row],[Unit 3]])</f>
        <v>0</v>
      </c>
      <c r="CX55" s="158">
        <f ca="1">1.8 * MIN(MAX(TblMili[[#This Row],[Frost Mage]]+Races!$F$71,Races!$E$71),6)  +  0.45 * MIN(MIN(TblMili[[#This Row],[Frost Mage]]+Races!$F$71,Races!$E$71),6)  +  0.2 * ( MAX(TblMili[[#This Row],[Frost Mage]]+Races!$F$71-6,0) + MAX(Races!$E$71-6,0) )  -  Races!$I$71</f>
        <v>3.9599999999999991</v>
      </c>
      <c r="CY55" s="158">
        <f ca="1">1.8 * MIN(MAX(TblMili[[#This Row],[Ice Elemental]]+Races!$E$71,Races!$F$71),6)  +  0.45 * MIN(MIN(TblMili[[#This Row],[Ice Elemental]]+Races!$E$71,Races!$F$71),6)  +  0.2 * ( MAX(TblMili[[#This Row],[Ice Elemental]]+Races!$E$71-6,0) + MAX(Races!$F$71-6,0) )  -  Races!$I$71</f>
        <v>0.17999999999999972</v>
      </c>
      <c r="CZ55" s="97">
        <f ca="1">TblMili[[#This Row],[Frost Mage bonus]]*TblMili[[#This Row],[Unit 3]]+TblMili[[#This Row],[Ice Elemental bonus]]*TblMili[[#This Row],[Unit 4]]</f>
        <v>0</v>
      </c>
      <c r="DA55" s="268"/>
      <c r="DB55" s="146">
        <f ca="1">MIN(SUM(TblConstr[[#This Row],[Plain]:[Water]])/TblMili[[#This Row],[Land]]/favorable_terrain_bonus/100,favorable_terrain_max)</f>
        <v>0.1</v>
      </c>
      <c r="DC55" s="268"/>
      <c r="DD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5" s="145"/>
      <c r="DF55" s="269">
        <f ca="1">(TblMili[[#This Row],[Wizards]]+2*TblMili[[#This Row],[Archmages]])/TblConstr[[#This Row],[Land]]</f>
        <v>0.1</v>
      </c>
      <c r="DG55" s="269">
        <f ca="1">TblMili[[#This Row],[Raw (2)]]*(1+race_wizard_strength+IF(TblMili[[#This Row],[Hour]]&gt;72,tech_magical_weaponry_wiz*TblTech[[#This Row],[3-5]],0))</f>
        <v>0.1</v>
      </c>
    </row>
    <row r="56" spans="1:111"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45460.166666666541</v>
      </c>
      <c r="AG56" s="182"/>
      <c r="AH56" s="182"/>
      <c r="AI56" s="182"/>
      <c r="AJ56" s="182"/>
      <c r="AK56" s="182"/>
      <c r="AL56" s="182"/>
      <c r="AM56" s="182"/>
      <c r="AN56" s="182"/>
      <c r="AO56" s="449">
        <f ca="1">IF(AND(TblMagic[[#This Row],[Active DnD]]&lt;12,TblMagic[[#This Row],[Active DnD]]&gt;5),OFFSET(TblPop[[#This Row],[Draft Growth]],-1,0)/2,0)</f>
        <v>0</v>
      </c>
      <c r="AP56" s="145"/>
      <c r="AQ56" s="97">
        <f ca="1">TblProd[[#This Row],[Platinum]]</f>
        <v>406150</v>
      </c>
      <c r="AR56" s="97">
        <f ca="1">INDEX(TblProd[[#Headers],[Lumber]]:TblProd[[#This Row],[Ore]],COUNTA(TblProd[[#Headers],[Lumber]]:TblProd[[#This Row],[Lumber]]),MATCH(Military!$AQ$2,TblProd[[#Headers],[Lumber]:[Ore]],0))</f>
        <v>0</v>
      </c>
      <c r="AS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7">
        <f ca="1">TblMili[[#This Row],[Train Unit 1]]*TblMili[[#This Row],[OP Ore]]+TblMili[[#This Row],[Train Unit 2]]*TblMili[[#This Row],[DP Ore]]+TblMili[[#This Row],[Train Unit 3]]*TblMili[[#This Row],[E1 Ore]]+TblMili[[#This Row],[Train Unit 4]]*TblMili[[#This Row],[E2 Ore]]</f>
        <v>0</v>
      </c>
      <c r="AU56" s="145">
        <f>TblMili[[#This Row],[Hour]]</f>
        <v>53</v>
      </c>
      <c r="AV56" s="155">
        <f ca="1">TblMili[[#This Row],[Time]]</f>
        <v>45460.166666666541</v>
      </c>
      <c r="AW56" s="97">
        <f ca="1">TblMili[[#This Row],[Draftees]]</f>
        <v>626</v>
      </c>
      <c r="AX56" s="182"/>
      <c r="AY56" s="182"/>
      <c r="AZ56" s="182"/>
      <c r="BA56" s="182"/>
      <c r="BB56" s="182"/>
      <c r="BC56" s="182"/>
      <c r="BD56" s="182"/>
      <c r="BE56" s="182"/>
      <c r="BF56" s="182"/>
      <c r="BG56" s="145"/>
      <c r="BH56" s="160">
        <f ca="1">TblConstr[[#This Row],[Tot WG]]/TblConstr[[#This Row],[Land]]</f>
        <v>0</v>
      </c>
      <c r="BI56" s="160">
        <f ca="1">TblConstr[[#This Row],[Tot Hav]]/TblConstr[[#This Row],[Land]]</f>
        <v>0</v>
      </c>
      <c r="BJ56" s="97">
        <f ca="1">ROUNDUP((1-MIN(TblMili[[#This Row],[Smithies]]*smithy_bonus,smithy_bonus_cap) + tech_3_5*TblTech[[#This Row],[3-5]] + tech_5_3*TblTech[[#This Row],[5-3]] + tech_5_5*TblTech[[#This Row],[5-5]])*spec_op_plat,0)</f>
        <v>275</v>
      </c>
      <c r="BK56" s="97">
        <f ca="1">ROUNDUP(IF(race="Gnome",1,(1-MIN(TblMili[[#This Row],[Smithies]]*smithy_bonus,smithy_bonus_cap) + tech_3_5*TblTech[[#This Row],[3-5]] + tech_5_3*TblTech[[#This Row],[5-3]] + tech_5_5*TblTech[[#This Row],[5-5]]))*spec_op_ore,0)</f>
        <v>25</v>
      </c>
      <c r="BL56" s="97">
        <f ca="1">ROUNDUP((1-MIN(TblMili[[#This Row],[Smithies]]*smithy_bonus,smithy_bonus_cap) + tech_3_5*TblTech[[#This Row],[3-5]] + tech_5_3*TblTech[[#This Row],[5-3]] + tech_5_5*TblTech[[#This Row],[5-5]])*spec_dp_plat,0)</f>
        <v>275</v>
      </c>
      <c r="BM56" s="97">
        <f ca="1">ROUNDUP(IF(race="Gnome",1,(1-MIN(TblMili[[#This Row],[Smithies]]*smithy_bonus,smithy_bonus_cap) + tech_3_5*TblTech[[#This Row],[3-5]] + tech_5_3*TblTech[[#This Row],[5-3]] + tech_5_5*TblTech[[#This Row],[5-5]]))*spec_dp_ore,0)</f>
        <v>15</v>
      </c>
      <c r="BN56" s="97">
        <f ca="1">ROUNDUP((1-MIN(TblMili[[#This Row],[Smithies]]*smithy_bonus,smithy_bonus_cap) + tech_3_5*TblTech[[#This Row],[3-5]] + tech_5_3*TblTech[[#This Row],[5-3]] + tech_5_5*TblTech[[#This Row],[5-5]])*elite1_plat,0)</f>
        <v>1000</v>
      </c>
      <c r="BO56" s="97">
        <f ca="1">ROUNDUP(IF(race="Gnome",1,(1-MIN(TblMili[[#This Row],[Smithies]]*smithy_bonus,smithy_bonus_cap) + tech_3_5*TblTech[[#This Row],[3-5]] + tech_5_3*TblTech[[#This Row],[5-3]] + tech_5_5*TblTech[[#This Row],[5-5]]))*elite1_ore,0)</f>
        <v>75</v>
      </c>
      <c r="BP56" s="97">
        <f ca="1">ROUNDUP((1-MIN(TblMili[[#This Row],[Smithies]]*smithy_bonus,smithy_bonus_cap) + tech_3_5*TblTech[[#This Row],[3-5]] + tech_5_3*TblTech[[#This Row],[5-3]] + tech_5_5*TblTech[[#This Row],[5-5]])*elite2_plat,0)</f>
        <v>1250</v>
      </c>
      <c r="BQ56" s="97">
        <f ca="1">ROUNDUP(IF(race="Gnome",1,(1-MIN(TblMili[[#This Row],[Smithies]]*smithy_bonus,smithy_bonus_cap) + tech_3_5*TblTech[[#This Row],[3-5]] + tech_5_3*TblTech[[#This Row],[5-3]] + tech_5_5*TblTech[[#This Row],[5-5]]))*elite2_ore,0)</f>
        <v>100</v>
      </c>
      <c r="BR56" s="97">
        <f ca="1">ROUNDUP((1-MIN(ROUND(fh_spy_cost_red*TblMili[[#This Row],[FH''s]],4),fh_spy_cost_cap)+ tech_1_9*TblTech[[#This Row],[1-9]] + tech_9_1*TblTech[[#This Row],[9-1]])*spy_plat,0)</f>
        <v>500</v>
      </c>
      <c r="BS56" s="97">
        <f ca="1">ROUNDUP((1-MIN(ROUND(fh_spy_cost_red*TblMili[[#This Row],[FH''s]],4),fh_spy_cost_cap)+ tech_1_9*TblTech[[#This Row],[1-9]] + tech_9_1*TblTech[[#This Row],[9-1]])*archspy_plat,0)</f>
        <v>1000</v>
      </c>
      <c r="BT56" s="97">
        <f ca="1">ROUNDUP((1-MIN(ROUND(wg_wiz_cost_bonus*TblMili[[#This Row],[WG''s]],4),wg_wiz_cost_cap) + tech_1_9_2*TblTech[[#This Row],[1-9]] + tech_9_1_2*TblTech[[#This Row],[9-1]])*wizard_plat,0)</f>
        <v>500</v>
      </c>
      <c r="BU56" s="97">
        <f ca="1">ROUNDUP((1-MIN(ROUND(wg_wiz_cost_bonus*TblMili[[#This Row],[WG''s]],4),wg_wiz_cost_cap) + tech_1_9_2*TblTech[[#This Row],[1-9]] + tech_9_1_2*TblTech[[#This Row],[9-1]])*archmage_plat,0)</f>
        <v>1000</v>
      </c>
      <c r="BV56" s="145"/>
      <c r="BW56" s="160">
        <f ca="1">TblConstr[[#This Row],[Homeland]]/TblConstr[[#This Row],[Land]]</f>
        <v>0.44</v>
      </c>
      <c r="BX56" s="160">
        <f ca="1">TblMili[[#This Row],[WG''s]]</f>
        <v>0</v>
      </c>
      <c r="BY56" s="266">
        <f ca="1">IF(mystic_cap="none",TblMili[[#This Row],[Hill]]/mystic_bonus,MIN(mystic_cap,TblMili[[#This Row],[Hill]]/mystic_bonus))</f>
        <v>2.1999999999999997</v>
      </c>
      <c r="BZ56" s="266">
        <f ca="1">IF(druid_op_cap="none",TblMili[[#This Row],[Hill]]/druid_op_bonus,MIN(druid_op_cap,TblMili[[#This Row],[Hill]]/druid_op_bonus))</f>
        <v>2.1999999999999997</v>
      </c>
      <c r="CA56" s="266">
        <f ca="1">IF(druid_dp_cap="none",TblMili[[#This Row],[Hill]]/druid_dp_bonus,MIN(druid_dp_cap,TblMili[[#This Row],[Hill]]/druid_dp_bonus))</f>
        <v>2.1999999999999997</v>
      </c>
      <c r="CB56" s="266">
        <f ca="1">MIN(dryad_cap,TblMili[[#This Row],[Hill]]/dryad_bonus)</f>
        <v>2.1999999999999997</v>
      </c>
      <c r="CC56" s="266">
        <f ca="1">MIN(rocka_cap,TblMili[[#This Row],[Hill]]/rocka_bonus)</f>
        <v>2</v>
      </c>
      <c r="CD56" s="266">
        <f ca="1">MIN(adept_op_cap,TblMili[[#This Row],[WG]]/adept_op_bonus)</f>
        <v>0</v>
      </c>
      <c r="CE56" s="266">
        <f ca="1">MIN(adept_dp_cap,TblMili[[#This Row],[WG]]/adept_dp_bonus)</f>
        <v>0</v>
      </c>
      <c r="CF56" s="97">
        <f ca="1">MIN(TblMili[[#This Row],[Unit 3]],TblMili[[#This Row],[Unit 2]])*2</f>
        <v>0</v>
      </c>
      <c r="CG56" s="97">
        <f ca="1">MIN(TblMili[[#This Row],[Unit 1]],TblMili[[#This Row],[Unit 4]])*2</f>
        <v>0</v>
      </c>
      <c r="CH56" s="266">
        <f ca="1">MIN(frost_mage_cap,TblMili[[#This Row],[Hill]]/frost_mage_bonus)</f>
        <v>2.1999999999999997</v>
      </c>
      <c r="CI56" s="45">
        <f ca="1">MIN(ice_elem_cap,TblMili[[#This Row],[Raw (2)]]*ice_elem_bonus)</f>
        <v>0.1</v>
      </c>
      <c r="CJ56" s="266">
        <f t="shared" si="2"/>
        <v>0.83333333333333337</v>
      </c>
      <c r="CK56" s="266">
        <f ca="1">MIN(nox_nightshade_cap,TblConstr[[#This Row],[Homeland]]/TblConstr[[#This Row],[Land]]/nox_nightshade_swamp_bonus)</f>
        <v>4</v>
      </c>
      <c r="CL56" s="267"/>
      <c r="CM56" s="267"/>
      <c r="CN56" s="267"/>
      <c r="CO56" s="266">
        <f ca="1">MIN(6,TblMili[[#This Row],[Mystic]]+Races!$F$19)*1.8 +  IF(TblMili[[#This Row],[Mystic]]+Races!$F$19&gt;6,(TblMili[[#This Row],[Mystic]]+Races!$F$19-6)*0.2,0) - Races!$I$19</f>
        <v>3.6399999999999997</v>
      </c>
      <c r="CP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6" s="97">
        <f ca="1">TblMili[[#This Row],[Mystic bonus]]*TblMili[[#This Row],[Unit 3]]+TblMili[[#This Row],[Druid bonus]]*TblMili[[#This Row],[Unit 4]]</f>
        <v>0</v>
      </c>
      <c r="CR56" s="158">
        <f ca="1">MIN(6,TblMili[[#This Row],[Dryad]]+Races!$F$35)*1.8 +  IF(TblMili[[#This Row],[Dryad]]+Races!$F$35&gt;6,(TblMili[[#This Row],[Dryad]]+Races!$F$35-6)*0.2,0) - Races!$I$19</f>
        <v>2.1599999999999993</v>
      </c>
      <c r="CS56" s="97">
        <f ca="1">sylvan*(TblMili[[#This Row],[Mystic bonus]]*TblMili[[#This Row],[Unit 3]])</f>
        <v>0</v>
      </c>
      <c r="CT56" s="158">
        <f ca="1">1.8 * MIN(MAX(Races!$E$27,TblMili[[#This Row],[Rockapult]]+Races!$F$27),6)  +  0.45 * MIN(MIN(Races!$E$27,TblMili[[#This Row],[Rockapult]]+Races!$F$27),6)  +  0.2 * ( MAX(Races!$E$27-6,0) + MAX(TblMili[[#This Row],[Rockapult]]+Races!$F$27-6,0) )  -  Races!$I$20</f>
        <v>5.8500000000000005</v>
      </c>
      <c r="CU56" s="97">
        <f ca="1">gnome*(TblMili[[#This Row],[Rockapult bonus]]*TblMili[[#This Row],[Unit 3]])</f>
        <v>0</v>
      </c>
      <c r="CV56" s="158">
        <f ca="1">1.8 * MIN(MAX(TblMili[[#This Row],[Spellblade]]+Races!$E$47,TblMili[[#This Row],[Adept-DP]]+Races!$F$47),6)  +  0.45 * MIN(MIN(TblMili[[#This Row],[Spellblade]]+Races!$E$47,TblMili[[#This Row],[Adept-DP]]+Races!$F$47),6)  +  0.2 * ( MAX(TblMili[[#This Row],[Spellblade]]+Races!$E$47-6,0) + MAX(TblMili[[#This Row],[Adept-DP]]+Races!$F$47-6,0) )  -  Races!$I$47</f>
        <v>0</v>
      </c>
      <c r="CW56" s="97">
        <f ca="1">dark_elf*(TblMili[[#This Row],[Adept bonus]]*TblMili[[#This Row],[Unit 3]])</f>
        <v>0</v>
      </c>
      <c r="CX56" s="158">
        <f ca="1">1.8 * MIN(MAX(TblMili[[#This Row],[Frost Mage]]+Races!$F$71,Races!$E$71),6)  +  0.45 * MIN(MIN(TblMili[[#This Row],[Frost Mage]]+Races!$F$71,Races!$E$71),6)  +  0.2 * ( MAX(TblMili[[#This Row],[Frost Mage]]+Races!$F$71-6,0) + MAX(Races!$E$71-6,0) )  -  Races!$I$71</f>
        <v>3.9599999999999991</v>
      </c>
      <c r="CY56" s="158">
        <f ca="1">1.8 * MIN(MAX(TblMili[[#This Row],[Ice Elemental]]+Races!$E$71,Races!$F$71),6)  +  0.45 * MIN(MIN(TblMili[[#This Row],[Ice Elemental]]+Races!$E$71,Races!$F$71),6)  +  0.2 * ( MAX(TblMili[[#This Row],[Ice Elemental]]+Races!$E$71-6,0) + MAX(Races!$F$71-6,0) )  -  Races!$I$71</f>
        <v>0.17999999999999972</v>
      </c>
      <c r="CZ56" s="97">
        <f ca="1">TblMili[[#This Row],[Frost Mage bonus]]*TblMili[[#This Row],[Unit 3]]+TblMili[[#This Row],[Ice Elemental bonus]]*TblMili[[#This Row],[Unit 4]]</f>
        <v>0</v>
      </c>
      <c r="DA56" s="268"/>
      <c r="DB56" s="146">
        <f ca="1">MIN(SUM(TblConstr[[#This Row],[Plain]:[Water]])/TblMili[[#This Row],[Land]]/favorable_terrain_bonus/100,favorable_terrain_max)</f>
        <v>0.1</v>
      </c>
      <c r="DC56" s="268"/>
      <c r="DD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6" s="145"/>
      <c r="DF56" s="269">
        <f ca="1">(TblMili[[#This Row],[Wizards]]+2*TblMili[[#This Row],[Archmages]])/TblConstr[[#This Row],[Land]]</f>
        <v>0.1</v>
      </c>
      <c r="DG56" s="269">
        <f ca="1">TblMili[[#This Row],[Raw (2)]]*(1+race_wizard_strength+IF(TblMili[[#This Row],[Hour]]&gt;72,tech_magical_weaponry_wiz*TblTech[[#This Row],[3-5]],0))</f>
        <v>0.1</v>
      </c>
    </row>
    <row r="57" spans="1:111"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45460.208333333205</v>
      </c>
      <c r="AG57" s="182"/>
      <c r="AH57" s="182"/>
      <c r="AI57" s="182"/>
      <c r="AJ57" s="182"/>
      <c r="AK57" s="182"/>
      <c r="AL57" s="182"/>
      <c r="AM57" s="182"/>
      <c r="AN57" s="182"/>
      <c r="AO57" s="449">
        <f ca="1">IF(AND(TblMagic[[#This Row],[Active DnD]]&lt;12,TblMagic[[#This Row],[Active DnD]]&gt;5),OFFSET(TblPop[[#This Row],[Draft Growth]],-1,0)/2,0)</f>
        <v>0</v>
      </c>
      <c r="AP57" s="145"/>
      <c r="AQ57" s="97">
        <f ca="1">TblProd[[#This Row],[Platinum]]</f>
        <v>411636</v>
      </c>
      <c r="AR57" s="97">
        <f ca="1">INDEX(TblProd[[#Headers],[Lumber]]:TblProd[[#This Row],[Ore]],COUNTA(TblProd[[#Headers],[Lumber]]:TblProd[[#This Row],[Lumber]]),MATCH(Military!$AQ$2,TblProd[[#Headers],[Lumber]:[Ore]],0))</f>
        <v>0</v>
      </c>
      <c r="AS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7">
        <f ca="1">TblMili[[#This Row],[Train Unit 1]]*TblMili[[#This Row],[OP Ore]]+TblMili[[#This Row],[Train Unit 2]]*TblMili[[#This Row],[DP Ore]]+TblMili[[#This Row],[Train Unit 3]]*TblMili[[#This Row],[E1 Ore]]+TblMili[[#This Row],[Train Unit 4]]*TblMili[[#This Row],[E2 Ore]]</f>
        <v>0</v>
      </c>
      <c r="AU57" s="145">
        <f>TblMili[[#This Row],[Hour]]</f>
        <v>54</v>
      </c>
      <c r="AV57" s="155">
        <f ca="1">TblMili[[#This Row],[Time]]</f>
        <v>45460.208333333205</v>
      </c>
      <c r="AW57" s="97">
        <f ca="1">TblMili[[#This Row],[Draftees]]</f>
        <v>626</v>
      </c>
      <c r="AX57" s="182"/>
      <c r="AY57" s="182"/>
      <c r="AZ57" s="182"/>
      <c r="BA57" s="182"/>
      <c r="BB57" s="182"/>
      <c r="BC57" s="182"/>
      <c r="BD57" s="182"/>
      <c r="BE57" s="182"/>
      <c r="BF57" s="182"/>
      <c r="BG57" s="145"/>
      <c r="BH57" s="160">
        <f ca="1">TblConstr[[#This Row],[Tot WG]]/TblConstr[[#This Row],[Land]]</f>
        <v>0</v>
      </c>
      <c r="BI57" s="160">
        <f ca="1">TblConstr[[#This Row],[Tot Hav]]/TblConstr[[#This Row],[Land]]</f>
        <v>0</v>
      </c>
      <c r="BJ57" s="97">
        <f ca="1">ROUNDUP((1-MIN(TblMili[[#This Row],[Smithies]]*smithy_bonus,smithy_bonus_cap) + tech_3_5*TblTech[[#This Row],[3-5]] + tech_5_3*TblTech[[#This Row],[5-3]] + tech_5_5*TblTech[[#This Row],[5-5]])*spec_op_plat,0)</f>
        <v>275</v>
      </c>
      <c r="BK57" s="97">
        <f ca="1">ROUNDUP(IF(race="Gnome",1,(1-MIN(TblMili[[#This Row],[Smithies]]*smithy_bonus,smithy_bonus_cap) + tech_3_5*TblTech[[#This Row],[3-5]] + tech_5_3*TblTech[[#This Row],[5-3]] + tech_5_5*TblTech[[#This Row],[5-5]]))*spec_op_ore,0)</f>
        <v>25</v>
      </c>
      <c r="BL57" s="97">
        <f ca="1">ROUNDUP((1-MIN(TblMili[[#This Row],[Smithies]]*smithy_bonus,smithy_bonus_cap) + tech_3_5*TblTech[[#This Row],[3-5]] + tech_5_3*TblTech[[#This Row],[5-3]] + tech_5_5*TblTech[[#This Row],[5-5]])*spec_dp_plat,0)</f>
        <v>275</v>
      </c>
      <c r="BM57" s="97">
        <f ca="1">ROUNDUP(IF(race="Gnome",1,(1-MIN(TblMili[[#This Row],[Smithies]]*smithy_bonus,smithy_bonus_cap) + tech_3_5*TblTech[[#This Row],[3-5]] + tech_5_3*TblTech[[#This Row],[5-3]] + tech_5_5*TblTech[[#This Row],[5-5]]))*spec_dp_ore,0)</f>
        <v>15</v>
      </c>
      <c r="BN57" s="97">
        <f ca="1">ROUNDUP((1-MIN(TblMili[[#This Row],[Smithies]]*smithy_bonus,smithy_bonus_cap) + tech_3_5*TblTech[[#This Row],[3-5]] + tech_5_3*TblTech[[#This Row],[5-3]] + tech_5_5*TblTech[[#This Row],[5-5]])*elite1_plat,0)</f>
        <v>1000</v>
      </c>
      <c r="BO57" s="97">
        <f ca="1">ROUNDUP(IF(race="Gnome",1,(1-MIN(TblMili[[#This Row],[Smithies]]*smithy_bonus,smithy_bonus_cap) + tech_3_5*TblTech[[#This Row],[3-5]] + tech_5_3*TblTech[[#This Row],[5-3]] + tech_5_5*TblTech[[#This Row],[5-5]]))*elite1_ore,0)</f>
        <v>75</v>
      </c>
      <c r="BP57" s="97">
        <f ca="1">ROUNDUP((1-MIN(TblMili[[#This Row],[Smithies]]*smithy_bonus,smithy_bonus_cap) + tech_3_5*TblTech[[#This Row],[3-5]] + tech_5_3*TblTech[[#This Row],[5-3]] + tech_5_5*TblTech[[#This Row],[5-5]])*elite2_plat,0)</f>
        <v>1250</v>
      </c>
      <c r="BQ57" s="97">
        <f ca="1">ROUNDUP(IF(race="Gnome",1,(1-MIN(TblMili[[#This Row],[Smithies]]*smithy_bonus,smithy_bonus_cap) + tech_3_5*TblTech[[#This Row],[3-5]] + tech_5_3*TblTech[[#This Row],[5-3]] + tech_5_5*TblTech[[#This Row],[5-5]]))*elite2_ore,0)</f>
        <v>100</v>
      </c>
      <c r="BR57" s="97">
        <f ca="1">ROUNDUP((1-MIN(ROUND(fh_spy_cost_red*TblMili[[#This Row],[FH''s]],4),fh_spy_cost_cap)+ tech_1_9*TblTech[[#This Row],[1-9]] + tech_9_1*TblTech[[#This Row],[9-1]])*spy_plat,0)</f>
        <v>500</v>
      </c>
      <c r="BS57" s="97">
        <f ca="1">ROUNDUP((1-MIN(ROUND(fh_spy_cost_red*TblMili[[#This Row],[FH''s]],4),fh_spy_cost_cap)+ tech_1_9*TblTech[[#This Row],[1-9]] + tech_9_1*TblTech[[#This Row],[9-1]])*archspy_plat,0)</f>
        <v>1000</v>
      </c>
      <c r="BT57" s="97">
        <f ca="1">ROUNDUP((1-MIN(ROUND(wg_wiz_cost_bonus*TblMili[[#This Row],[WG''s]],4),wg_wiz_cost_cap) + tech_1_9_2*TblTech[[#This Row],[1-9]] + tech_9_1_2*TblTech[[#This Row],[9-1]])*wizard_plat,0)</f>
        <v>500</v>
      </c>
      <c r="BU57" s="97">
        <f ca="1">ROUNDUP((1-MIN(ROUND(wg_wiz_cost_bonus*TblMili[[#This Row],[WG''s]],4),wg_wiz_cost_cap) + tech_1_9_2*TblTech[[#This Row],[1-9]] + tech_9_1_2*TblTech[[#This Row],[9-1]])*archmage_plat,0)</f>
        <v>1000</v>
      </c>
      <c r="BV57" s="145"/>
      <c r="BW57" s="160">
        <f ca="1">TblConstr[[#This Row],[Homeland]]/TblConstr[[#This Row],[Land]]</f>
        <v>0.44</v>
      </c>
      <c r="BX57" s="160">
        <f ca="1">TblMili[[#This Row],[WG''s]]</f>
        <v>0</v>
      </c>
      <c r="BY57" s="266">
        <f ca="1">IF(mystic_cap="none",TblMili[[#This Row],[Hill]]/mystic_bonus,MIN(mystic_cap,TblMili[[#This Row],[Hill]]/mystic_bonus))</f>
        <v>2.1999999999999997</v>
      </c>
      <c r="BZ57" s="266">
        <f ca="1">IF(druid_op_cap="none",TblMili[[#This Row],[Hill]]/druid_op_bonus,MIN(druid_op_cap,TblMili[[#This Row],[Hill]]/druid_op_bonus))</f>
        <v>2.1999999999999997</v>
      </c>
      <c r="CA57" s="266">
        <f ca="1">IF(druid_dp_cap="none",TblMili[[#This Row],[Hill]]/druid_dp_bonus,MIN(druid_dp_cap,TblMili[[#This Row],[Hill]]/druid_dp_bonus))</f>
        <v>2.1999999999999997</v>
      </c>
      <c r="CB57" s="266">
        <f ca="1">MIN(dryad_cap,TblMili[[#This Row],[Hill]]/dryad_bonus)</f>
        <v>2.1999999999999997</v>
      </c>
      <c r="CC57" s="266">
        <f ca="1">MIN(rocka_cap,TblMili[[#This Row],[Hill]]/rocka_bonus)</f>
        <v>2</v>
      </c>
      <c r="CD57" s="266">
        <f ca="1">MIN(adept_op_cap,TblMili[[#This Row],[WG]]/adept_op_bonus)</f>
        <v>0</v>
      </c>
      <c r="CE57" s="266">
        <f ca="1">MIN(adept_dp_cap,TblMili[[#This Row],[WG]]/adept_dp_bonus)</f>
        <v>0</v>
      </c>
      <c r="CF57" s="97">
        <f ca="1">MIN(TblMili[[#This Row],[Unit 3]],TblMili[[#This Row],[Unit 2]])*2</f>
        <v>0</v>
      </c>
      <c r="CG57" s="97">
        <f ca="1">MIN(TblMili[[#This Row],[Unit 1]],TblMili[[#This Row],[Unit 4]])*2</f>
        <v>0</v>
      </c>
      <c r="CH57" s="266">
        <f ca="1">MIN(frost_mage_cap,TblMili[[#This Row],[Hill]]/frost_mage_bonus)</f>
        <v>2.1999999999999997</v>
      </c>
      <c r="CI57" s="45">
        <f ca="1">MIN(ice_elem_cap,TblMili[[#This Row],[Raw (2)]]*ice_elem_bonus)</f>
        <v>0.1</v>
      </c>
      <c r="CJ57" s="266">
        <f t="shared" si="2"/>
        <v>0.83333333333333337</v>
      </c>
      <c r="CK57" s="266">
        <f ca="1">MIN(nox_nightshade_cap,TblConstr[[#This Row],[Homeland]]/TblConstr[[#This Row],[Land]]/nox_nightshade_swamp_bonus)</f>
        <v>4</v>
      </c>
      <c r="CL57" s="267"/>
      <c r="CM57" s="267"/>
      <c r="CN57" s="267"/>
      <c r="CO57" s="266">
        <f ca="1">MIN(6,TblMili[[#This Row],[Mystic]]+Races!$F$19)*1.8 +  IF(TblMili[[#This Row],[Mystic]]+Races!$F$19&gt;6,(TblMili[[#This Row],[Mystic]]+Races!$F$19-6)*0.2,0) - Races!$I$19</f>
        <v>3.6399999999999997</v>
      </c>
      <c r="CP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7" s="97">
        <f ca="1">TblMili[[#This Row],[Mystic bonus]]*TblMili[[#This Row],[Unit 3]]+TblMili[[#This Row],[Druid bonus]]*TblMili[[#This Row],[Unit 4]]</f>
        <v>0</v>
      </c>
      <c r="CR57" s="158">
        <f ca="1">MIN(6,TblMili[[#This Row],[Dryad]]+Races!$F$35)*1.8 +  IF(TblMili[[#This Row],[Dryad]]+Races!$F$35&gt;6,(TblMili[[#This Row],[Dryad]]+Races!$F$35-6)*0.2,0) - Races!$I$19</f>
        <v>2.1599999999999993</v>
      </c>
      <c r="CS57" s="97">
        <f ca="1">sylvan*(TblMili[[#This Row],[Mystic bonus]]*TblMili[[#This Row],[Unit 3]])</f>
        <v>0</v>
      </c>
      <c r="CT57" s="158">
        <f ca="1">1.8 * MIN(MAX(Races!$E$27,TblMili[[#This Row],[Rockapult]]+Races!$F$27),6)  +  0.45 * MIN(MIN(Races!$E$27,TblMili[[#This Row],[Rockapult]]+Races!$F$27),6)  +  0.2 * ( MAX(Races!$E$27-6,0) + MAX(TblMili[[#This Row],[Rockapult]]+Races!$F$27-6,0) )  -  Races!$I$20</f>
        <v>5.8500000000000005</v>
      </c>
      <c r="CU57" s="97">
        <f ca="1">gnome*(TblMili[[#This Row],[Rockapult bonus]]*TblMili[[#This Row],[Unit 3]])</f>
        <v>0</v>
      </c>
      <c r="CV57" s="158">
        <f ca="1">1.8 * MIN(MAX(TblMili[[#This Row],[Spellblade]]+Races!$E$47,TblMili[[#This Row],[Adept-DP]]+Races!$F$47),6)  +  0.45 * MIN(MIN(TblMili[[#This Row],[Spellblade]]+Races!$E$47,TblMili[[#This Row],[Adept-DP]]+Races!$F$47),6)  +  0.2 * ( MAX(TblMili[[#This Row],[Spellblade]]+Races!$E$47-6,0) + MAX(TblMili[[#This Row],[Adept-DP]]+Races!$F$47-6,0) )  -  Races!$I$47</f>
        <v>0</v>
      </c>
      <c r="CW57" s="97">
        <f ca="1">dark_elf*(TblMili[[#This Row],[Adept bonus]]*TblMili[[#This Row],[Unit 3]])</f>
        <v>0</v>
      </c>
      <c r="CX57" s="158">
        <f ca="1">1.8 * MIN(MAX(TblMili[[#This Row],[Frost Mage]]+Races!$F$71,Races!$E$71),6)  +  0.45 * MIN(MIN(TblMili[[#This Row],[Frost Mage]]+Races!$F$71,Races!$E$71),6)  +  0.2 * ( MAX(TblMili[[#This Row],[Frost Mage]]+Races!$F$71-6,0) + MAX(Races!$E$71-6,0) )  -  Races!$I$71</f>
        <v>3.9599999999999991</v>
      </c>
      <c r="CY57" s="158">
        <f ca="1">1.8 * MIN(MAX(TblMili[[#This Row],[Ice Elemental]]+Races!$E$71,Races!$F$71),6)  +  0.45 * MIN(MIN(TblMili[[#This Row],[Ice Elemental]]+Races!$E$71,Races!$F$71),6)  +  0.2 * ( MAX(TblMili[[#This Row],[Ice Elemental]]+Races!$E$71-6,0) + MAX(Races!$F$71-6,0) )  -  Races!$I$71</f>
        <v>0.17999999999999972</v>
      </c>
      <c r="CZ57" s="97">
        <f ca="1">TblMili[[#This Row],[Frost Mage bonus]]*TblMili[[#This Row],[Unit 3]]+TblMili[[#This Row],[Ice Elemental bonus]]*TblMili[[#This Row],[Unit 4]]</f>
        <v>0</v>
      </c>
      <c r="DA57" s="268"/>
      <c r="DB57" s="146">
        <f ca="1">MIN(SUM(TblConstr[[#This Row],[Plain]:[Water]])/TblMili[[#This Row],[Land]]/favorable_terrain_bonus/100,favorable_terrain_max)</f>
        <v>0.1</v>
      </c>
      <c r="DC57" s="268"/>
      <c r="DD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7" s="145"/>
      <c r="DF57" s="269">
        <f ca="1">(TblMili[[#This Row],[Wizards]]+2*TblMili[[#This Row],[Archmages]])/TblConstr[[#This Row],[Land]]</f>
        <v>0.1</v>
      </c>
      <c r="DG57" s="269">
        <f ca="1">TblMili[[#This Row],[Raw (2)]]*(1+race_wizard_strength+IF(TblMili[[#This Row],[Hour]]&gt;72,tech_magical_weaponry_wiz*TblTech[[#This Row],[3-5]],0))</f>
        <v>0.1</v>
      </c>
    </row>
    <row r="58" spans="1:111"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45460.249999999869</v>
      </c>
      <c r="AG58" s="182"/>
      <c r="AH58" s="182"/>
      <c r="AI58" s="182"/>
      <c r="AJ58" s="182"/>
      <c r="AK58" s="182"/>
      <c r="AL58" s="182"/>
      <c r="AM58" s="182"/>
      <c r="AN58" s="182"/>
      <c r="AO58" s="449">
        <f ca="1">IF(AND(TblMagic[[#This Row],[Active DnD]]&lt;12,TblMagic[[#This Row],[Active DnD]]&gt;5),OFFSET(TblPop[[#This Row],[Draft Growth]],-1,0)/2,0)</f>
        <v>0</v>
      </c>
      <c r="AP58" s="145"/>
      <c r="AQ58" s="97">
        <f ca="1">TblProd[[#This Row],[Platinum]]</f>
        <v>417122</v>
      </c>
      <c r="AR58" s="97">
        <f ca="1">INDEX(TblProd[[#Headers],[Lumber]]:TblProd[[#This Row],[Ore]],COUNTA(TblProd[[#Headers],[Lumber]]:TblProd[[#This Row],[Lumber]]),MATCH(Military!$AQ$2,TblProd[[#Headers],[Lumber]:[Ore]],0))</f>
        <v>0</v>
      </c>
      <c r="AS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7">
        <f ca="1">TblMili[[#This Row],[Train Unit 1]]*TblMili[[#This Row],[OP Ore]]+TblMili[[#This Row],[Train Unit 2]]*TblMili[[#This Row],[DP Ore]]+TblMili[[#This Row],[Train Unit 3]]*TblMili[[#This Row],[E1 Ore]]+TblMili[[#This Row],[Train Unit 4]]*TblMili[[#This Row],[E2 Ore]]</f>
        <v>0</v>
      </c>
      <c r="AU58" s="145">
        <f>TblMili[[#This Row],[Hour]]</f>
        <v>55</v>
      </c>
      <c r="AV58" s="155">
        <f ca="1">TblMili[[#This Row],[Time]]</f>
        <v>45460.249999999869</v>
      </c>
      <c r="AW58" s="97">
        <f ca="1">TblMili[[#This Row],[Draftees]]</f>
        <v>626</v>
      </c>
      <c r="AX58" s="182"/>
      <c r="AY58" s="182"/>
      <c r="AZ58" s="182"/>
      <c r="BA58" s="182"/>
      <c r="BB58" s="182"/>
      <c r="BC58" s="182"/>
      <c r="BD58" s="182"/>
      <c r="BE58" s="182"/>
      <c r="BF58" s="182"/>
      <c r="BG58" s="145"/>
      <c r="BH58" s="160">
        <f ca="1">TblConstr[[#This Row],[Tot WG]]/TblConstr[[#This Row],[Land]]</f>
        <v>0</v>
      </c>
      <c r="BI58" s="160">
        <f ca="1">TblConstr[[#This Row],[Tot Hav]]/TblConstr[[#This Row],[Land]]</f>
        <v>0</v>
      </c>
      <c r="BJ58" s="97">
        <f ca="1">ROUNDUP((1-MIN(TblMili[[#This Row],[Smithies]]*smithy_bonus,smithy_bonus_cap) + tech_3_5*TblTech[[#This Row],[3-5]] + tech_5_3*TblTech[[#This Row],[5-3]] + tech_5_5*TblTech[[#This Row],[5-5]])*spec_op_plat,0)</f>
        <v>275</v>
      </c>
      <c r="BK58" s="97">
        <f ca="1">ROUNDUP(IF(race="Gnome",1,(1-MIN(TblMili[[#This Row],[Smithies]]*smithy_bonus,smithy_bonus_cap) + tech_3_5*TblTech[[#This Row],[3-5]] + tech_5_3*TblTech[[#This Row],[5-3]] + tech_5_5*TblTech[[#This Row],[5-5]]))*spec_op_ore,0)</f>
        <v>25</v>
      </c>
      <c r="BL58" s="97">
        <f ca="1">ROUNDUP((1-MIN(TblMili[[#This Row],[Smithies]]*smithy_bonus,smithy_bonus_cap) + tech_3_5*TblTech[[#This Row],[3-5]] + tech_5_3*TblTech[[#This Row],[5-3]] + tech_5_5*TblTech[[#This Row],[5-5]])*spec_dp_plat,0)</f>
        <v>275</v>
      </c>
      <c r="BM58" s="97">
        <f ca="1">ROUNDUP(IF(race="Gnome",1,(1-MIN(TblMili[[#This Row],[Smithies]]*smithy_bonus,smithy_bonus_cap) + tech_3_5*TblTech[[#This Row],[3-5]] + tech_5_3*TblTech[[#This Row],[5-3]] + tech_5_5*TblTech[[#This Row],[5-5]]))*spec_dp_ore,0)</f>
        <v>15</v>
      </c>
      <c r="BN58" s="97">
        <f ca="1">ROUNDUP((1-MIN(TblMili[[#This Row],[Smithies]]*smithy_bonus,smithy_bonus_cap) + tech_3_5*TblTech[[#This Row],[3-5]] + tech_5_3*TblTech[[#This Row],[5-3]] + tech_5_5*TblTech[[#This Row],[5-5]])*elite1_plat,0)</f>
        <v>1000</v>
      </c>
      <c r="BO58" s="97">
        <f ca="1">ROUNDUP(IF(race="Gnome",1,(1-MIN(TblMili[[#This Row],[Smithies]]*smithy_bonus,smithy_bonus_cap) + tech_3_5*TblTech[[#This Row],[3-5]] + tech_5_3*TblTech[[#This Row],[5-3]] + tech_5_5*TblTech[[#This Row],[5-5]]))*elite1_ore,0)</f>
        <v>75</v>
      </c>
      <c r="BP58" s="97">
        <f ca="1">ROUNDUP((1-MIN(TblMili[[#This Row],[Smithies]]*smithy_bonus,smithy_bonus_cap) + tech_3_5*TblTech[[#This Row],[3-5]] + tech_5_3*TblTech[[#This Row],[5-3]] + tech_5_5*TblTech[[#This Row],[5-5]])*elite2_plat,0)</f>
        <v>1250</v>
      </c>
      <c r="BQ58" s="97">
        <f ca="1">ROUNDUP(IF(race="Gnome",1,(1-MIN(TblMili[[#This Row],[Smithies]]*smithy_bonus,smithy_bonus_cap) + tech_3_5*TblTech[[#This Row],[3-5]] + tech_5_3*TblTech[[#This Row],[5-3]] + tech_5_5*TblTech[[#This Row],[5-5]]))*elite2_ore,0)</f>
        <v>100</v>
      </c>
      <c r="BR58" s="97">
        <f ca="1">ROUNDUP((1-MIN(ROUND(fh_spy_cost_red*TblMili[[#This Row],[FH''s]],4),fh_spy_cost_cap)+ tech_1_9*TblTech[[#This Row],[1-9]] + tech_9_1*TblTech[[#This Row],[9-1]])*spy_plat,0)</f>
        <v>500</v>
      </c>
      <c r="BS58" s="97">
        <f ca="1">ROUNDUP((1-MIN(ROUND(fh_spy_cost_red*TblMili[[#This Row],[FH''s]],4),fh_spy_cost_cap)+ tech_1_9*TblTech[[#This Row],[1-9]] + tech_9_1*TblTech[[#This Row],[9-1]])*archspy_plat,0)</f>
        <v>1000</v>
      </c>
      <c r="BT58" s="97">
        <f ca="1">ROUNDUP((1-MIN(ROUND(wg_wiz_cost_bonus*TblMili[[#This Row],[WG''s]],4),wg_wiz_cost_cap) + tech_1_9_2*TblTech[[#This Row],[1-9]] + tech_9_1_2*TblTech[[#This Row],[9-1]])*wizard_plat,0)</f>
        <v>500</v>
      </c>
      <c r="BU58" s="97">
        <f ca="1">ROUNDUP((1-MIN(ROUND(wg_wiz_cost_bonus*TblMili[[#This Row],[WG''s]],4),wg_wiz_cost_cap) + tech_1_9_2*TblTech[[#This Row],[1-9]] + tech_9_1_2*TblTech[[#This Row],[9-1]])*archmage_plat,0)</f>
        <v>1000</v>
      </c>
      <c r="BV58" s="145"/>
      <c r="BW58" s="160">
        <f ca="1">TblConstr[[#This Row],[Homeland]]/TblConstr[[#This Row],[Land]]</f>
        <v>0.44</v>
      </c>
      <c r="BX58" s="160">
        <f ca="1">TblMili[[#This Row],[WG''s]]</f>
        <v>0</v>
      </c>
      <c r="BY58" s="266">
        <f ca="1">IF(mystic_cap="none",TblMili[[#This Row],[Hill]]/mystic_bonus,MIN(mystic_cap,TblMili[[#This Row],[Hill]]/mystic_bonus))</f>
        <v>2.1999999999999997</v>
      </c>
      <c r="BZ58" s="266">
        <f ca="1">IF(druid_op_cap="none",TblMili[[#This Row],[Hill]]/druid_op_bonus,MIN(druid_op_cap,TblMili[[#This Row],[Hill]]/druid_op_bonus))</f>
        <v>2.1999999999999997</v>
      </c>
      <c r="CA58" s="266">
        <f ca="1">IF(druid_dp_cap="none",TblMili[[#This Row],[Hill]]/druid_dp_bonus,MIN(druid_dp_cap,TblMili[[#This Row],[Hill]]/druid_dp_bonus))</f>
        <v>2.1999999999999997</v>
      </c>
      <c r="CB58" s="266">
        <f ca="1">MIN(dryad_cap,TblMili[[#This Row],[Hill]]/dryad_bonus)</f>
        <v>2.1999999999999997</v>
      </c>
      <c r="CC58" s="266">
        <f ca="1">MIN(rocka_cap,TblMili[[#This Row],[Hill]]/rocka_bonus)</f>
        <v>2</v>
      </c>
      <c r="CD58" s="266">
        <f ca="1">MIN(adept_op_cap,TblMili[[#This Row],[WG]]/adept_op_bonus)</f>
        <v>0</v>
      </c>
      <c r="CE58" s="266">
        <f ca="1">MIN(adept_dp_cap,TblMili[[#This Row],[WG]]/adept_dp_bonus)</f>
        <v>0</v>
      </c>
      <c r="CF58" s="97">
        <f ca="1">MIN(TblMili[[#This Row],[Unit 3]],TblMili[[#This Row],[Unit 2]])*2</f>
        <v>0</v>
      </c>
      <c r="CG58" s="97">
        <f ca="1">MIN(TblMili[[#This Row],[Unit 1]],TblMili[[#This Row],[Unit 4]])*2</f>
        <v>0</v>
      </c>
      <c r="CH58" s="266">
        <f ca="1">MIN(frost_mage_cap,TblMili[[#This Row],[Hill]]/frost_mage_bonus)</f>
        <v>2.1999999999999997</v>
      </c>
      <c r="CI58" s="45">
        <f ca="1">MIN(ice_elem_cap,TblMili[[#This Row],[Raw (2)]]*ice_elem_bonus)</f>
        <v>0.1</v>
      </c>
      <c r="CJ58" s="266">
        <f t="shared" si="2"/>
        <v>0.83333333333333337</v>
      </c>
      <c r="CK58" s="266">
        <f ca="1">MIN(nox_nightshade_cap,TblConstr[[#This Row],[Homeland]]/TblConstr[[#This Row],[Land]]/nox_nightshade_swamp_bonus)</f>
        <v>4</v>
      </c>
      <c r="CL58" s="267"/>
      <c r="CM58" s="267"/>
      <c r="CN58" s="267"/>
      <c r="CO58" s="266">
        <f ca="1">MIN(6,TblMili[[#This Row],[Mystic]]+Races!$F$19)*1.8 +  IF(TblMili[[#This Row],[Mystic]]+Races!$F$19&gt;6,(TblMili[[#This Row],[Mystic]]+Races!$F$19-6)*0.2,0) - Races!$I$19</f>
        <v>3.6399999999999997</v>
      </c>
      <c r="CP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8" s="97">
        <f ca="1">TblMili[[#This Row],[Mystic bonus]]*TblMili[[#This Row],[Unit 3]]+TblMili[[#This Row],[Druid bonus]]*TblMili[[#This Row],[Unit 4]]</f>
        <v>0</v>
      </c>
      <c r="CR58" s="158">
        <f ca="1">MIN(6,TblMili[[#This Row],[Dryad]]+Races!$F$35)*1.8 +  IF(TblMili[[#This Row],[Dryad]]+Races!$F$35&gt;6,(TblMili[[#This Row],[Dryad]]+Races!$F$35-6)*0.2,0) - Races!$I$19</f>
        <v>2.1599999999999993</v>
      </c>
      <c r="CS58" s="97">
        <f ca="1">sylvan*(TblMili[[#This Row],[Mystic bonus]]*TblMili[[#This Row],[Unit 3]])</f>
        <v>0</v>
      </c>
      <c r="CT58" s="158">
        <f ca="1">1.8 * MIN(MAX(Races!$E$27,TblMili[[#This Row],[Rockapult]]+Races!$F$27),6)  +  0.45 * MIN(MIN(Races!$E$27,TblMili[[#This Row],[Rockapult]]+Races!$F$27),6)  +  0.2 * ( MAX(Races!$E$27-6,0) + MAX(TblMili[[#This Row],[Rockapult]]+Races!$F$27-6,0) )  -  Races!$I$20</f>
        <v>5.8500000000000005</v>
      </c>
      <c r="CU58" s="97">
        <f ca="1">gnome*(TblMili[[#This Row],[Rockapult bonus]]*TblMili[[#This Row],[Unit 3]])</f>
        <v>0</v>
      </c>
      <c r="CV58" s="158">
        <f ca="1">1.8 * MIN(MAX(TblMili[[#This Row],[Spellblade]]+Races!$E$47,TblMili[[#This Row],[Adept-DP]]+Races!$F$47),6)  +  0.45 * MIN(MIN(TblMili[[#This Row],[Spellblade]]+Races!$E$47,TblMili[[#This Row],[Adept-DP]]+Races!$F$47),6)  +  0.2 * ( MAX(TblMili[[#This Row],[Spellblade]]+Races!$E$47-6,0) + MAX(TblMili[[#This Row],[Adept-DP]]+Races!$F$47-6,0) )  -  Races!$I$47</f>
        <v>0</v>
      </c>
      <c r="CW58" s="97">
        <f ca="1">dark_elf*(TblMili[[#This Row],[Adept bonus]]*TblMili[[#This Row],[Unit 3]])</f>
        <v>0</v>
      </c>
      <c r="CX58" s="158">
        <f ca="1">1.8 * MIN(MAX(TblMili[[#This Row],[Frost Mage]]+Races!$F$71,Races!$E$71),6)  +  0.45 * MIN(MIN(TblMili[[#This Row],[Frost Mage]]+Races!$F$71,Races!$E$71),6)  +  0.2 * ( MAX(TblMili[[#This Row],[Frost Mage]]+Races!$F$71-6,0) + MAX(Races!$E$71-6,0) )  -  Races!$I$71</f>
        <v>3.9599999999999991</v>
      </c>
      <c r="CY58" s="158">
        <f ca="1">1.8 * MIN(MAX(TblMili[[#This Row],[Ice Elemental]]+Races!$E$71,Races!$F$71),6)  +  0.45 * MIN(MIN(TblMili[[#This Row],[Ice Elemental]]+Races!$E$71,Races!$F$71),6)  +  0.2 * ( MAX(TblMili[[#This Row],[Ice Elemental]]+Races!$E$71-6,0) + MAX(Races!$F$71-6,0) )  -  Races!$I$71</f>
        <v>0.17999999999999972</v>
      </c>
      <c r="CZ58" s="97">
        <f ca="1">TblMili[[#This Row],[Frost Mage bonus]]*TblMili[[#This Row],[Unit 3]]+TblMili[[#This Row],[Ice Elemental bonus]]*TblMili[[#This Row],[Unit 4]]</f>
        <v>0</v>
      </c>
      <c r="DA58" s="268"/>
      <c r="DB58" s="146">
        <f ca="1">MIN(SUM(TblConstr[[#This Row],[Plain]:[Water]])/TblMili[[#This Row],[Land]]/favorable_terrain_bonus/100,favorable_terrain_max)</f>
        <v>0.1</v>
      </c>
      <c r="DC58" s="268"/>
      <c r="DD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8" s="145"/>
      <c r="DF58" s="269">
        <f ca="1">(TblMili[[#This Row],[Wizards]]+2*TblMili[[#This Row],[Archmages]])/TblConstr[[#This Row],[Land]]</f>
        <v>0.1</v>
      </c>
      <c r="DG58" s="269">
        <f ca="1">TblMili[[#This Row],[Raw (2)]]*(1+race_wizard_strength+IF(TblMili[[#This Row],[Hour]]&gt;72,tech_magical_weaponry_wiz*TblTech[[#This Row],[3-5]],0))</f>
        <v>0.1</v>
      </c>
    </row>
    <row r="59" spans="1:111"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45460.291666666533</v>
      </c>
      <c r="AG59" s="182"/>
      <c r="AH59" s="182"/>
      <c r="AI59" s="182"/>
      <c r="AJ59" s="182"/>
      <c r="AK59" s="182"/>
      <c r="AL59" s="182"/>
      <c r="AM59" s="182"/>
      <c r="AN59" s="182"/>
      <c r="AO59" s="449">
        <f ca="1">IF(AND(TblMagic[[#This Row],[Active DnD]]&lt;12,TblMagic[[#This Row],[Active DnD]]&gt;5),OFFSET(TblPop[[#This Row],[Draft Growth]],-1,0)/2,0)</f>
        <v>0</v>
      </c>
      <c r="AP59" s="145"/>
      <c r="AQ59" s="97">
        <f ca="1">TblProd[[#This Row],[Platinum]]</f>
        <v>422608</v>
      </c>
      <c r="AR59" s="97">
        <f ca="1">INDEX(TblProd[[#Headers],[Lumber]]:TblProd[[#This Row],[Ore]],COUNTA(TblProd[[#Headers],[Lumber]]:TblProd[[#This Row],[Lumber]]),MATCH(Military!$AQ$2,TblProd[[#Headers],[Lumber]:[Ore]],0))</f>
        <v>0</v>
      </c>
      <c r="AS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7">
        <f ca="1">TblMili[[#This Row],[Train Unit 1]]*TblMili[[#This Row],[OP Ore]]+TblMili[[#This Row],[Train Unit 2]]*TblMili[[#This Row],[DP Ore]]+TblMili[[#This Row],[Train Unit 3]]*TblMili[[#This Row],[E1 Ore]]+TblMili[[#This Row],[Train Unit 4]]*TblMili[[#This Row],[E2 Ore]]</f>
        <v>0</v>
      </c>
      <c r="AU59" s="145">
        <f>TblMili[[#This Row],[Hour]]</f>
        <v>56</v>
      </c>
      <c r="AV59" s="155">
        <f ca="1">TblMili[[#This Row],[Time]]</f>
        <v>45460.291666666533</v>
      </c>
      <c r="AW59" s="97">
        <f ca="1">TblMili[[#This Row],[Draftees]]</f>
        <v>626</v>
      </c>
      <c r="AX59" s="182"/>
      <c r="AY59" s="182"/>
      <c r="AZ59" s="182"/>
      <c r="BA59" s="182"/>
      <c r="BB59" s="182"/>
      <c r="BC59" s="182"/>
      <c r="BD59" s="182"/>
      <c r="BE59" s="182"/>
      <c r="BF59" s="182"/>
      <c r="BG59" s="145"/>
      <c r="BH59" s="160">
        <f ca="1">TblConstr[[#This Row],[Tot WG]]/TblConstr[[#This Row],[Land]]</f>
        <v>0</v>
      </c>
      <c r="BI59" s="160">
        <f ca="1">TblConstr[[#This Row],[Tot Hav]]/TblConstr[[#This Row],[Land]]</f>
        <v>0</v>
      </c>
      <c r="BJ59" s="97">
        <f ca="1">ROUNDUP((1-MIN(TblMili[[#This Row],[Smithies]]*smithy_bonus,smithy_bonus_cap) + tech_3_5*TblTech[[#This Row],[3-5]] + tech_5_3*TblTech[[#This Row],[5-3]] + tech_5_5*TblTech[[#This Row],[5-5]])*spec_op_plat,0)</f>
        <v>275</v>
      </c>
      <c r="BK59" s="97">
        <f ca="1">ROUNDUP(IF(race="Gnome",1,(1-MIN(TblMili[[#This Row],[Smithies]]*smithy_bonus,smithy_bonus_cap) + tech_3_5*TblTech[[#This Row],[3-5]] + tech_5_3*TblTech[[#This Row],[5-3]] + tech_5_5*TblTech[[#This Row],[5-5]]))*spec_op_ore,0)</f>
        <v>25</v>
      </c>
      <c r="BL59" s="97">
        <f ca="1">ROUNDUP((1-MIN(TblMili[[#This Row],[Smithies]]*smithy_bonus,smithy_bonus_cap) + tech_3_5*TblTech[[#This Row],[3-5]] + tech_5_3*TblTech[[#This Row],[5-3]] + tech_5_5*TblTech[[#This Row],[5-5]])*spec_dp_plat,0)</f>
        <v>275</v>
      </c>
      <c r="BM59" s="97">
        <f ca="1">ROUNDUP(IF(race="Gnome",1,(1-MIN(TblMili[[#This Row],[Smithies]]*smithy_bonus,smithy_bonus_cap) + tech_3_5*TblTech[[#This Row],[3-5]] + tech_5_3*TblTech[[#This Row],[5-3]] + tech_5_5*TblTech[[#This Row],[5-5]]))*spec_dp_ore,0)</f>
        <v>15</v>
      </c>
      <c r="BN59" s="97">
        <f ca="1">ROUNDUP((1-MIN(TblMili[[#This Row],[Smithies]]*smithy_bonus,smithy_bonus_cap) + tech_3_5*TblTech[[#This Row],[3-5]] + tech_5_3*TblTech[[#This Row],[5-3]] + tech_5_5*TblTech[[#This Row],[5-5]])*elite1_plat,0)</f>
        <v>1000</v>
      </c>
      <c r="BO59" s="97">
        <f ca="1">ROUNDUP(IF(race="Gnome",1,(1-MIN(TblMili[[#This Row],[Smithies]]*smithy_bonus,smithy_bonus_cap) + tech_3_5*TblTech[[#This Row],[3-5]] + tech_5_3*TblTech[[#This Row],[5-3]] + tech_5_5*TblTech[[#This Row],[5-5]]))*elite1_ore,0)</f>
        <v>75</v>
      </c>
      <c r="BP59" s="97">
        <f ca="1">ROUNDUP((1-MIN(TblMili[[#This Row],[Smithies]]*smithy_bonus,smithy_bonus_cap) + tech_3_5*TblTech[[#This Row],[3-5]] + tech_5_3*TblTech[[#This Row],[5-3]] + tech_5_5*TblTech[[#This Row],[5-5]])*elite2_plat,0)</f>
        <v>1250</v>
      </c>
      <c r="BQ59" s="97">
        <f ca="1">ROUNDUP(IF(race="Gnome",1,(1-MIN(TblMili[[#This Row],[Smithies]]*smithy_bonus,smithy_bonus_cap) + tech_3_5*TblTech[[#This Row],[3-5]] + tech_5_3*TblTech[[#This Row],[5-3]] + tech_5_5*TblTech[[#This Row],[5-5]]))*elite2_ore,0)</f>
        <v>100</v>
      </c>
      <c r="BR59" s="97">
        <f ca="1">ROUNDUP((1-MIN(ROUND(fh_spy_cost_red*TblMili[[#This Row],[FH''s]],4),fh_spy_cost_cap)+ tech_1_9*TblTech[[#This Row],[1-9]] + tech_9_1*TblTech[[#This Row],[9-1]])*spy_plat,0)</f>
        <v>500</v>
      </c>
      <c r="BS59" s="97">
        <f ca="1">ROUNDUP((1-MIN(ROUND(fh_spy_cost_red*TblMili[[#This Row],[FH''s]],4),fh_spy_cost_cap)+ tech_1_9*TblTech[[#This Row],[1-9]] + tech_9_1*TblTech[[#This Row],[9-1]])*archspy_plat,0)</f>
        <v>1000</v>
      </c>
      <c r="BT59" s="97">
        <f ca="1">ROUNDUP((1-MIN(ROUND(wg_wiz_cost_bonus*TblMili[[#This Row],[WG''s]],4),wg_wiz_cost_cap) + tech_1_9_2*TblTech[[#This Row],[1-9]] + tech_9_1_2*TblTech[[#This Row],[9-1]])*wizard_plat,0)</f>
        <v>500</v>
      </c>
      <c r="BU59" s="97">
        <f ca="1">ROUNDUP((1-MIN(ROUND(wg_wiz_cost_bonus*TblMili[[#This Row],[WG''s]],4),wg_wiz_cost_cap) + tech_1_9_2*TblTech[[#This Row],[1-9]] + tech_9_1_2*TblTech[[#This Row],[9-1]])*archmage_plat,0)</f>
        <v>1000</v>
      </c>
      <c r="BV59" s="145"/>
      <c r="BW59" s="160">
        <f ca="1">TblConstr[[#This Row],[Homeland]]/TblConstr[[#This Row],[Land]]</f>
        <v>0.44</v>
      </c>
      <c r="BX59" s="160">
        <f ca="1">TblMili[[#This Row],[WG''s]]</f>
        <v>0</v>
      </c>
      <c r="BY59" s="266">
        <f ca="1">IF(mystic_cap="none",TblMili[[#This Row],[Hill]]/mystic_bonus,MIN(mystic_cap,TblMili[[#This Row],[Hill]]/mystic_bonus))</f>
        <v>2.1999999999999997</v>
      </c>
      <c r="BZ59" s="266">
        <f ca="1">IF(druid_op_cap="none",TblMili[[#This Row],[Hill]]/druid_op_bonus,MIN(druid_op_cap,TblMili[[#This Row],[Hill]]/druid_op_bonus))</f>
        <v>2.1999999999999997</v>
      </c>
      <c r="CA59" s="266">
        <f ca="1">IF(druid_dp_cap="none",TblMili[[#This Row],[Hill]]/druid_dp_bonus,MIN(druid_dp_cap,TblMili[[#This Row],[Hill]]/druid_dp_bonus))</f>
        <v>2.1999999999999997</v>
      </c>
      <c r="CB59" s="266">
        <f ca="1">MIN(dryad_cap,TblMili[[#This Row],[Hill]]/dryad_bonus)</f>
        <v>2.1999999999999997</v>
      </c>
      <c r="CC59" s="266">
        <f ca="1">MIN(rocka_cap,TblMili[[#This Row],[Hill]]/rocka_bonus)</f>
        <v>2</v>
      </c>
      <c r="CD59" s="266">
        <f ca="1">MIN(adept_op_cap,TblMili[[#This Row],[WG]]/adept_op_bonus)</f>
        <v>0</v>
      </c>
      <c r="CE59" s="266">
        <f ca="1">MIN(adept_dp_cap,TblMili[[#This Row],[WG]]/adept_dp_bonus)</f>
        <v>0</v>
      </c>
      <c r="CF59" s="97">
        <f ca="1">MIN(TblMili[[#This Row],[Unit 3]],TblMili[[#This Row],[Unit 2]])*2</f>
        <v>0</v>
      </c>
      <c r="CG59" s="97">
        <f ca="1">MIN(TblMili[[#This Row],[Unit 1]],TblMili[[#This Row],[Unit 4]])*2</f>
        <v>0</v>
      </c>
      <c r="CH59" s="266">
        <f ca="1">MIN(frost_mage_cap,TblMili[[#This Row],[Hill]]/frost_mage_bonus)</f>
        <v>2.1999999999999997</v>
      </c>
      <c r="CI59" s="45">
        <f ca="1">MIN(ice_elem_cap,TblMili[[#This Row],[Raw (2)]]*ice_elem_bonus)</f>
        <v>0.1</v>
      </c>
      <c r="CJ59" s="266">
        <f t="shared" si="2"/>
        <v>0.83333333333333337</v>
      </c>
      <c r="CK59" s="266">
        <f ca="1">MIN(nox_nightshade_cap,TblConstr[[#This Row],[Homeland]]/TblConstr[[#This Row],[Land]]/nox_nightshade_swamp_bonus)</f>
        <v>4</v>
      </c>
      <c r="CL59" s="267"/>
      <c r="CM59" s="267"/>
      <c r="CN59" s="267"/>
      <c r="CO59" s="266">
        <f ca="1">MIN(6,TblMili[[#This Row],[Mystic]]+Races!$F$19)*1.8 +  IF(TblMili[[#This Row],[Mystic]]+Races!$F$19&gt;6,(TblMili[[#This Row],[Mystic]]+Races!$F$19-6)*0.2,0) - Races!$I$19</f>
        <v>3.6399999999999997</v>
      </c>
      <c r="CP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9" s="97">
        <f ca="1">TblMili[[#This Row],[Mystic bonus]]*TblMili[[#This Row],[Unit 3]]+TblMili[[#This Row],[Druid bonus]]*TblMili[[#This Row],[Unit 4]]</f>
        <v>0</v>
      </c>
      <c r="CR59" s="158">
        <f ca="1">MIN(6,TblMili[[#This Row],[Dryad]]+Races!$F$35)*1.8 +  IF(TblMili[[#This Row],[Dryad]]+Races!$F$35&gt;6,(TblMili[[#This Row],[Dryad]]+Races!$F$35-6)*0.2,0) - Races!$I$19</f>
        <v>2.1599999999999993</v>
      </c>
      <c r="CS59" s="97">
        <f ca="1">sylvan*(TblMili[[#This Row],[Mystic bonus]]*TblMili[[#This Row],[Unit 3]])</f>
        <v>0</v>
      </c>
      <c r="CT59" s="158">
        <f ca="1">1.8 * MIN(MAX(Races!$E$27,TblMili[[#This Row],[Rockapult]]+Races!$F$27),6)  +  0.45 * MIN(MIN(Races!$E$27,TblMili[[#This Row],[Rockapult]]+Races!$F$27),6)  +  0.2 * ( MAX(Races!$E$27-6,0) + MAX(TblMili[[#This Row],[Rockapult]]+Races!$F$27-6,0) )  -  Races!$I$20</f>
        <v>5.8500000000000005</v>
      </c>
      <c r="CU59" s="97">
        <f ca="1">gnome*(TblMili[[#This Row],[Rockapult bonus]]*TblMili[[#This Row],[Unit 3]])</f>
        <v>0</v>
      </c>
      <c r="CV59" s="158">
        <f ca="1">1.8 * MIN(MAX(TblMili[[#This Row],[Spellblade]]+Races!$E$47,TblMili[[#This Row],[Adept-DP]]+Races!$F$47),6)  +  0.45 * MIN(MIN(TblMili[[#This Row],[Spellblade]]+Races!$E$47,TblMili[[#This Row],[Adept-DP]]+Races!$F$47),6)  +  0.2 * ( MAX(TblMili[[#This Row],[Spellblade]]+Races!$E$47-6,0) + MAX(TblMili[[#This Row],[Adept-DP]]+Races!$F$47-6,0) )  -  Races!$I$47</f>
        <v>0</v>
      </c>
      <c r="CW59" s="97">
        <f ca="1">dark_elf*(TblMili[[#This Row],[Adept bonus]]*TblMili[[#This Row],[Unit 3]])</f>
        <v>0</v>
      </c>
      <c r="CX59" s="158">
        <f ca="1">1.8 * MIN(MAX(TblMili[[#This Row],[Frost Mage]]+Races!$F$71,Races!$E$71),6)  +  0.45 * MIN(MIN(TblMili[[#This Row],[Frost Mage]]+Races!$F$71,Races!$E$71),6)  +  0.2 * ( MAX(TblMili[[#This Row],[Frost Mage]]+Races!$F$71-6,0) + MAX(Races!$E$71-6,0) )  -  Races!$I$71</f>
        <v>3.9599999999999991</v>
      </c>
      <c r="CY59" s="158">
        <f ca="1">1.8 * MIN(MAX(TblMili[[#This Row],[Ice Elemental]]+Races!$E$71,Races!$F$71),6)  +  0.45 * MIN(MIN(TblMili[[#This Row],[Ice Elemental]]+Races!$E$71,Races!$F$71),6)  +  0.2 * ( MAX(TblMili[[#This Row],[Ice Elemental]]+Races!$E$71-6,0) + MAX(Races!$F$71-6,0) )  -  Races!$I$71</f>
        <v>0.17999999999999972</v>
      </c>
      <c r="CZ59" s="97">
        <f ca="1">TblMili[[#This Row],[Frost Mage bonus]]*TblMili[[#This Row],[Unit 3]]+TblMili[[#This Row],[Ice Elemental bonus]]*TblMili[[#This Row],[Unit 4]]</f>
        <v>0</v>
      </c>
      <c r="DA59" s="268"/>
      <c r="DB59" s="146">
        <f ca="1">MIN(SUM(TblConstr[[#This Row],[Plain]:[Water]])/TblMili[[#This Row],[Land]]/favorable_terrain_bonus/100,favorable_terrain_max)</f>
        <v>0.1</v>
      </c>
      <c r="DC59" s="268"/>
      <c r="DD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9" s="145"/>
      <c r="DF59" s="269">
        <f ca="1">(TblMili[[#This Row],[Wizards]]+2*TblMili[[#This Row],[Archmages]])/TblConstr[[#This Row],[Land]]</f>
        <v>0.1</v>
      </c>
      <c r="DG59" s="269">
        <f ca="1">TblMili[[#This Row],[Raw (2)]]*(1+race_wizard_strength+IF(TblMili[[#This Row],[Hour]]&gt;72,tech_magical_weaponry_wiz*TblTech[[#This Row],[3-5]],0))</f>
        <v>0.1</v>
      </c>
    </row>
    <row r="60" spans="1:111"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45460.333333333198</v>
      </c>
      <c r="AG60" s="182"/>
      <c r="AH60" s="182"/>
      <c r="AI60" s="182"/>
      <c r="AJ60" s="182"/>
      <c r="AK60" s="182"/>
      <c r="AL60" s="182"/>
      <c r="AM60" s="182"/>
      <c r="AN60" s="182"/>
      <c r="AO60" s="449">
        <f ca="1">IF(AND(TblMagic[[#This Row],[Active DnD]]&lt;12,TblMagic[[#This Row],[Active DnD]]&gt;5),OFFSET(TblPop[[#This Row],[Draft Growth]],-1,0)/2,0)</f>
        <v>0</v>
      </c>
      <c r="AP60" s="145"/>
      <c r="AQ60" s="97">
        <f ca="1">TblProd[[#This Row],[Platinum]]</f>
        <v>428094</v>
      </c>
      <c r="AR60" s="97">
        <f ca="1">INDEX(TblProd[[#Headers],[Lumber]]:TblProd[[#This Row],[Ore]],COUNTA(TblProd[[#Headers],[Lumber]]:TblProd[[#This Row],[Lumber]]),MATCH(Military!$AQ$2,TblProd[[#Headers],[Lumber]:[Ore]],0))</f>
        <v>0</v>
      </c>
      <c r="AS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7">
        <f ca="1">TblMili[[#This Row],[Train Unit 1]]*TblMili[[#This Row],[OP Ore]]+TblMili[[#This Row],[Train Unit 2]]*TblMili[[#This Row],[DP Ore]]+TblMili[[#This Row],[Train Unit 3]]*TblMili[[#This Row],[E1 Ore]]+TblMili[[#This Row],[Train Unit 4]]*TblMili[[#This Row],[E2 Ore]]</f>
        <v>0</v>
      </c>
      <c r="AU60" s="145">
        <f>TblMili[[#This Row],[Hour]]</f>
        <v>57</v>
      </c>
      <c r="AV60" s="155">
        <f ca="1">TblMili[[#This Row],[Time]]</f>
        <v>45460.333333333198</v>
      </c>
      <c r="AW60" s="97">
        <f ca="1">TblMili[[#This Row],[Draftees]]</f>
        <v>626</v>
      </c>
      <c r="AX60" s="182"/>
      <c r="AY60" s="182"/>
      <c r="AZ60" s="182"/>
      <c r="BA60" s="182"/>
      <c r="BB60" s="182"/>
      <c r="BC60" s="182"/>
      <c r="BD60" s="182"/>
      <c r="BE60" s="182"/>
      <c r="BF60" s="182"/>
      <c r="BG60" s="145"/>
      <c r="BH60" s="160">
        <f ca="1">TblConstr[[#This Row],[Tot WG]]/TblConstr[[#This Row],[Land]]</f>
        <v>0</v>
      </c>
      <c r="BI60" s="160">
        <f ca="1">TblConstr[[#This Row],[Tot Hav]]/TblConstr[[#This Row],[Land]]</f>
        <v>0</v>
      </c>
      <c r="BJ60" s="97">
        <f ca="1">ROUNDUP((1-MIN(TblMili[[#This Row],[Smithies]]*smithy_bonus,smithy_bonus_cap) + tech_3_5*TblTech[[#This Row],[3-5]] + tech_5_3*TblTech[[#This Row],[5-3]] + tech_5_5*TblTech[[#This Row],[5-5]])*spec_op_plat,0)</f>
        <v>275</v>
      </c>
      <c r="BK60" s="97">
        <f ca="1">ROUNDUP(IF(race="Gnome",1,(1-MIN(TblMili[[#This Row],[Smithies]]*smithy_bonus,smithy_bonus_cap) + tech_3_5*TblTech[[#This Row],[3-5]] + tech_5_3*TblTech[[#This Row],[5-3]] + tech_5_5*TblTech[[#This Row],[5-5]]))*spec_op_ore,0)</f>
        <v>25</v>
      </c>
      <c r="BL60" s="97">
        <f ca="1">ROUNDUP((1-MIN(TblMili[[#This Row],[Smithies]]*smithy_bonus,smithy_bonus_cap) + tech_3_5*TblTech[[#This Row],[3-5]] + tech_5_3*TblTech[[#This Row],[5-3]] + tech_5_5*TblTech[[#This Row],[5-5]])*spec_dp_plat,0)</f>
        <v>275</v>
      </c>
      <c r="BM60" s="97">
        <f ca="1">ROUNDUP(IF(race="Gnome",1,(1-MIN(TblMili[[#This Row],[Smithies]]*smithy_bonus,smithy_bonus_cap) + tech_3_5*TblTech[[#This Row],[3-5]] + tech_5_3*TblTech[[#This Row],[5-3]] + tech_5_5*TblTech[[#This Row],[5-5]]))*spec_dp_ore,0)</f>
        <v>15</v>
      </c>
      <c r="BN60" s="97">
        <f ca="1">ROUNDUP((1-MIN(TblMili[[#This Row],[Smithies]]*smithy_bonus,smithy_bonus_cap) + tech_3_5*TblTech[[#This Row],[3-5]] + tech_5_3*TblTech[[#This Row],[5-3]] + tech_5_5*TblTech[[#This Row],[5-5]])*elite1_plat,0)</f>
        <v>1000</v>
      </c>
      <c r="BO60" s="97">
        <f ca="1">ROUNDUP(IF(race="Gnome",1,(1-MIN(TblMili[[#This Row],[Smithies]]*smithy_bonus,smithy_bonus_cap) + tech_3_5*TblTech[[#This Row],[3-5]] + tech_5_3*TblTech[[#This Row],[5-3]] + tech_5_5*TblTech[[#This Row],[5-5]]))*elite1_ore,0)</f>
        <v>75</v>
      </c>
      <c r="BP60" s="97">
        <f ca="1">ROUNDUP((1-MIN(TblMili[[#This Row],[Smithies]]*smithy_bonus,smithy_bonus_cap) + tech_3_5*TblTech[[#This Row],[3-5]] + tech_5_3*TblTech[[#This Row],[5-3]] + tech_5_5*TblTech[[#This Row],[5-5]])*elite2_plat,0)</f>
        <v>1250</v>
      </c>
      <c r="BQ60" s="97">
        <f ca="1">ROUNDUP(IF(race="Gnome",1,(1-MIN(TblMili[[#This Row],[Smithies]]*smithy_bonus,smithy_bonus_cap) + tech_3_5*TblTech[[#This Row],[3-5]] + tech_5_3*TblTech[[#This Row],[5-3]] + tech_5_5*TblTech[[#This Row],[5-5]]))*elite2_ore,0)</f>
        <v>100</v>
      </c>
      <c r="BR60" s="97">
        <f ca="1">ROUNDUP((1-MIN(ROUND(fh_spy_cost_red*TblMili[[#This Row],[FH''s]],4),fh_spy_cost_cap)+ tech_1_9*TblTech[[#This Row],[1-9]] + tech_9_1*TblTech[[#This Row],[9-1]])*spy_plat,0)</f>
        <v>500</v>
      </c>
      <c r="BS60" s="97">
        <f ca="1">ROUNDUP((1-MIN(ROUND(fh_spy_cost_red*TblMili[[#This Row],[FH''s]],4),fh_spy_cost_cap)+ tech_1_9*TblTech[[#This Row],[1-9]] + tech_9_1*TblTech[[#This Row],[9-1]])*archspy_plat,0)</f>
        <v>1000</v>
      </c>
      <c r="BT60" s="97">
        <f ca="1">ROUNDUP((1-MIN(ROUND(wg_wiz_cost_bonus*TblMili[[#This Row],[WG''s]],4),wg_wiz_cost_cap) + tech_1_9_2*TblTech[[#This Row],[1-9]] + tech_9_1_2*TblTech[[#This Row],[9-1]])*wizard_plat,0)</f>
        <v>500</v>
      </c>
      <c r="BU60" s="97">
        <f ca="1">ROUNDUP((1-MIN(ROUND(wg_wiz_cost_bonus*TblMili[[#This Row],[WG''s]],4),wg_wiz_cost_cap) + tech_1_9_2*TblTech[[#This Row],[1-9]] + tech_9_1_2*TblTech[[#This Row],[9-1]])*archmage_plat,0)</f>
        <v>1000</v>
      </c>
      <c r="BV60" s="145"/>
      <c r="BW60" s="160">
        <f ca="1">TblConstr[[#This Row],[Homeland]]/TblConstr[[#This Row],[Land]]</f>
        <v>0.44</v>
      </c>
      <c r="BX60" s="160">
        <f ca="1">TblMili[[#This Row],[WG''s]]</f>
        <v>0</v>
      </c>
      <c r="BY60" s="266">
        <f ca="1">IF(mystic_cap="none",TblMili[[#This Row],[Hill]]/mystic_bonus,MIN(mystic_cap,TblMili[[#This Row],[Hill]]/mystic_bonus))</f>
        <v>2.1999999999999997</v>
      </c>
      <c r="BZ60" s="266">
        <f ca="1">IF(druid_op_cap="none",TblMili[[#This Row],[Hill]]/druid_op_bonus,MIN(druid_op_cap,TblMili[[#This Row],[Hill]]/druid_op_bonus))</f>
        <v>2.1999999999999997</v>
      </c>
      <c r="CA60" s="266">
        <f ca="1">IF(druid_dp_cap="none",TblMili[[#This Row],[Hill]]/druid_dp_bonus,MIN(druid_dp_cap,TblMili[[#This Row],[Hill]]/druid_dp_bonus))</f>
        <v>2.1999999999999997</v>
      </c>
      <c r="CB60" s="266">
        <f ca="1">MIN(dryad_cap,TblMili[[#This Row],[Hill]]/dryad_bonus)</f>
        <v>2.1999999999999997</v>
      </c>
      <c r="CC60" s="266">
        <f ca="1">MIN(rocka_cap,TblMili[[#This Row],[Hill]]/rocka_bonus)</f>
        <v>2</v>
      </c>
      <c r="CD60" s="266">
        <f ca="1">MIN(adept_op_cap,TblMili[[#This Row],[WG]]/adept_op_bonus)</f>
        <v>0</v>
      </c>
      <c r="CE60" s="266">
        <f ca="1">MIN(adept_dp_cap,TblMili[[#This Row],[WG]]/adept_dp_bonus)</f>
        <v>0</v>
      </c>
      <c r="CF60" s="97">
        <f ca="1">MIN(TblMili[[#This Row],[Unit 3]],TblMili[[#This Row],[Unit 2]])*2</f>
        <v>0</v>
      </c>
      <c r="CG60" s="97">
        <f ca="1">MIN(TblMili[[#This Row],[Unit 1]],TblMili[[#This Row],[Unit 4]])*2</f>
        <v>0</v>
      </c>
      <c r="CH60" s="266">
        <f ca="1">MIN(frost_mage_cap,TblMili[[#This Row],[Hill]]/frost_mage_bonus)</f>
        <v>2.1999999999999997</v>
      </c>
      <c r="CI60" s="45">
        <f ca="1">MIN(ice_elem_cap,TblMili[[#This Row],[Raw (2)]]*ice_elem_bonus)</f>
        <v>0.1</v>
      </c>
      <c r="CJ60" s="266">
        <f t="shared" si="2"/>
        <v>0.83333333333333337</v>
      </c>
      <c r="CK60" s="266">
        <f ca="1">MIN(nox_nightshade_cap,TblConstr[[#This Row],[Homeland]]/TblConstr[[#This Row],[Land]]/nox_nightshade_swamp_bonus)</f>
        <v>4</v>
      </c>
      <c r="CL60" s="267"/>
      <c r="CM60" s="267"/>
      <c r="CN60" s="267"/>
      <c r="CO60" s="266">
        <f ca="1">MIN(6,TblMili[[#This Row],[Mystic]]+Races!$F$19)*1.8 +  IF(TblMili[[#This Row],[Mystic]]+Races!$F$19&gt;6,(TblMili[[#This Row],[Mystic]]+Races!$F$19-6)*0.2,0) - Races!$I$19</f>
        <v>3.6399999999999997</v>
      </c>
      <c r="CP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0" s="97">
        <f ca="1">TblMili[[#This Row],[Mystic bonus]]*TblMili[[#This Row],[Unit 3]]+TblMili[[#This Row],[Druid bonus]]*TblMili[[#This Row],[Unit 4]]</f>
        <v>0</v>
      </c>
      <c r="CR60" s="158">
        <f ca="1">MIN(6,TblMili[[#This Row],[Dryad]]+Races!$F$35)*1.8 +  IF(TblMili[[#This Row],[Dryad]]+Races!$F$35&gt;6,(TblMili[[#This Row],[Dryad]]+Races!$F$35-6)*0.2,0) - Races!$I$19</f>
        <v>2.1599999999999993</v>
      </c>
      <c r="CS60" s="97">
        <f ca="1">sylvan*(TblMili[[#This Row],[Mystic bonus]]*TblMili[[#This Row],[Unit 3]])</f>
        <v>0</v>
      </c>
      <c r="CT60" s="158">
        <f ca="1">1.8 * MIN(MAX(Races!$E$27,TblMili[[#This Row],[Rockapult]]+Races!$F$27),6)  +  0.45 * MIN(MIN(Races!$E$27,TblMili[[#This Row],[Rockapult]]+Races!$F$27),6)  +  0.2 * ( MAX(Races!$E$27-6,0) + MAX(TblMili[[#This Row],[Rockapult]]+Races!$F$27-6,0) )  -  Races!$I$20</f>
        <v>5.8500000000000005</v>
      </c>
      <c r="CU60" s="97">
        <f ca="1">gnome*(TblMili[[#This Row],[Rockapult bonus]]*TblMili[[#This Row],[Unit 3]])</f>
        <v>0</v>
      </c>
      <c r="CV60" s="158">
        <f ca="1">1.8 * MIN(MAX(TblMili[[#This Row],[Spellblade]]+Races!$E$47,TblMili[[#This Row],[Adept-DP]]+Races!$F$47),6)  +  0.45 * MIN(MIN(TblMili[[#This Row],[Spellblade]]+Races!$E$47,TblMili[[#This Row],[Adept-DP]]+Races!$F$47),6)  +  0.2 * ( MAX(TblMili[[#This Row],[Spellblade]]+Races!$E$47-6,0) + MAX(TblMili[[#This Row],[Adept-DP]]+Races!$F$47-6,0) )  -  Races!$I$47</f>
        <v>0</v>
      </c>
      <c r="CW60" s="97">
        <f ca="1">dark_elf*(TblMili[[#This Row],[Adept bonus]]*TblMili[[#This Row],[Unit 3]])</f>
        <v>0</v>
      </c>
      <c r="CX60" s="158">
        <f ca="1">1.8 * MIN(MAX(TblMili[[#This Row],[Frost Mage]]+Races!$F$71,Races!$E$71),6)  +  0.45 * MIN(MIN(TblMili[[#This Row],[Frost Mage]]+Races!$F$71,Races!$E$71),6)  +  0.2 * ( MAX(TblMili[[#This Row],[Frost Mage]]+Races!$F$71-6,0) + MAX(Races!$E$71-6,0) )  -  Races!$I$71</f>
        <v>3.9599999999999991</v>
      </c>
      <c r="CY60" s="158">
        <f ca="1">1.8 * MIN(MAX(TblMili[[#This Row],[Ice Elemental]]+Races!$E$71,Races!$F$71),6)  +  0.45 * MIN(MIN(TblMili[[#This Row],[Ice Elemental]]+Races!$E$71,Races!$F$71),6)  +  0.2 * ( MAX(TblMili[[#This Row],[Ice Elemental]]+Races!$E$71-6,0) + MAX(Races!$F$71-6,0) )  -  Races!$I$71</f>
        <v>0.17999999999999972</v>
      </c>
      <c r="CZ60" s="97">
        <f ca="1">TblMili[[#This Row],[Frost Mage bonus]]*TblMili[[#This Row],[Unit 3]]+TblMili[[#This Row],[Ice Elemental bonus]]*TblMili[[#This Row],[Unit 4]]</f>
        <v>0</v>
      </c>
      <c r="DA60" s="268"/>
      <c r="DB60" s="146">
        <f ca="1">MIN(SUM(TblConstr[[#This Row],[Plain]:[Water]])/TblMili[[#This Row],[Land]]/favorable_terrain_bonus/100,favorable_terrain_max)</f>
        <v>0.1</v>
      </c>
      <c r="DC60" s="268"/>
      <c r="DD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0" s="145"/>
      <c r="DF60" s="269">
        <f ca="1">(TblMili[[#This Row],[Wizards]]+2*TblMili[[#This Row],[Archmages]])/TblConstr[[#This Row],[Land]]</f>
        <v>0.1</v>
      </c>
      <c r="DG60" s="269">
        <f ca="1">TblMili[[#This Row],[Raw (2)]]*(1+race_wizard_strength+IF(TblMili[[#This Row],[Hour]]&gt;72,tech_magical_weaponry_wiz*TblTech[[#This Row],[3-5]],0))</f>
        <v>0.1</v>
      </c>
    </row>
    <row r="61" spans="1:111"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45460.374999999862</v>
      </c>
      <c r="AG61" s="182"/>
      <c r="AH61" s="182"/>
      <c r="AI61" s="182"/>
      <c r="AJ61" s="182"/>
      <c r="AK61" s="182"/>
      <c r="AL61" s="182"/>
      <c r="AM61" s="182"/>
      <c r="AN61" s="182"/>
      <c r="AO61" s="449">
        <f ca="1">IF(AND(TblMagic[[#This Row],[Active DnD]]&lt;12,TblMagic[[#This Row],[Active DnD]]&gt;5),OFFSET(TblPop[[#This Row],[Draft Growth]],-1,0)/2,0)</f>
        <v>0</v>
      </c>
      <c r="AP61" s="145"/>
      <c r="AQ61" s="97">
        <f ca="1">TblProd[[#This Row],[Platinum]]</f>
        <v>433580</v>
      </c>
      <c r="AR61" s="97">
        <f ca="1">INDEX(TblProd[[#Headers],[Lumber]]:TblProd[[#This Row],[Ore]],COUNTA(TblProd[[#Headers],[Lumber]]:TblProd[[#This Row],[Lumber]]),MATCH(Military!$AQ$2,TblProd[[#Headers],[Lumber]:[Ore]],0))</f>
        <v>0</v>
      </c>
      <c r="AS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7">
        <f ca="1">TblMili[[#This Row],[Train Unit 1]]*TblMili[[#This Row],[OP Ore]]+TblMili[[#This Row],[Train Unit 2]]*TblMili[[#This Row],[DP Ore]]+TblMili[[#This Row],[Train Unit 3]]*TblMili[[#This Row],[E1 Ore]]+TblMili[[#This Row],[Train Unit 4]]*TblMili[[#This Row],[E2 Ore]]</f>
        <v>0</v>
      </c>
      <c r="AU61" s="145">
        <f>TblMili[[#This Row],[Hour]]</f>
        <v>58</v>
      </c>
      <c r="AV61" s="155">
        <f ca="1">TblMili[[#This Row],[Time]]</f>
        <v>45460.374999999862</v>
      </c>
      <c r="AW61" s="97">
        <f ca="1">TblMili[[#This Row],[Draftees]]</f>
        <v>626</v>
      </c>
      <c r="AX61" s="182"/>
      <c r="AY61" s="182"/>
      <c r="AZ61" s="182"/>
      <c r="BA61" s="182"/>
      <c r="BB61" s="182"/>
      <c r="BC61" s="182"/>
      <c r="BD61" s="182"/>
      <c r="BE61" s="182"/>
      <c r="BF61" s="182"/>
      <c r="BG61" s="145"/>
      <c r="BH61" s="160">
        <f ca="1">TblConstr[[#This Row],[Tot WG]]/TblConstr[[#This Row],[Land]]</f>
        <v>0</v>
      </c>
      <c r="BI61" s="160">
        <f ca="1">TblConstr[[#This Row],[Tot Hav]]/TblConstr[[#This Row],[Land]]</f>
        <v>0</v>
      </c>
      <c r="BJ61" s="97">
        <f ca="1">ROUNDUP((1-MIN(TblMili[[#This Row],[Smithies]]*smithy_bonus,smithy_bonus_cap) + tech_3_5*TblTech[[#This Row],[3-5]] + tech_5_3*TblTech[[#This Row],[5-3]] + tech_5_5*TblTech[[#This Row],[5-5]])*spec_op_plat,0)</f>
        <v>275</v>
      </c>
      <c r="BK61" s="97">
        <f ca="1">ROUNDUP(IF(race="Gnome",1,(1-MIN(TblMili[[#This Row],[Smithies]]*smithy_bonus,smithy_bonus_cap) + tech_3_5*TblTech[[#This Row],[3-5]] + tech_5_3*TblTech[[#This Row],[5-3]] + tech_5_5*TblTech[[#This Row],[5-5]]))*spec_op_ore,0)</f>
        <v>25</v>
      </c>
      <c r="BL61" s="97">
        <f ca="1">ROUNDUP((1-MIN(TblMili[[#This Row],[Smithies]]*smithy_bonus,smithy_bonus_cap) + tech_3_5*TblTech[[#This Row],[3-5]] + tech_5_3*TblTech[[#This Row],[5-3]] + tech_5_5*TblTech[[#This Row],[5-5]])*spec_dp_plat,0)</f>
        <v>275</v>
      </c>
      <c r="BM61" s="97">
        <f ca="1">ROUNDUP(IF(race="Gnome",1,(1-MIN(TblMili[[#This Row],[Smithies]]*smithy_bonus,smithy_bonus_cap) + tech_3_5*TblTech[[#This Row],[3-5]] + tech_5_3*TblTech[[#This Row],[5-3]] + tech_5_5*TblTech[[#This Row],[5-5]]))*spec_dp_ore,0)</f>
        <v>15</v>
      </c>
      <c r="BN61" s="97">
        <f ca="1">ROUNDUP((1-MIN(TblMili[[#This Row],[Smithies]]*smithy_bonus,smithy_bonus_cap) + tech_3_5*TblTech[[#This Row],[3-5]] + tech_5_3*TblTech[[#This Row],[5-3]] + tech_5_5*TblTech[[#This Row],[5-5]])*elite1_plat,0)</f>
        <v>1000</v>
      </c>
      <c r="BO61" s="97">
        <f ca="1">ROUNDUP(IF(race="Gnome",1,(1-MIN(TblMili[[#This Row],[Smithies]]*smithy_bonus,smithy_bonus_cap) + tech_3_5*TblTech[[#This Row],[3-5]] + tech_5_3*TblTech[[#This Row],[5-3]] + tech_5_5*TblTech[[#This Row],[5-5]]))*elite1_ore,0)</f>
        <v>75</v>
      </c>
      <c r="BP61" s="97">
        <f ca="1">ROUNDUP((1-MIN(TblMili[[#This Row],[Smithies]]*smithy_bonus,smithy_bonus_cap) + tech_3_5*TblTech[[#This Row],[3-5]] + tech_5_3*TblTech[[#This Row],[5-3]] + tech_5_5*TblTech[[#This Row],[5-5]])*elite2_plat,0)</f>
        <v>1250</v>
      </c>
      <c r="BQ61" s="97">
        <f ca="1">ROUNDUP(IF(race="Gnome",1,(1-MIN(TblMili[[#This Row],[Smithies]]*smithy_bonus,smithy_bonus_cap) + tech_3_5*TblTech[[#This Row],[3-5]] + tech_5_3*TblTech[[#This Row],[5-3]] + tech_5_5*TblTech[[#This Row],[5-5]]))*elite2_ore,0)</f>
        <v>100</v>
      </c>
      <c r="BR61" s="97">
        <f ca="1">ROUNDUP((1-MIN(ROUND(fh_spy_cost_red*TblMili[[#This Row],[FH''s]],4),fh_spy_cost_cap)+ tech_1_9*TblTech[[#This Row],[1-9]] + tech_9_1*TblTech[[#This Row],[9-1]])*spy_plat,0)</f>
        <v>500</v>
      </c>
      <c r="BS61" s="97">
        <f ca="1">ROUNDUP((1-MIN(ROUND(fh_spy_cost_red*TblMili[[#This Row],[FH''s]],4),fh_spy_cost_cap)+ tech_1_9*TblTech[[#This Row],[1-9]] + tech_9_1*TblTech[[#This Row],[9-1]])*archspy_plat,0)</f>
        <v>1000</v>
      </c>
      <c r="BT61" s="97">
        <f ca="1">ROUNDUP((1-MIN(ROUND(wg_wiz_cost_bonus*TblMili[[#This Row],[WG''s]],4),wg_wiz_cost_cap) + tech_1_9_2*TblTech[[#This Row],[1-9]] + tech_9_1_2*TblTech[[#This Row],[9-1]])*wizard_plat,0)</f>
        <v>500</v>
      </c>
      <c r="BU61" s="97">
        <f ca="1">ROUNDUP((1-MIN(ROUND(wg_wiz_cost_bonus*TblMili[[#This Row],[WG''s]],4),wg_wiz_cost_cap) + tech_1_9_2*TblTech[[#This Row],[1-9]] + tech_9_1_2*TblTech[[#This Row],[9-1]])*archmage_plat,0)</f>
        <v>1000</v>
      </c>
      <c r="BV61" s="145"/>
      <c r="BW61" s="160">
        <f ca="1">TblConstr[[#This Row],[Homeland]]/TblConstr[[#This Row],[Land]]</f>
        <v>0.44</v>
      </c>
      <c r="BX61" s="160">
        <f ca="1">TblMili[[#This Row],[WG''s]]</f>
        <v>0</v>
      </c>
      <c r="BY61" s="266">
        <f ca="1">IF(mystic_cap="none",TblMili[[#This Row],[Hill]]/mystic_bonus,MIN(mystic_cap,TblMili[[#This Row],[Hill]]/mystic_bonus))</f>
        <v>2.1999999999999997</v>
      </c>
      <c r="BZ61" s="266">
        <f ca="1">IF(druid_op_cap="none",TblMili[[#This Row],[Hill]]/druid_op_bonus,MIN(druid_op_cap,TblMili[[#This Row],[Hill]]/druid_op_bonus))</f>
        <v>2.1999999999999997</v>
      </c>
      <c r="CA61" s="266">
        <f ca="1">IF(druid_dp_cap="none",TblMili[[#This Row],[Hill]]/druid_dp_bonus,MIN(druid_dp_cap,TblMili[[#This Row],[Hill]]/druid_dp_bonus))</f>
        <v>2.1999999999999997</v>
      </c>
      <c r="CB61" s="266">
        <f ca="1">MIN(dryad_cap,TblMili[[#This Row],[Hill]]/dryad_bonus)</f>
        <v>2.1999999999999997</v>
      </c>
      <c r="CC61" s="266">
        <f ca="1">MIN(rocka_cap,TblMili[[#This Row],[Hill]]/rocka_bonus)</f>
        <v>2</v>
      </c>
      <c r="CD61" s="266">
        <f ca="1">MIN(adept_op_cap,TblMili[[#This Row],[WG]]/adept_op_bonus)</f>
        <v>0</v>
      </c>
      <c r="CE61" s="266">
        <f ca="1">MIN(adept_dp_cap,TblMili[[#This Row],[WG]]/adept_dp_bonus)</f>
        <v>0</v>
      </c>
      <c r="CF61" s="97">
        <f ca="1">MIN(TblMili[[#This Row],[Unit 3]],TblMili[[#This Row],[Unit 2]])*2</f>
        <v>0</v>
      </c>
      <c r="CG61" s="97">
        <f ca="1">MIN(TblMili[[#This Row],[Unit 1]],TblMili[[#This Row],[Unit 4]])*2</f>
        <v>0</v>
      </c>
      <c r="CH61" s="266">
        <f ca="1">MIN(frost_mage_cap,TblMili[[#This Row],[Hill]]/frost_mage_bonus)</f>
        <v>2.1999999999999997</v>
      </c>
      <c r="CI61" s="45">
        <f ca="1">MIN(ice_elem_cap,TblMili[[#This Row],[Raw (2)]]*ice_elem_bonus)</f>
        <v>0.1</v>
      </c>
      <c r="CJ61" s="266">
        <f t="shared" si="2"/>
        <v>0.83333333333333337</v>
      </c>
      <c r="CK61" s="266">
        <f ca="1">MIN(nox_nightshade_cap,TblConstr[[#This Row],[Homeland]]/TblConstr[[#This Row],[Land]]/nox_nightshade_swamp_bonus)</f>
        <v>4</v>
      </c>
      <c r="CL61" s="267"/>
      <c r="CM61" s="267"/>
      <c r="CN61" s="267"/>
      <c r="CO61" s="266">
        <f ca="1">MIN(6,TblMili[[#This Row],[Mystic]]+Races!$F$19)*1.8 +  IF(TblMili[[#This Row],[Mystic]]+Races!$F$19&gt;6,(TblMili[[#This Row],[Mystic]]+Races!$F$19-6)*0.2,0) - Races!$I$19</f>
        <v>3.6399999999999997</v>
      </c>
      <c r="CP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1" s="97">
        <f ca="1">TblMili[[#This Row],[Mystic bonus]]*TblMili[[#This Row],[Unit 3]]+TblMili[[#This Row],[Druid bonus]]*TblMili[[#This Row],[Unit 4]]</f>
        <v>0</v>
      </c>
      <c r="CR61" s="158">
        <f ca="1">MIN(6,TblMili[[#This Row],[Dryad]]+Races!$F$35)*1.8 +  IF(TblMili[[#This Row],[Dryad]]+Races!$F$35&gt;6,(TblMili[[#This Row],[Dryad]]+Races!$F$35-6)*0.2,0) - Races!$I$19</f>
        <v>2.1599999999999993</v>
      </c>
      <c r="CS61" s="97">
        <f ca="1">sylvan*(TblMili[[#This Row],[Mystic bonus]]*TblMili[[#This Row],[Unit 3]])</f>
        <v>0</v>
      </c>
      <c r="CT61" s="158">
        <f ca="1">1.8 * MIN(MAX(Races!$E$27,TblMili[[#This Row],[Rockapult]]+Races!$F$27),6)  +  0.45 * MIN(MIN(Races!$E$27,TblMili[[#This Row],[Rockapult]]+Races!$F$27),6)  +  0.2 * ( MAX(Races!$E$27-6,0) + MAX(TblMili[[#This Row],[Rockapult]]+Races!$F$27-6,0) )  -  Races!$I$20</f>
        <v>5.8500000000000005</v>
      </c>
      <c r="CU61" s="97">
        <f ca="1">gnome*(TblMili[[#This Row],[Rockapult bonus]]*TblMili[[#This Row],[Unit 3]])</f>
        <v>0</v>
      </c>
      <c r="CV61" s="158">
        <f ca="1">1.8 * MIN(MAX(TblMili[[#This Row],[Spellblade]]+Races!$E$47,TblMili[[#This Row],[Adept-DP]]+Races!$F$47),6)  +  0.45 * MIN(MIN(TblMili[[#This Row],[Spellblade]]+Races!$E$47,TblMili[[#This Row],[Adept-DP]]+Races!$F$47),6)  +  0.2 * ( MAX(TblMili[[#This Row],[Spellblade]]+Races!$E$47-6,0) + MAX(TblMili[[#This Row],[Adept-DP]]+Races!$F$47-6,0) )  -  Races!$I$47</f>
        <v>0</v>
      </c>
      <c r="CW61" s="97">
        <f ca="1">dark_elf*(TblMili[[#This Row],[Adept bonus]]*TblMili[[#This Row],[Unit 3]])</f>
        <v>0</v>
      </c>
      <c r="CX61" s="158">
        <f ca="1">1.8 * MIN(MAX(TblMili[[#This Row],[Frost Mage]]+Races!$F$71,Races!$E$71),6)  +  0.45 * MIN(MIN(TblMili[[#This Row],[Frost Mage]]+Races!$F$71,Races!$E$71),6)  +  0.2 * ( MAX(TblMili[[#This Row],[Frost Mage]]+Races!$F$71-6,0) + MAX(Races!$E$71-6,0) )  -  Races!$I$71</f>
        <v>3.9599999999999991</v>
      </c>
      <c r="CY61" s="158">
        <f ca="1">1.8 * MIN(MAX(TblMili[[#This Row],[Ice Elemental]]+Races!$E$71,Races!$F$71),6)  +  0.45 * MIN(MIN(TblMili[[#This Row],[Ice Elemental]]+Races!$E$71,Races!$F$71),6)  +  0.2 * ( MAX(TblMili[[#This Row],[Ice Elemental]]+Races!$E$71-6,0) + MAX(Races!$F$71-6,0) )  -  Races!$I$71</f>
        <v>0.17999999999999972</v>
      </c>
      <c r="CZ61" s="97">
        <f ca="1">TblMili[[#This Row],[Frost Mage bonus]]*TblMili[[#This Row],[Unit 3]]+TblMili[[#This Row],[Ice Elemental bonus]]*TblMili[[#This Row],[Unit 4]]</f>
        <v>0</v>
      </c>
      <c r="DA61" s="268"/>
      <c r="DB61" s="146">
        <f ca="1">MIN(SUM(TblConstr[[#This Row],[Plain]:[Water]])/TblMili[[#This Row],[Land]]/favorable_terrain_bonus/100,favorable_terrain_max)</f>
        <v>0.1</v>
      </c>
      <c r="DC61" s="268"/>
      <c r="DD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1" s="145"/>
      <c r="DF61" s="269">
        <f ca="1">(TblMili[[#This Row],[Wizards]]+2*TblMili[[#This Row],[Archmages]])/TblConstr[[#This Row],[Land]]</f>
        <v>0.1</v>
      </c>
      <c r="DG61" s="269">
        <f ca="1">TblMili[[#This Row],[Raw (2)]]*(1+race_wizard_strength+IF(TblMili[[#This Row],[Hour]]&gt;72,tech_magical_weaponry_wiz*TblTech[[#This Row],[3-5]],0))</f>
        <v>0.1</v>
      </c>
    </row>
    <row r="62" spans="1:111"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45460.416666666526</v>
      </c>
      <c r="AG62" s="182"/>
      <c r="AH62" s="182"/>
      <c r="AI62" s="182"/>
      <c r="AJ62" s="182"/>
      <c r="AK62" s="182"/>
      <c r="AL62" s="182"/>
      <c r="AM62" s="182"/>
      <c r="AN62" s="182"/>
      <c r="AO62" s="449">
        <f ca="1">IF(AND(TblMagic[[#This Row],[Active DnD]]&lt;12,TblMagic[[#This Row],[Active DnD]]&gt;5),OFFSET(TblPop[[#This Row],[Draft Growth]],-1,0)/2,0)</f>
        <v>0</v>
      </c>
      <c r="AP62" s="145"/>
      <c r="AQ62" s="97">
        <f ca="1">TblProd[[#This Row],[Platinum]]</f>
        <v>439066</v>
      </c>
      <c r="AR62" s="97">
        <f ca="1">INDEX(TblProd[[#Headers],[Lumber]]:TblProd[[#This Row],[Ore]],COUNTA(TblProd[[#Headers],[Lumber]]:TblProd[[#This Row],[Lumber]]),MATCH(Military!$AQ$2,TblProd[[#Headers],[Lumber]:[Ore]],0))</f>
        <v>0</v>
      </c>
      <c r="AS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7">
        <f ca="1">TblMili[[#This Row],[Train Unit 1]]*TblMili[[#This Row],[OP Ore]]+TblMili[[#This Row],[Train Unit 2]]*TblMili[[#This Row],[DP Ore]]+TblMili[[#This Row],[Train Unit 3]]*TblMili[[#This Row],[E1 Ore]]+TblMili[[#This Row],[Train Unit 4]]*TblMili[[#This Row],[E2 Ore]]</f>
        <v>0</v>
      </c>
      <c r="AU62" s="145">
        <f>TblMili[[#This Row],[Hour]]</f>
        <v>59</v>
      </c>
      <c r="AV62" s="155">
        <f ca="1">TblMili[[#This Row],[Time]]</f>
        <v>45460.416666666526</v>
      </c>
      <c r="AW62" s="97">
        <f ca="1">TblMili[[#This Row],[Draftees]]</f>
        <v>626</v>
      </c>
      <c r="AX62" s="182"/>
      <c r="AY62" s="182"/>
      <c r="AZ62" s="182"/>
      <c r="BA62" s="182"/>
      <c r="BB62" s="182"/>
      <c r="BC62" s="182"/>
      <c r="BD62" s="182"/>
      <c r="BE62" s="182"/>
      <c r="BF62" s="182"/>
      <c r="BG62" s="145"/>
      <c r="BH62" s="160">
        <f ca="1">TblConstr[[#This Row],[Tot WG]]/TblConstr[[#This Row],[Land]]</f>
        <v>0</v>
      </c>
      <c r="BI62" s="160">
        <f ca="1">TblConstr[[#This Row],[Tot Hav]]/TblConstr[[#This Row],[Land]]</f>
        <v>0</v>
      </c>
      <c r="BJ62" s="97">
        <f ca="1">ROUNDUP((1-MIN(TblMili[[#This Row],[Smithies]]*smithy_bonus,smithy_bonus_cap) + tech_3_5*TblTech[[#This Row],[3-5]] + tech_5_3*TblTech[[#This Row],[5-3]] + tech_5_5*TblTech[[#This Row],[5-5]])*spec_op_plat,0)</f>
        <v>275</v>
      </c>
      <c r="BK62" s="97">
        <f ca="1">ROUNDUP(IF(race="Gnome",1,(1-MIN(TblMili[[#This Row],[Smithies]]*smithy_bonus,smithy_bonus_cap) + tech_3_5*TblTech[[#This Row],[3-5]] + tech_5_3*TblTech[[#This Row],[5-3]] + tech_5_5*TblTech[[#This Row],[5-5]]))*spec_op_ore,0)</f>
        <v>25</v>
      </c>
      <c r="BL62" s="97">
        <f ca="1">ROUNDUP((1-MIN(TblMili[[#This Row],[Smithies]]*smithy_bonus,smithy_bonus_cap) + tech_3_5*TblTech[[#This Row],[3-5]] + tech_5_3*TblTech[[#This Row],[5-3]] + tech_5_5*TblTech[[#This Row],[5-5]])*spec_dp_plat,0)</f>
        <v>275</v>
      </c>
      <c r="BM62" s="97">
        <f ca="1">ROUNDUP(IF(race="Gnome",1,(1-MIN(TblMili[[#This Row],[Smithies]]*smithy_bonus,smithy_bonus_cap) + tech_3_5*TblTech[[#This Row],[3-5]] + tech_5_3*TblTech[[#This Row],[5-3]] + tech_5_5*TblTech[[#This Row],[5-5]]))*spec_dp_ore,0)</f>
        <v>15</v>
      </c>
      <c r="BN62" s="97">
        <f ca="1">ROUNDUP((1-MIN(TblMili[[#This Row],[Smithies]]*smithy_bonus,smithy_bonus_cap) + tech_3_5*TblTech[[#This Row],[3-5]] + tech_5_3*TblTech[[#This Row],[5-3]] + tech_5_5*TblTech[[#This Row],[5-5]])*elite1_plat,0)</f>
        <v>1000</v>
      </c>
      <c r="BO62" s="97">
        <f ca="1">ROUNDUP(IF(race="Gnome",1,(1-MIN(TblMili[[#This Row],[Smithies]]*smithy_bonus,smithy_bonus_cap) + tech_3_5*TblTech[[#This Row],[3-5]] + tech_5_3*TblTech[[#This Row],[5-3]] + tech_5_5*TblTech[[#This Row],[5-5]]))*elite1_ore,0)</f>
        <v>75</v>
      </c>
      <c r="BP62" s="97">
        <f ca="1">ROUNDUP((1-MIN(TblMili[[#This Row],[Smithies]]*smithy_bonus,smithy_bonus_cap) + tech_3_5*TblTech[[#This Row],[3-5]] + tech_5_3*TblTech[[#This Row],[5-3]] + tech_5_5*TblTech[[#This Row],[5-5]])*elite2_plat,0)</f>
        <v>1250</v>
      </c>
      <c r="BQ62" s="97">
        <f ca="1">ROUNDUP(IF(race="Gnome",1,(1-MIN(TblMili[[#This Row],[Smithies]]*smithy_bonus,smithy_bonus_cap) + tech_3_5*TblTech[[#This Row],[3-5]] + tech_5_3*TblTech[[#This Row],[5-3]] + tech_5_5*TblTech[[#This Row],[5-5]]))*elite2_ore,0)</f>
        <v>100</v>
      </c>
      <c r="BR62" s="97">
        <f ca="1">ROUNDUP((1-MIN(ROUND(fh_spy_cost_red*TblMili[[#This Row],[FH''s]],4),fh_spy_cost_cap)+ tech_1_9*TblTech[[#This Row],[1-9]] + tech_9_1*TblTech[[#This Row],[9-1]])*spy_plat,0)</f>
        <v>500</v>
      </c>
      <c r="BS62" s="97">
        <f ca="1">ROUNDUP((1-MIN(ROUND(fh_spy_cost_red*TblMili[[#This Row],[FH''s]],4),fh_spy_cost_cap)+ tech_1_9*TblTech[[#This Row],[1-9]] + tech_9_1*TblTech[[#This Row],[9-1]])*archspy_plat,0)</f>
        <v>1000</v>
      </c>
      <c r="BT62" s="97">
        <f ca="1">ROUNDUP((1-MIN(ROUND(wg_wiz_cost_bonus*TblMili[[#This Row],[WG''s]],4),wg_wiz_cost_cap) + tech_1_9_2*TblTech[[#This Row],[1-9]] + tech_9_1_2*TblTech[[#This Row],[9-1]])*wizard_plat,0)</f>
        <v>500</v>
      </c>
      <c r="BU62" s="97">
        <f ca="1">ROUNDUP((1-MIN(ROUND(wg_wiz_cost_bonus*TblMili[[#This Row],[WG''s]],4),wg_wiz_cost_cap) + tech_1_9_2*TblTech[[#This Row],[1-9]] + tech_9_1_2*TblTech[[#This Row],[9-1]])*archmage_plat,0)</f>
        <v>1000</v>
      </c>
      <c r="BV62" s="145"/>
      <c r="BW62" s="160">
        <f ca="1">TblConstr[[#This Row],[Homeland]]/TblConstr[[#This Row],[Land]]</f>
        <v>0.44</v>
      </c>
      <c r="BX62" s="160">
        <f ca="1">TblMili[[#This Row],[WG''s]]</f>
        <v>0</v>
      </c>
      <c r="BY62" s="266">
        <f ca="1">IF(mystic_cap="none",TblMili[[#This Row],[Hill]]/mystic_bonus,MIN(mystic_cap,TblMili[[#This Row],[Hill]]/mystic_bonus))</f>
        <v>2.1999999999999997</v>
      </c>
      <c r="BZ62" s="266">
        <f ca="1">IF(druid_op_cap="none",TblMili[[#This Row],[Hill]]/druid_op_bonus,MIN(druid_op_cap,TblMili[[#This Row],[Hill]]/druid_op_bonus))</f>
        <v>2.1999999999999997</v>
      </c>
      <c r="CA62" s="266">
        <f ca="1">IF(druid_dp_cap="none",TblMili[[#This Row],[Hill]]/druid_dp_bonus,MIN(druid_dp_cap,TblMili[[#This Row],[Hill]]/druid_dp_bonus))</f>
        <v>2.1999999999999997</v>
      </c>
      <c r="CB62" s="266">
        <f ca="1">MIN(dryad_cap,TblMili[[#This Row],[Hill]]/dryad_bonus)</f>
        <v>2.1999999999999997</v>
      </c>
      <c r="CC62" s="266">
        <f ca="1">MIN(rocka_cap,TblMili[[#This Row],[Hill]]/rocka_bonus)</f>
        <v>2</v>
      </c>
      <c r="CD62" s="266">
        <f ca="1">MIN(adept_op_cap,TblMili[[#This Row],[WG]]/adept_op_bonus)</f>
        <v>0</v>
      </c>
      <c r="CE62" s="266">
        <f ca="1">MIN(adept_dp_cap,TblMili[[#This Row],[WG]]/adept_dp_bonus)</f>
        <v>0</v>
      </c>
      <c r="CF62" s="97">
        <f ca="1">MIN(TblMili[[#This Row],[Unit 3]],TblMili[[#This Row],[Unit 2]])*2</f>
        <v>0</v>
      </c>
      <c r="CG62" s="97">
        <f ca="1">MIN(TblMili[[#This Row],[Unit 1]],TblMili[[#This Row],[Unit 4]])*2</f>
        <v>0</v>
      </c>
      <c r="CH62" s="266">
        <f ca="1">MIN(frost_mage_cap,TblMili[[#This Row],[Hill]]/frost_mage_bonus)</f>
        <v>2.1999999999999997</v>
      </c>
      <c r="CI62" s="45">
        <f ca="1">MIN(ice_elem_cap,TblMili[[#This Row],[Raw (2)]]*ice_elem_bonus)</f>
        <v>0.1</v>
      </c>
      <c r="CJ62" s="266">
        <f t="shared" si="2"/>
        <v>0.83333333333333337</v>
      </c>
      <c r="CK62" s="266">
        <f ca="1">MIN(nox_nightshade_cap,TblConstr[[#This Row],[Homeland]]/TblConstr[[#This Row],[Land]]/nox_nightshade_swamp_bonus)</f>
        <v>4</v>
      </c>
      <c r="CL62" s="267"/>
      <c r="CM62" s="267"/>
      <c r="CN62" s="267"/>
      <c r="CO62" s="266">
        <f ca="1">MIN(6,TblMili[[#This Row],[Mystic]]+Races!$F$19)*1.8 +  IF(TblMili[[#This Row],[Mystic]]+Races!$F$19&gt;6,(TblMili[[#This Row],[Mystic]]+Races!$F$19-6)*0.2,0) - Races!$I$19</f>
        <v>3.6399999999999997</v>
      </c>
      <c r="CP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2" s="97">
        <f ca="1">TblMili[[#This Row],[Mystic bonus]]*TblMili[[#This Row],[Unit 3]]+TblMili[[#This Row],[Druid bonus]]*TblMili[[#This Row],[Unit 4]]</f>
        <v>0</v>
      </c>
      <c r="CR62" s="158">
        <f ca="1">MIN(6,TblMili[[#This Row],[Dryad]]+Races!$F$35)*1.8 +  IF(TblMili[[#This Row],[Dryad]]+Races!$F$35&gt;6,(TblMili[[#This Row],[Dryad]]+Races!$F$35-6)*0.2,0) - Races!$I$19</f>
        <v>2.1599999999999993</v>
      </c>
      <c r="CS62" s="97">
        <f ca="1">sylvan*(TblMili[[#This Row],[Mystic bonus]]*TblMili[[#This Row],[Unit 3]])</f>
        <v>0</v>
      </c>
      <c r="CT62" s="158">
        <f ca="1">1.8 * MIN(MAX(Races!$E$27,TblMili[[#This Row],[Rockapult]]+Races!$F$27),6)  +  0.45 * MIN(MIN(Races!$E$27,TblMili[[#This Row],[Rockapult]]+Races!$F$27),6)  +  0.2 * ( MAX(Races!$E$27-6,0) + MAX(TblMili[[#This Row],[Rockapult]]+Races!$F$27-6,0) )  -  Races!$I$20</f>
        <v>5.8500000000000005</v>
      </c>
      <c r="CU62" s="97">
        <f ca="1">gnome*(TblMili[[#This Row],[Rockapult bonus]]*TblMili[[#This Row],[Unit 3]])</f>
        <v>0</v>
      </c>
      <c r="CV62" s="158">
        <f ca="1">1.8 * MIN(MAX(TblMili[[#This Row],[Spellblade]]+Races!$E$47,TblMili[[#This Row],[Adept-DP]]+Races!$F$47),6)  +  0.45 * MIN(MIN(TblMili[[#This Row],[Spellblade]]+Races!$E$47,TblMili[[#This Row],[Adept-DP]]+Races!$F$47),6)  +  0.2 * ( MAX(TblMili[[#This Row],[Spellblade]]+Races!$E$47-6,0) + MAX(TblMili[[#This Row],[Adept-DP]]+Races!$F$47-6,0) )  -  Races!$I$47</f>
        <v>0</v>
      </c>
      <c r="CW62" s="97">
        <f ca="1">dark_elf*(TblMili[[#This Row],[Adept bonus]]*TblMili[[#This Row],[Unit 3]])</f>
        <v>0</v>
      </c>
      <c r="CX62" s="158">
        <f ca="1">1.8 * MIN(MAX(TblMili[[#This Row],[Frost Mage]]+Races!$F$71,Races!$E$71),6)  +  0.45 * MIN(MIN(TblMili[[#This Row],[Frost Mage]]+Races!$F$71,Races!$E$71),6)  +  0.2 * ( MAX(TblMili[[#This Row],[Frost Mage]]+Races!$F$71-6,0) + MAX(Races!$E$71-6,0) )  -  Races!$I$71</f>
        <v>3.9599999999999991</v>
      </c>
      <c r="CY62" s="158">
        <f ca="1">1.8 * MIN(MAX(TblMili[[#This Row],[Ice Elemental]]+Races!$E$71,Races!$F$71),6)  +  0.45 * MIN(MIN(TblMili[[#This Row],[Ice Elemental]]+Races!$E$71,Races!$F$71),6)  +  0.2 * ( MAX(TblMili[[#This Row],[Ice Elemental]]+Races!$E$71-6,0) + MAX(Races!$F$71-6,0) )  -  Races!$I$71</f>
        <v>0.17999999999999972</v>
      </c>
      <c r="CZ62" s="97">
        <f ca="1">TblMili[[#This Row],[Frost Mage bonus]]*TblMili[[#This Row],[Unit 3]]+TblMili[[#This Row],[Ice Elemental bonus]]*TblMili[[#This Row],[Unit 4]]</f>
        <v>0</v>
      </c>
      <c r="DA62" s="268"/>
      <c r="DB62" s="146">
        <f ca="1">MIN(SUM(TblConstr[[#This Row],[Plain]:[Water]])/TblMili[[#This Row],[Land]]/favorable_terrain_bonus/100,favorable_terrain_max)</f>
        <v>0.1</v>
      </c>
      <c r="DC62" s="268"/>
      <c r="DD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2" s="145"/>
      <c r="DF62" s="269">
        <f ca="1">(TblMili[[#This Row],[Wizards]]+2*TblMili[[#This Row],[Archmages]])/TblConstr[[#This Row],[Land]]</f>
        <v>0.1</v>
      </c>
      <c r="DG62" s="269">
        <f ca="1">TblMili[[#This Row],[Raw (2)]]*(1+race_wizard_strength+IF(TblMili[[#This Row],[Hour]]&gt;72,tech_magical_weaponry_wiz*TblTech[[#This Row],[3-5]],0))</f>
        <v>0.1</v>
      </c>
    </row>
    <row r="63" spans="1:111"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45460.45833333319</v>
      </c>
      <c r="AG63" s="182"/>
      <c r="AH63" s="182"/>
      <c r="AI63" s="182"/>
      <c r="AJ63" s="182"/>
      <c r="AK63" s="182"/>
      <c r="AL63" s="182"/>
      <c r="AM63" s="182"/>
      <c r="AN63" s="182"/>
      <c r="AO63" s="449">
        <f ca="1">IF(AND(TblMagic[[#This Row],[Active DnD]]&lt;12,TblMagic[[#This Row],[Active DnD]]&gt;5),OFFSET(TblPop[[#This Row],[Draft Growth]],-1,0)/2,0)</f>
        <v>0</v>
      </c>
      <c r="AP63" s="145"/>
      <c r="AQ63" s="97">
        <f ca="1">TblProd[[#This Row],[Platinum]]</f>
        <v>444552</v>
      </c>
      <c r="AR63" s="97">
        <f ca="1">INDEX(TblProd[[#Headers],[Lumber]]:TblProd[[#This Row],[Ore]],COUNTA(TblProd[[#Headers],[Lumber]]:TblProd[[#This Row],[Lumber]]),MATCH(Military!$AQ$2,TblProd[[#Headers],[Lumber]:[Ore]],0))</f>
        <v>0</v>
      </c>
      <c r="AS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7">
        <f ca="1">TblMili[[#This Row],[Train Unit 1]]*TblMili[[#This Row],[OP Ore]]+TblMili[[#This Row],[Train Unit 2]]*TblMili[[#This Row],[DP Ore]]+TblMili[[#This Row],[Train Unit 3]]*TblMili[[#This Row],[E1 Ore]]+TblMili[[#This Row],[Train Unit 4]]*TblMili[[#This Row],[E2 Ore]]</f>
        <v>0</v>
      </c>
      <c r="AU63" s="145">
        <f>TblMili[[#This Row],[Hour]]</f>
        <v>60</v>
      </c>
      <c r="AV63" s="155">
        <f ca="1">TblMili[[#This Row],[Time]]</f>
        <v>45460.45833333319</v>
      </c>
      <c r="AW63" s="97">
        <f ca="1">TblMili[[#This Row],[Draftees]]</f>
        <v>626</v>
      </c>
      <c r="AX63" s="182"/>
      <c r="AY63" s="182"/>
      <c r="AZ63" s="182"/>
      <c r="BA63" s="182"/>
      <c r="BB63" s="182"/>
      <c r="BC63" s="182"/>
      <c r="BD63" s="182"/>
      <c r="BE63" s="182"/>
      <c r="BF63" s="182"/>
      <c r="BG63" s="145"/>
      <c r="BH63" s="160">
        <f ca="1">TblConstr[[#This Row],[Tot WG]]/TblConstr[[#This Row],[Land]]</f>
        <v>0</v>
      </c>
      <c r="BI63" s="160">
        <f ca="1">TblConstr[[#This Row],[Tot Hav]]/TblConstr[[#This Row],[Land]]</f>
        <v>0</v>
      </c>
      <c r="BJ63" s="97">
        <f ca="1">ROUNDUP((1-MIN(TblMili[[#This Row],[Smithies]]*smithy_bonus,smithy_bonus_cap) + tech_3_5*TblTech[[#This Row],[3-5]] + tech_5_3*TblTech[[#This Row],[5-3]] + tech_5_5*TblTech[[#This Row],[5-5]])*spec_op_plat,0)</f>
        <v>275</v>
      </c>
      <c r="BK63" s="97">
        <f ca="1">ROUNDUP(IF(race="Gnome",1,(1-MIN(TblMili[[#This Row],[Smithies]]*smithy_bonus,smithy_bonus_cap) + tech_3_5*TblTech[[#This Row],[3-5]] + tech_5_3*TblTech[[#This Row],[5-3]] + tech_5_5*TblTech[[#This Row],[5-5]]))*spec_op_ore,0)</f>
        <v>25</v>
      </c>
      <c r="BL63" s="97">
        <f ca="1">ROUNDUP((1-MIN(TblMili[[#This Row],[Smithies]]*smithy_bonus,smithy_bonus_cap) + tech_3_5*TblTech[[#This Row],[3-5]] + tech_5_3*TblTech[[#This Row],[5-3]] + tech_5_5*TblTech[[#This Row],[5-5]])*spec_dp_plat,0)</f>
        <v>275</v>
      </c>
      <c r="BM63" s="97">
        <f ca="1">ROUNDUP(IF(race="Gnome",1,(1-MIN(TblMili[[#This Row],[Smithies]]*smithy_bonus,smithy_bonus_cap) + tech_3_5*TblTech[[#This Row],[3-5]] + tech_5_3*TblTech[[#This Row],[5-3]] + tech_5_5*TblTech[[#This Row],[5-5]]))*spec_dp_ore,0)</f>
        <v>15</v>
      </c>
      <c r="BN63" s="97">
        <f ca="1">ROUNDUP((1-MIN(TblMili[[#This Row],[Smithies]]*smithy_bonus,smithy_bonus_cap) + tech_3_5*TblTech[[#This Row],[3-5]] + tech_5_3*TblTech[[#This Row],[5-3]] + tech_5_5*TblTech[[#This Row],[5-5]])*elite1_plat,0)</f>
        <v>1000</v>
      </c>
      <c r="BO63" s="97">
        <f ca="1">ROUNDUP(IF(race="Gnome",1,(1-MIN(TblMili[[#This Row],[Smithies]]*smithy_bonus,smithy_bonus_cap) + tech_3_5*TblTech[[#This Row],[3-5]] + tech_5_3*TblTech[[#This Row],[5-3]] + tech_5_5*TblTech[[#This Row],[5-5]]))*elite1_ore,0)</f>
        <v>75</v>
      </c>
      <c r="BP63" s="97">
        <f ca="1">ROUNDUP((1-MIN(TblMili[[#This Row],[Smithies]]*smithy_bonus,smithy_bonus_cap) + tech_3_5*TblTech[[#This Row],[3-5]] + tech_5_3*TblTech[[#This Row],[5-3]] + tech_5_5*TblTech[[#This Row],[5-5]])*elite2_plat,0)</f>
        <v>1250</v>
      </c>
      <c r="BQ63" s="97">
        <f ca="1">ROUNDUP(IF(race="Gnome",1,(1-MIN(TblMili[[#This Row],[Smithies]]*smithy_bonus,smithy_bonus_cap) + tech_3_5*TblTech[[#This Row],[3-5]] + tech_5_3*TblTech[[#This Row],[5-3]] + tech_5_5*TblTech[[#This Row],[5-5]]))*elite2_ore,0)</f>
        <v>100</v>
      </c>
      <c r="BR63" s="97">
        <f ca="1">ROUNDUP((1-MIN(ROUND(fh_spy_cost_red*TblMili[[#This Row],[FH''s]],4),fh_spy_cost_cap)+ tech_1_9*TblTech[[#This Row],[1-9]] + tech_9_1*TblTech[[#This Row],[9-1]])*spy_plat,0)</f>
        <v>500</v>
      </c>
      <c r="BS63" s="97">
        <f ca="1">ROUNDUP((1-MIN(ROUND(fh_spy_cost_red*TblMili[[#This Row],[FH''s]],4),fh_spy_cost_cap)+ tech_1_9*TblTech[[#This Row],[1-9]] + tech_9_1*TblTech[[#This Row],[9-1]])*archspy_plat,0)</f>
        <v>1000</v>
      </c>
      <c r="BT63" s="97">
        <f ca="1">ROUNDUP((1-MIN(ROUND(wg_wiz_cost_bonus*TblMili[[#This Row],[WG''s]],4),wg_wiz_cost_cap) + tech_1_9_2*TblTech[[#This Row],[1-9]] + tech_9_1_2*TblTech[[#This Row],[9-1]])*wizard_plat,0)</f>
        <v>500</v>
      </c>
      <c r="BU63" s="97">
        <f ca="1">ROUNDUP((1-MIN(ROUND(wg_wiz_cost_bonus*TblMili[[#This Row],[WG''s]],4),wg_wiz_cost_cap) + tech_1_9_2*TblTech[[#This Row],[1-9]] + tech_9_1_2*TblTech[[#This Row],[9-1]])*archmage_plat,0)</f>
        <v>1000</v>
      </c>
      <c r="BV63" s="145"/>
      <c r="BW63" s="160">
        <f ca="1">TblConstr[[#This Row],[Homeland]]/TblConstr[[#This Row],[Land]]</f>
        <v>0.44</v>
      </c>
      <c r="BX63" s="160">
        <f ca="1">TblMili[[#This Row],[WG''s]]</f>
        <v>0</v>
      </c>
      <c r="BY63" s="266">
        <f ca="1">IF(mystic_cap="none",TblMili[[#This Row],[Hill]]/mystic_bonus,MIN(mystic_cap,TblMili[[#This Row],[Hill]]/mystic_bonus))</f>
        <v>2.1999999999999997</v>
      </c>
      <c r="BZ63" s="266">
        <f ca="1">IF(druid_op_cap="none",TblMili[[#This Row],[Hill]]/druid_op_bonus,MIN(druid_op_cap,TblMili[[#This Row],[Hill]]/druid_op_bonus))</f>
        <v>2.1999999999999997</v>
      </c>
      <c r="CA63" s="266">
        <f ca="1">IF(druid_dp_cap="none",TblMili[[#This Row],[Hill]]/druid_dp_bonus,MIN(druid_dp_cap,TblMili[[#This Row],[Hill]]/druid_dp_bonus))</f>
        <v>2.1999999999999997</v>
      </c>
      <c r="CB63" s="266">
        <f ca="1">MIN(dryad_cap,TblMili[[#This Row],[Hill]]/dryad_bonus)</f>
        <v>2.1999999999999997</v>
      </c>
      <c r="CC63" s="266">
        <f ca="1">MIN(rocka_cap,TblMili[[#This Row],[Hill]]/rocka_bonus)</f>
        <v>2</v>
      </c>
      <c r="CD63" s="266">
        <f ca="1">MIN(adept_op_cap,TblMili[[#This Row],[WG]]/adept_op_bonus)</f>
        <v>0</v>
      </c>
      <c r="CE63" s="266">
        <f ca="1">MIN(adept_dp_cap,TblMili[[#This Row],[WG]]/adept_dp_bonus)</f>
        <v>0</v>
      </c>
      <c r="CF63" s="97">
        <f ca="1">MIN(TblMili[[#This Row],[Unit 3]],TblMili[[#This Row],[Unit 2]])*2</f>
        <v>0</v>
      </c>
      <c r="CG63" s="97">
        <f ca="1">MIN(TblMili[[#This Row],[Unit 1]],TblMili[[#This Row],[Unit 4]])*2</f>
        <v>0</v>
      </c>
      <c r="CH63" s="266">
        <f ca="1">MIN(frost_mage_cap,TblMili[[#This Row],[Hill]]/frost_mage_bonus)</f>
        <v>2.1999999999999997</v>
      </c>
      <c r="CI63" s="45">
        <f ca="1">MIN(ice_elem_cap,TblMili[[#This Row],[Raw (2)]]*ice_elem_bonus)</f>
        <v>0.1</v>
      </c>
      <c r="CJ63" s="266">
        <f t="shared" si="2"/>
        <v>0.83333333333333337</v>
      </c>
      <c r="CK63" s="266">
        <f ca="1">MIN(nox_nightshade_cap,TblConstr[[#This Row],[Homeland]]/TblConstr[[#This Row],[Land]]/nox_nightshade_swamp_bonus)</f>
        <v>4</v>
      </c>
      <c r="CL63" s="267"/>
      <c r="CM63" s="267"/>
      <c r="CN63" s="267"/>
      <c r="CO63" s="266">
        <f ca="1">MIN(6,TblMili[[#This Row],[Mystic]]+Races!$F$19)*1.8 +  IF(TblMili[[#This Row],[Mystic]]+Races!$F$19&gt;6,(TblMili[[#This Row],[Mystic]]+Races!$F$19-6)*0.2,0) - Races!$I$19</f>
        <v>3.6399999999999997</v>
      </c>
      <c r="CP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3" s="97">
        <f ca="1">TblMili[[#This Row],[Mystic bonus]]*TblMili[[#This Row],[Unit 3]]+TblMili[[#This Row],[Druid bonus]]*TblMili[[#This Row],[Unit 4]]</f>
        <v>0</v>
      </c>
      <c r="CR63" s="158">
        <f ca="1">MIN(6,TblMili[[#This Row],[Dryad]]+Races!$F$35)*1.8 +  IF(TblMili[[#This Row],[Dryad]]+Races!$F$35&gt;6,(TblMili[[#This Row],[Dryad]]+Races!$F$35-6)*0.2,0) - Races!$I$19</f>
        <v>2.1599999999999993</v>
      </c>
      <c r="CS63" s="97">
        <f ca="1">sylvan*(TblMili[[#This Row],[Mystic bonus]]*TblMili[[#This Row],[Unit 3]])</f>
        <v>0</v>
      </c>
      <c r="CT63" s="158">
        <f ca="1">1.8 * MIN(MAX(Races!$E$27,TblMili[[#This Row],[Rockapult]]+Races!$F$27),6)  +  0.45 * MIN(MIN(Races!$E$27,TblMili[[#This Row],[Rockapult]]+Races!$F$27),6)  +  0.2 * ( MAX(Races!$E$27-6,0) + MAX(TblMili[[#This Row],[Rockapult]]+Races!$F$27-6,0) )  -  Races!$I$20</f>
        <v>5.8500000000000005</v>
      </c>
      <c r="CU63" s="97">
        <f ca="1">gnome*(TblMili[[#This Row],[Rockapult bonus]]*TblMili[[#This Row],[Unit 3]])</f>
        <v>0</v>
      </c>
      <c r="CV63" s="158">
        <f ca="1">1.8 * MIN(MAX(TblMili[[#This Row],[Spellblade]]+Races!$E$47,TblMili[[#This Row],[Adept-DP]]+Races!$F$47),6)  +  0.45 * MIN(MIN(TblMili[[#This Row],[Spellblade]]+Races!$E$47,TblMili[[#This Row],[Adept-DP]]+Races!$F$47),6)  +  0.2 * ( MAX(TblMili[[#This Row],[Spellblade]]+Races!$E$47-6,0) + MAX(TblMili[[#This Row],[Adept-DP]]+Races!$F$47-6,0) )  -  Races!$I$47</f>
        <v>0</v>
      </c>
      <c r="CW63" s="97">
        <f ca="1">dark_elf*(TblMili[[#This Row],[Adept bonus]]*TblMili[[#This Row],[Unit 3]])</f>
        <v>0</v>
      </c>
      <c r="CX63" s="158">
        <f ca="1">1.8 * MIN(MAX(TblMili[[#This Row],[Frost Mage]]+Races!$F$71,Races!$E$71),6)  +  0.45 * MIN(MIN(TblMili[[#This Row],[Frost Mage]]+Races!$F$71,Races!$E$71),6)  +  0.2 * ( MAX(TblMili[[#This Row],[Frost Mage]]+Races!$F$71-6,0) + MAX(Races!$E$71-6,0) )  -  Races!$I$71</f>
        <v>3.9599999999999991</v>
      </c>
      <c r="CY63" s="158">
        <f ca="1">1.8 * MIN(MAX(TblMili[[#This Row],[Ice Elemental]]+Races!$E$71,Races!$F$71),6)  +  0.45 * MIN(MIN(TblMili[[#This Row],[Ice Elemental]]+Races!$E$71,Races!$F$71),6)  +  0.2 * ( MAX(TblMili[[#This Row],[Ice Elemental]]+Races!$E$71-6,0) + MAX(Races!$F$71-6,0) )  -  Races!$I$71</f>
        <v>0.17999999999999972</v>
      </c>
      <c r="CZ63" s="97">
        <f ca="1">TblMili[[#This Row],[Frost Mage bonus]]*TblMili[[#This Row],[Unit 3]]+TblMili[[#This Row],[Ice Elemental bonus]]*TblMili[[#This Row],[Unit 4]]</f>
        <v>0</v>
      </c>
      <c r="DA63" s="268"/>
      <c r="DB63" s="146">
        <f ca="1">MIN(SUM(TblConstr[[#This Row],[Plain]:[Water]])/TblMili[[#This Row],[Land]]/favorable_terrain_bonus/100,favorable_terrain_max)</f>
        <v>0.1</v>
      </c>
      <c r="DC63" s="268"/>
      <c r="DD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3" s="145"/>
      <c r="DF63" s="269">
        <f ca="1">(TblMili[[#This Row],[Wizards]]+2*TblMili[[#This Row],[Archmages]])/TblConstr[[#This Row],[Land]]</f>
        <v>0.1</v>
      </c>
      <c r="DG63" s="269">
        <f ca="1">TblMili[[#This Row],[Raw (2)]]*(1+race_wizard_strength+IF(TblMili[[#This Row],[Hour]]&gt;72,tech_magical_weaponry_wiz*TblTech[[#This Row],[3-5]],0))</f>
        <v>0.1</v>
      </c>
    </row>
    <row r="64" spans="1:111"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45460.499999999854</v>
      </c>
      <c r="AG64" s="182"/>
      <c r="AH64" s="161"/>
      <c r="AI64" s="182"/>
      <c r="AJ64" s="161"/>
      <c r="AK64" s="161"/>
      <c r="AL64" s="161"/>
      <c r="AM64" s="161"/>
      <c r="AN64" s="182"/>
      <c r="AO64" s="449">
        <f ca="1">IF(AND(TblMagic[[#This Row],[Active DnD]]&lt;12,TblMagic[[#This Row],[Active DnD]]&gt;5),OFFSET(TblPop[[#This Row],[Draft Growth]],-1,0)/2,0)</f>
        <v>0</v>
      </c>
      <c r="AP64" s="145"/>
      <c r="AQ64" s="97">
        <f ca="1">TblProd[[#This Row],[Platinum]]</f>
        <v>450038</v>
      </c>
      <c r="AR64" s="97">
        <f ca="1">INDEX(TblProd[[#Headers],[Lumber]]:TblProd[[#This Row],[Ore]],COUNTA(TblProd[[#Headers],[Lumber]]:TblProd[[#This Row],[Lumber]]),MATCH(Military!$AQ$2,TblProd[[#Headers],[Lumber]:[Ore]],0))</f>
        <v>0</v>
      </c>
      <c r="AS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7">
        <f ca="1">TblMili[[#This Row],[Train Unit 1]]*TblMili[[#This Row],[OP Ore]]+TblMili[[#This Row],[Train Unit 2]]*TblMili[[#This Row],[DP Ore]]+TblMili[[#This Row],[Train Unit 3]]*TblMili[[#This Row],[E1 Ore]]+TblMili[[#This Row],[Train Unit 4]]*TblMili[[#This Row],[E2 Ore]]</f>
        <v>0</v>
      </c>
      <c r="AU64" s="145">
        <f>TblMili[[#This Row],[Hour]]</f>
        <v>61</v>
      </c>
      <c r="AV64" s="155">
        <f ca="1">TblMili[[#This Row],[Time]]</f>
        <v>45460.499999999854</v>
      </c>
      <c r="AW64" s="97">
        <f ca="1">TblMili[[#This Row],[Draftees]]</f>
        <v>626</v>
      </c>
      <c r="AX64" s="182"/>
      <c r="AY64" s="182"/>
      <c r="AZ64" s="182"/>
      <c r="BA64" s="182"/>
      <c r="BB64" s="182"/>
      <c r="BC64" s="182"/>
      <c r="BD64" s="182"/>
      <c r="BE64" s="182"/>
      <c r="BF64" s="182"/>
      <c r="BG64" s="145"/>
      <c r="BH64" s="160">
        <f ca="1">TblConstr[[#This Row],[Tot WG]]/TblConstr[[#This Row],[Land]]</f>
        <v>0</v>
      </c>
      <c r="BI64" s="160">
        <f ca="1">TblConstr[[#This Row],[Tot Hav]]/TblConstr[[#This Row],[Land]]</f>
        <v>0</v>
      </c>
      <c r="BJ64" s="97">
        <f ca="1">ROUNDUP((1-MIN(TblMili[[#This Row],[Smithies]]*smithy_bonus,smithy_bonus_cap) + tech_3_5*TblTech[[#This Row],[3-5]] + tech_5_3*TblTech[[#This Row],[5-3]] + tech_5_5*TblTech[[#This Row],[5-5]])*spec_op_plat,0)</f>
        <v>275</v>
      </c>
      <c r="BK64" s="97">
        <f ca="1">ROUNDUP(IF(race="Gnome",1,(1-MIN(TblMili[[#This Row],[Smithies]]*smithy_bonus,smithy_bonus_cap) + tech_3_5*TblTech[[#This Row],[3-5]] + tech_5_3*TblTech[[#This Row],[5-3]] + tech_5_5*TblTech[[#This Row],[5-5]]))*spec_op_ore,0)</f>
        <v>25</v>
      </c>
      <c r="BL64" s="97">
        <f ca="1">ROUNDUP((1-MIN(TblMili[[#This Row],[Smithies]]*smithy_bonus,smithy_bonus_cap) + tech_3_5*TblTech[[#This Row],[3-5]] + tech_5_3*TblTech[[#This Row],[5-3]] + tech_5_5*TblTech[[#This Row],[5-5]])*spec_dp_plat,0)</f>
        <v>275</v>
      </c>
      <c r="BM64" s="97">
        <f ca="1">ROUNDUP(IF(race="Gnome",1,(1-MIN(TblMili[[#This Row],[Smithies]]*smithy_bonus,smithy_bonus_cap) + tech_3_5*TblTech[[#This Row],[3-5]] + tech_5_3*TblTech[[#This Row],[5-3]] + tech_5_5*TblTech[[#This Row],[5-5]]))*spec_dp_ore,0)</f>
        <v>15</v>
      </c>
      <c r="BN64" s="97">
        <f ca="1">ROUNDUP((1-MIN(TblMili[[#This Row],[Smithies]]*smithy_bonus,smithy_bonus_cap) + tech_3_5*TblTech[[#This Row],[3-5]] + tech_5_3*TblTech[[#This Row],[5-3]] + tech_5_5*TblTech[[#This Row],[5-5]])*elite1_plat,0)</f>
        <v>1000</v>
      </c>
      <c r="BO64" s="97">
        <f ca="1">ROUNDUP(IF(race="Gnome",1,(1-MIN(TblMili[[#This Row],[Smithies]]*smithy_bonus,smithy_bonus_cap) + tech_3_5*TblTech[[#This Row],[3-5]] + tech_5_3*TblTech[[#This Row],[5-3]] + tech_5_5*TblTech[[#This Row],[5-5]]))*elite1_ore,0)</f>
        <v>75</v>
      </c>
      <c r="BP64" s="97">
        <f ca="1">ROUNDUP((1-MIN(TblMili[[#This Row],[Smithies]]*smithy_bonus,smithy_bonus_cap) + tech_3_5*TblTech[[#This Row],[3-5]] + tech_5_3*TblTech[[#This Row],[5-3]] + tech_5_5*TblTech[[#This Row],[5-5]])*elite2_plat,0)</f>
        <v>1250</v>
      </c>
      <c r="BQ64" s="97">
        <f ca="1">ROUNDUP(IF(race="Gnome",1,(1-MIN(TblMili[[#This Row],[Smithies]]*smithy_bonus,smithy_bonus_cap) + tech_3_5*TblTech[[#This Row],[3-5]] + tech_5_3*TblTech[[#This Row],[5-3]] + tech_5_5*TblTech[[#This Row],[5-5]]))*elite2_ore,0)</f>
        <v>100</v>
      </c>
      <c r="BR64" s="97">
        <f ca="1">ROUNDUP((1-MIN(ROUND(fh_spy_cost_red*TblMili[[#This Row],[FH''s]],4),fh_spy_cost_cap)+ tech_1_9*TblTech[[#This Row],[1-9]] + tech_9_1*TblTech[[#This Row],[9-1]])*spy_plat,0)</f>
        <v>500</v>
      </c>
      <c r="BS64" s="97">
        <f ca="1">ROUNDUP((1-MIN(ROUND(fh_spy_cost_red*TblMili[[#This Row],[FH''s]],4),fh_spy_cost_cap)+ tech_1_9*TblTech[[#This Row],[1-9]] + tech_9_1*TblTech[[#This Row],[9-1]])*archspy_plat,0)</f>
        <v>1000</v>
      </c>
      <c r="BT64" s="97">
        <f ca="1">ROUNDUP((1-MIN(ROUND(wg_wiz_cost_bonus*TblMili[[#This Row],[WG''s]],4),wg_wiz_cost_cap) + tech_1_9_2*TblTech[[#This Row],[1-9]] + tech_9_1_2*TblTech[[#This Row],[9-1]])*wizard_plat,0)</f>
        <v>500</v>
      </c>
      <c r="BU64" s="97">
        <f ca="1">ROUNDUP((1-MIN(ROUND(wg_wiz_cost_bonus*TblMili[[#This Row],[WG''s]],4),wg_wiz_cost_cap) + tech_1_9_2*TblTech[[#This Row],[1-9]] + tech_9_1_2*TblTech[[#This Row],[9-1]])*archmage_plat,0)</f>
        <v>1000</v>
      </c>
      <c r="BV64" s="145"/>
      <c r="BW64" s="160">
        <f ca="1">TblConstr[[#This Row],[Homeland]]/TblConstr[[#This Row],[Land]]</f>
        <v>0.44</v>
      </c>
      <c r="BX64" s="160">
        <f ca="1">TblMili[[#This Row],[WG''s]]</f>
        <v>0</v>
      </c>
      <c r="BY64" s="266">
        <f ca="1">IF(mystic_cap="none",TblMili[[#This Row],[Hill]]/mystic_bonus,MIN(mystic_cap,TblMili[[#This Row],[Hill]]/mystic_bonus))</f>
        <v>2.1999999999999997</v>
      </c>
      <c r="BZ64" s="266">
        <f ca="1">IF(druid_op_cap="none",TblMili[[#This Row],[Hill]]/druid_op_bonus,MIN(druid_op_cap,TblMili[[#This Row],[Hill]]/druid_op_bonus))</f>
        <v>2.1999999999999997</v>
      </c>
      <c r="CA64" s="266">
        <f ca="1">IF(druid_dp_cap="none",TblMili[[#This Row],[Hill]]/druid_dp_bonus,MIN(druid_dp_cap,TblMili[[#This Row],[Hill]]/druid_dp_bonus))</f>
        <v>2.1999999999999997</v>
      </c>
      <c r="CB64" s="266">
        <f ca="1">MIN(dryad_cap,TblMili[[#This Row],[Hill]]/dryad_bonus)</f>
        <v>2.1999999999999997</v>
      </c>
      <c r="CC64" s="266">
        <f ca="1">MIN(rocka_cap,TblMili[[#This Row],[Hill]]/rocka_bonus)</f>
        <v>2</v>
      </c>
      <c r="CD64" s="266">
        <f ca="1">MIN(adept_op_cap,TblMili[[#This Row],[WG]]/adept_op_bonus)</f>
        <v>0</v>
      </c>
      <c r="CE64" s="266">
        <f ca="1">MIN(adept_dp_cap,TblMili[[#This Row],[WG]]/adept_dp_bonus)</f>
        <v>0</v>
      </c>
      <c r="CF64" s="97">
        <f ca="1">MIN(TblMili[[#This Row],[Unit 3]],TblMili[[#This Row],[Unit 2]])*2</f>
        <v>0</v>
      </c>
      <c r="CG64" s="97">
        <f ca="1">MIN(TblMili[[#This Row],[Unit 1]],TblMili[[#This Row],[Unit 4]])*2</f>
        <v>0</v>
      </c>
      <c r="CH64" s="266">
        <f ca="1">MIN(frost_mage_cap,TblMili[[#This Row],[Hill]]/frost_mage_bonus)</f>
        <v>2.1999999999999997</v>
      </c>
      <c r="CI64" s="45">
        <f ca="1">MIN(ice_elem_cap,TblMili[[#This Row],[Raw (2)]]*ice_elem_bonus)</f>
        <v>0.1</v>
      </c>
      <c r="CJ64" s="266">
        <f t="shared" si="2"/>
        <v>0.83333333333333337</v>
      </c>
      <c r="CK64" s="266">
        <f ca="1">MIN(nox_nightshade_cap,TblConstr[[#This Row],[Homeland]]/TblConstr[[#This Row],[Land]]/nox_nightshade_swamp_bonus)</f>
        <v>4</v>
      </c>
      <c r="CL64" s="267"/>
      <c r="CM64" s="267"/>
      <c r="CN64" s="267"/>
      <c r="CO64" s="266">
        <f ca="1">MIN(6,TblMili[[#This Row],[Mystic]]+Races!$F$19)*1.8 +  IF(TblMili[[#This Row],[Mystic]]+Races!$F$19&gt;6,(TblMili[[#This Row],[Mystic]]+Races!$F$19-6)*0.2,0) - Races!$I$19</f>
        <v>3.6399999999999997</v>
      </c>
      <c r="CP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4" s="97">
        <f ca="1">TblMili[[#This Row],[Mystic bonus]]*TblMili[[#This Row],[Unit 3]]+TblMili[[#This Row],[Druid bonus]]*TblMili[[#This Row],[Unit 4]]</f>
        <v>0</v>
      </c>
      <c r="CR64" s="158">
        <f ca="1">MIN(6,TblMili[[#This Row],[Dryad]]+Races!$F$35)*1.8 +  IF(TblMili[[#This Row],[Dryad]]+Races!$F$35&gt;6,(TblMili[[#This Row],[Dryad]]+Races!$F$35-6)*0.2,0) - Races!$I$19</f>
        <v>2.1599999999999993</v>
      </c>
      <c r="CS64" s="97">
        <f ca="1">sylvan*(TblMili[[#This Row],[Mystic bonus]]*TblMili[[#This Row],[Unit 3]])</f>
        <v>0</v>
      </c>
      <c r="CT64" s="158">
        <f ca="1">1.8 * MIN(MAX(Races!$E$27,TblMili[[#This Row],[Rockapult]]+Races!$F$27),6)  +  0.45 * MIN(MIN(Races!$E$27,TblMili[[#This Row],[Rockapult]]+Races!$F$27),6)  +  0.2 * ( MAX(Races!$E$27-6,0) + MAX(TblMili[[#This Row],[Rockapult]]+Races!$F$27-6,0) )  -  Races!$I$20</f>
        <v>5.8500000000000005</v>
      </c>
      <c r="CU64" s="97">
        <f ca="1">gnome*(TblMili[[#This Row],[Rockapult bonus]]*TblMili[[#This Row],[Unit 3]])</f>
        <v>0</v>
      </c>
      <c r="CV64" s="158">
        <f ca="1">1.8 * MIN(MAX(TblMili[[#This Row],[Spellblade]]+Races!$E$47,TblMili[[#This Row],[Adept-DP]]+Races!$F$47),6)  +  0.45 * MIN(MIN(TblMili[[#This Row],[Spellblade]]+Races!$E$47,TblMili[[#This Row],[Adept-DP]]+Races!$F$47),6)  +  0.2 * ( MAX(TblMili[[#This Row],[Spellblade]]+Races!$E$47-6,0) + MAX(TblMili[[#This Row],[Adept-DP]]+Races!$F$47-6,0) )  -  Races!$I$47</f>
        <v>0</v>
      </c>
      <c r="CW64" s="97">
        <f ca="1">dark_elf*(TblMili[[#This Row],[Adept bonus]]*TblMili[[#This Row],[Unit 3]])</f>
        <v>0</v>
      </c>
      <c r="CX64" s="158">
        <f ca="1">1.8 * MIN(MAX(TblMili[[#This Row],[Frost Mage]]+Races!$F$71,Races!$E$71),6)  +  0.45 * MIN(MIN(TblMili[[#This Row],[Frost Mage]]+Races!$F$71,Races!$E$71),6)  +  0.2 * ( MAX(TblMili[[#This Row],[Frost Mage]]+Races!$F$71-6,0) + MAX(Races!$E$71-6,0) )  -  Races!$I$71</f>
        <v>3.9599999999999991</v>
      </c>
      <c r="CY64" s="158">
        <f ca="1">1.8 * MIN(MAX(TblMili[[#This Row],[Ice Elemental]]+Races!$E$71,Races!$F$71),6)  +  0.45 * MIN(MIN(TblMili[[#This Row],[Ice Elemental]]+Races!$E$71,Races!$F$71),6)  +  0.2 * ( MAX(TblMili[[#This Row],[Ice Elemental]]+Races!$E$71-6,0) + MAX(Races!$F$71-6,0) )  -  Races!$I$71</f>
        <v>0.17999999999999972</v>
      </c>
      <c r="CZ64" s="97">
        <f ca="1">TblMili[[#This Row],[Frost Mage bonus]]*TblMili[[#This Row],[Unit 3]]+TblMili[[#This Row],[Ice Elemental bonus]]*TblMili[[#This Row],[Unit 4]]</f>
        <v>0</v>
      </c>
      <c r="DA64" s="268"/>
      <c r="DB64" s="146">
        <f ca="1">MIN(SUM(TblConstr[[#This Row],[Plain]:[Water]])/TblMili[[#This Row],[Land]]/favorable_terrain_bonus/100,favorable_terrain_max)</f>
        <v>0.1</v>
      </c>
      <c r="DC64" s="268"/>
      <c r="DD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4" s="145"/>
      <c r="DF64" s="269">
        <f ca="1">(TblMili[[#This Row],[Wizards]]+2*TblMili[[#This Row],[Archmages]])/TblConstr[[#This Row],[Land]]</f>
        <v>0.1</v>
      </c>
      <c r="DG64" s="269">
        <f ca="1">TblMili[[#This Row],[Raw (2)]]*(1+race_wizard_strength+IF(TblMili[[#This Row],[Hour]]&gt;72,tech_magical_weaponry_wiz*TblTech[[#This Row],[3-5]],0))</f>
        <v>0.1</v>
      </c>
    </row>
    <row r="65" spans="1:111"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45460.541666666519</v>
      </c>
      <c r="AG65" s="161"/>
      <c r="AH65" s="182"/>
      <c r="AI65" s="182"/>
      <c r="AJ65" s="182"/>
      <c r="AK65" s="182"/>
      <c r="AL65" s="182"/>
      <c r="AM65" s="182"/>
      <c r="AN65" s="182"/>
      <c r="AO65" s="449">
        <f ca="1">IF(AND(TblMagic[[#This Row],[Active DnD]]&lt;12,TblMagic[[#This Row],[Active DnD]]&gt;5),OFFSET(TblPop[[#This Row],[Draft Growth]],-1,0)/2,0)</f>
        <v>0</v>
      </c>
      <c r="AP65" s="145"/>
      <c r="AQ65" s="97">
        <f ca="1">TblProd[[#This Row],[Platinum]]</f>
        <v>455524</v>
      </c>
      <c r="AR65" s="97">
        <f ca="1">INDEX(TblProd[[#Headers],[Lumber]]:TblProd[[#This Row],[Ore]],COUNTA(TblProd[[#Headers],[Lumber]]:TblProd[[#This Row],[Lumber]]),MATCH(Military!$AQ$2,TblProd[[#Headers],[Lumber]:[Ore]],0))</f>
        <v>0</v>
      </c>
      <c r="AS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7">
        <f ca="1">TblMili[[#This Row],[Train Unit 1]]*TblMili[[#This Row],[OP Ore]]+TblMili[[#This Row],[Train Unit 2]]*TblMili[[#This Row],[DP Ore]]+TblMili[[#This Row],[Train Unit 3]]*TblMili[[#This Row],[E1 Ore]]+TblMili[[#This Row],[Train Unit 4]]*TblMili[[#This Row],[E2 Ore]]</f>
        <v>0</v>
      </c>
      <c r="AU65" s="145">
        <f>TblMili[[#This Row],[Hour]]</f>
        <v>62</v>
      </c>
      <c r="AV65" s="155">
        <f ca="1">TblMili[[#This Row],[Time]]</f>
        <v>45460.541666666519</v>
      </c>
      <c r="AW65" s="97">
        <f ca="1">TblMili[[#This Row],[Draftees]]</f>
        <v>626</v>
      </c>
      <c r="AX65" s="161"/>
      <c r="AY65" s="182"/>
      <c r="AZ65" s="182"/>
      <c r="BA65" s="182"/>
      <c r="BB65" s="182"/>
      <c r="BC65" s="182"/>
      <c r="BD65" s="182"/>
      <c r="BE65" s="182"/>
      <c r="BF65" s="182"/>
      <c r="BG65" s="145"/>
      <c r="BH65" s="160">
        <f ca="1">TblConstr[[#This Row],[Tot WG]]/TblConstr[[#This Row],[Land]]</f>
        <v>0</v>
      </c>
      <c r="BI65" s="160">
        <f ca="1">TblConstr[[#This Row],[Tot Hav]]/TblConstr[[#This Row],[Land]]</f>
        <v>0</v>
      </c>
      <c r="BJ65" s="97">
        <f ca="1">ROUNDUP((1-MIN(TblMili[[#This Row],[Smithies]]*smithy_bonus,smithy_bonus_cap) + tech_3_5*TblTech[[#This Row],[3-5]] + tech_5_3*TblTech[[#This Row],[5-3]] + tech_5_5*TblTech[[#This Row],[5-5]])*spec_op_plat,0)</f>
        <v>275</v>
      </c>
      <c r="BK65" s="97">
        <f ca="1">ROUNDUP(IF(race="Gnome",1,(1-MIN(TblMili[[#This Row],[Smithies]]*smithy_bonus,smithy_bonus_cap) + tech_3_5*TblTech[[#This Row],[3-5]] + tech_5_3*TblTech[[#This Row],[5-3]] + tech_5_5*TblTech[[#This Row],[5-5]]))*spec_op_ore,0)</f>
        <v>25</v>
      </c>
      <c r="BL65" s="97">
        <f ca="1">ROUNDUP((1-MIN(TblMili[[#This Row],[Smithies]]*smithy_bonus,smithy_bonus_cap) + tech_3_5*TblTech[[#This Row],[3-5]] + tech_5_3*TblTech[[#This Row],[5-3]] + tech_5_5*TblTech[[#This Row],[5-5]])*spec_dp_plat,0)</f>
        <v>275</v>
      </c>
      <c r="BM65" s="97">
        <f ca="1">ROUNDUP(IF(race="Gnome",1,(1-MIN(TblMili[[#This Row],[Smithies]]*smithy_bonus,smithy_bonus_cap) + tech_3_5*TblTech[[#This Row],[3-5]] + tech_5_3*TblTech[[#This Row],[5-3]] + tech_5_5*TblTech[[#This Row],[5-5]]))*spec_dp_ore,0)</f>
        <v>15</v>
      </c>
      <c r="BN65" s="97">
        <f ca="1">ROUNDUP((1-MIN(TblMili[[#This Row],[Smithies]]*smithy_bonus,smithy_bonus_cap) + tech_3_5*TblTech[[#This Row],[3-5]] + tech_5_3*TblTech[[#This Row],[5-3]] + tech_5_5*TblTech[[#This Row],[5-5]])*elite1_plat,0)</f>
        <v>1000</v>
      </c>
      <c r="BO65" s="97">
        <f ca="1">ROUNDUP(IF(race="Gnome",1,(1-MIN(TblMili[[#This Row],[Smithies]]*smithy_bonus,smithy_bonus_cap) + tech_3_5*TblTech[[#This Row],[3-5]] + tech_5_3*TblTech[[#This Row],[5-3]] + tech_5_5*TblTech[[#This Row],[5-5]]))*elite1_ore,0)</f>
        <v>75</v>
      </c>
      <c r="BP65" s="97">
        <f ca="1">ROUNDUP((1-MIN(TblMili[[#This Row],[Smithies]]*smithy_bonus,smithy_bonus_cap) + tech_3_5*TblTech[[#This Row],[3-5]] + tech_5_3*TblTech[[#This Row],[5-3]] + tech_5_5*TblTech[[#This Row],[5-5]])*elite2_plat,0)</f>
        <v>1250</v>
      </c>
      <c r="BQ65" s="97">
        <f ca="1">ROUNDUP(IF(race="Gnome",1,(1-MIN(TblMili[[#This Row],[Smithies]]*smithy_bonus,smithy_bonus_cap) + tech_3_5*TblTech[[#This Row],[3-5]] + tech_5_3*TblTech[[#This Row],[5-3]] + tech_5_5*TblTech[[#This Row],[5-5]]))*elite2_ore,0)</f>
        <v>100</v>
      </c>
      <c r="BR65" s="97">
        <f ca="1">ROUNDUP((1-MIN(ROUND(fh_spy_cost_red*TblMili[[#This Row],[FH''s]],4),fh_spy_cost_cap)+ tech_1_9*TblTech[[#This Row],[1-9]] + tech_9_1*TblTech[[#This Row],[9-1]])*spy_plat,0)</f>
        <v>500</v>
      </c>
      <c r="BS65" s="97">
        <f ca="1">ROUNDUP((1-MIN(ROUND(fh_spy_cost_red*TblMili[[#This Row],[FH''s]],4),fh_spy_cost_cap)+ tech_1_9*TblTech[[#This Row],[1-9]] + tech_9_1*TblTech[[#This Row],[9-1]])*archspy_plat,0)</f>
        <v>1000</v>
      </c>
      <c r="BT65" s="97">
        <f ca="1">ROUNDUP((1-MIN(ROUND(wg_wiz_cost_bonus*TblMili[[#This Row],[WG''s]],4),wg_wiz_cost_cap) + tech_1_9_2*TblTech[[#This Row],[1-9]] + tech_9_1_2*TblTech[[#This Row],[9-1]])*wizard_plat,0)</f>
        <v>500</v>
      </c>
      <c r="BU65" s="97">
        <f ca="1">ROUNDUP((1-MIN(ROUND(wg_wiz_cost_bonus*TblMili[[#This Row],[WG''s]],4),wg_wiz_cost_cap) + tech_1_9_2*TblTech[[#This Row],[1-9]] + tech_9_1_2*TblTech[[#This Row],[9-1]])*archmage_plat,0)</f>
        <v>1000</v>
      </c>
      <c r="BV65" s="145"/>
      <c r="BW65" s="160">
        <f ca="1">TblConstr[[#This Row],[Homeland]]/TblConstr[[#This Row],[Land]]</f>
        <v>0.44</v>
      </c>
      <c r="BX65" s="160">
        <f ca="1">TblMili[[#This Row],[WG''s]]</f>
        <v>0</v>
      </c>
      <c r="BY65" s="266">
        <f ca="1">IF(mystic_cap="none",TblMili[[#This Row],[Hill]]/mystic_bonus,MIN(mystic_cap,TblMili[[#This Row],[Hill]]/mystic_bonus))</f>
        <v>2.1999999999999997</v>
      </c>
      <c r="BZ65" s="266">
        <f ca="1">IF(druid_op_cap="none",TblMili[[#This Row],[Hill]]/druid_op_bonus,MIN(druid_op_cap,TblMili[[#This Row],[Hill]]/druid_op_bonus))</f>
        <v>2.1999999999999997</v>
      </c>
      <c r="CA65" s="266">
        <f ca="1">IF(druid_dp_cap="none",TblMili[[#This Row],[Hill]]/druid_dp_bonus,MIN(druid_dp_cap,TblMili[[#This Row],[Hill]]/druid_dp_bonus))</f>
        <v>2.1999999999999997</v>
      </c>
      <c r="CB65" s="266">
        <f ca="1">MIN(dryad_cap,TblMili[[#This Row],[Hill]]/dryad_bonus)</f>
        <v>2.1999999999999997</v>
      </c>
      <c r="CC65" s="266">
        <f ca="1">MIN(rocka_cap,TblMili[[#This Row],[Hill]]/rocka_bonus)</f>
        <v>2</v>
      </c>
      <c r="CD65" s="266">
        <f ca="1">MIN(adept_op_cap,TblMili[[#This Row],[WG]]/adept_op_bonus)</f>
        <v>0</v>
      </c>
      <c r="CE65" s="266">
        <f ca="1">MIN(adept_dp_cap,TblMili[[#This Row],[WG]]/adept_dp_bonus)</f>
        <v>0</v>
      </c>
      <c r="CF65" s="97">
        <f ca="1">MIN(TblMili[[#This Row],[Unit 3]],TblMili[[#This Row],[Unit 2]])*2</f>
        <v>0</v>
      </c>
      <c r="CG65" s="97">
        <f ca="1">MIN(TblMili[[#This Row],[Unit 1]],TblMili[[#This Row],[Unit 4]])*2</f>
        <v>0</v>
      </c>
      <c r="CH65" s="266">
        <f ca="1">MIN(frost_mage_cap,TblMili[[#This Row],[Hill]]/frost_mage_bonus)</f>
        <v>2.1999999999999997</v>
      </c>
      <c r="CI65" s="45">
        <f ca="1">MIN(ice_elem_cap,TblMili[[#This Row],[Raw (2)]]*ice_elem_bonus)</f>
        <v>0.1</v>
      </c>
      <c r="CJ65" s="266">
        <f t="shared" si="2"/>
        <v>0.83333333333333337</v>
      </c>
      <c r="CK65" s="266">
        <f ca="1">MIN(nox_nightshade_cap,TblConstr[[#This Row],[Homeland]]/TblConstr[[#This Row],[Land]]/nox_nightshade_swamp_bonus)</f>
        <v>4</v>
      </c>
      <c r="CL65" s="267"/>
      <c r="CM65" s="267"/>
      <c r="CN65" s="267"/>
      <c r="CO65" s="266">
        <f ca="1">MIN(6,TblMili[[#This Row],[Mystic]]+Races!$F$19)*1.8 +  IF(TblMili[[#This Row],[Mystic]]+Races!$F$19&gt;6,(TblMili[[#This Row],[Mystic]]+Races!$F$19-6)*0.2,0) - Races!$I$19</f>
        <v>3.6399999999999997</v>
      </c>
      <c r="CP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5" s="97">
        <f ca="1">TblMili[[#This Row],[Mystic bonus]]*TblMili[[#This Row],[Unit 3]]+TblMili[[#This Row],[Druid bonus]]*TblMili[[#This Row],[Unit 4]]</f>
        <v>0</v>
      </c>
      <c r="CR65" s="158">
        <f ca="1">MIN(6,TblMili[[#This Row],[Dryad]]+Races!$F$35)*1.8 +  IF(TblMili[[#This Row],[Dryad]]+Races!$F$35&gt;6,(TblMili[[#This Row],[Dryad]]+Races!$F$35-6)*0.2,0) - Races!$I$19</f>
        <v>2.1599999999999993</v>
      </c>
      <c r="CS65" s="97">
        <f ca="1">sylvan*(TblMili[[#This Row],[Mystic bonus]]*TblMili[[#This Row],[Unit 3]])</f>
        <v>0</v>
      </c>
      <c r="CT65" s="158">
        <f ca="1">1.8 * MIN(MAX(Races!$E$27,TblMili[[#This Row],[Rockapult]]+Races!$F$27),6)  +  0.45 * MIN(MIN(Races!$E$27,TblMili[[#This Row],[Rockapult]]+Races!$F$27),6)  +  0.2 * ( MAX(Races!$E$27-6,0) + MAX(TblMili[[#This Row],[Rockapult]]+Races!$F$27-6,0) )  -  Races!$I$20</f>
        <v>5.8500000000000005</v>
      </c>
      <c r="CU65" s="97">
        <f ca="1">gnome*(TblMili[[#This Row],[Rockapult bonus]]*TblMili[[#This Row],[Unit 3]])</f>
        <v>0</v>
      </c>
      <c r="CV65" s="158">
        <f ca="1">1.8 * MIN(MAX(TblMili[[#This Row],[Spellblade]]+Races!$E$47,TblMili[[#This Row],[Adept-DP]]+Races!$F$47),6)  +  0.45 * MIN(MIN(TblMili[[#This Row],[Spellblade]]+Races!$E$47,TblMili[[#This Row],[Adept-DP]]+Races!$F$47),6)  +  0.2 * ( MAX(TblMili[[#This Row],[Spellblade]]+Races!$E$47-6,0) + MAX(TblMili[[#This Row],[Adept-DP]]+Races!$F$47-6,0) )  -  Races!$I$47</f>
        <v>0</v>
      </c>
      <c r="CW65" s="97">
        <f ca="1">dark_elf*(TblMili[[#This Row],[Adept bonus]]*TblMili[[#This Row],[Unit 3]])</f>
        <v>0</v>
      </c>
      <c r="CX65" s="158">
        <f ca="1">1.8 * MIN(MAX(TblMili[[#This Row],[Frost Mage]]+Races!$F$71,Races!$E$71),6)  +  0.45 * MIN(MIN(TblMili[[#This Row],[Frost Mage]]+Races!$F$71,Races!$E$71),6)  +  0.2 * ( MAX(TblMili[[#This Row],[Frost Mage]]+Races!$F$71-6,0) + MAX(Races!$E$71-6,0) )  -  Races!$I$71</f>
        <v>3.9599999999999991</v>
      </c>
      <c r="CY65" s="158">
        <f ca="1">1.8 * MIN(MAX(TblMili[[#This Row],[Ice Elemental]]+Races!$E$71,Races!$F$71),6)  +  0.45 * MIN(MIN(TblMili[[#This Row],[Ice Elemental]]+Races!$E$71,Races!$F$71),6)  +  0.2 * ( MAX(TblMili[[#This Row],[Ice Elemental]]+Races!$E$71-6,0) + MAX(Races!$F$71-6,0) )  -  Races!$I$71</f>
        <v>0.17999999999999972</v>
      </c>
      <c r="CZ65" s="97">
        <f ca="1">TblMili[[#This Row],[Frost Mage bonus]]*TblMili[[#This Row],[Unit 3]]+TblMili[[#This Row],[Ice Elemental bonus]]*TblMili[[#This Row],[Unit 4]]</f>
        <v>0</v>
      </c>
      <c r="DA65" s="268"/>
      <c r="DB65" s="146">
        <f ca="1">MIN(SUM(TblConstr[[#This Row],[Plain]:[Water]])/TblMili[[#This Row],[Land]]/favorable_terrain_bonus/100,favorable_terrain_max)</f>
        <v>0.1</v>
      </c>
      <c r="DC65" s="268"/>
      <c r="DD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5" s="145"/>
      <c r="DF65" s="269">
        <f ca="1">(TblMili[[#This Row],[Wizards]]+2*TblMili[[#This Row],[Archmages]])/TblConstr[[#This Row],[Land]]</f>
        <v>0.1</v>
      </c>
      <c r="DG65" s="269">
        <f ca="1">TblMili[[#This Row],[Raw (2)]]*(1+race_wizard_strength+IF(TblMili[[#This Row],[Hour]]&gt;72,tech_magical_weaponry_wiz*TblTech[[#This Row],[3-5]],0))</f>
        <v>0.1</v>
      </c>
    </row>
    <row r="66" spans="1:111"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45460.583333333183</v>
      </c>
      <c r="AG66" s="182"/>
      <c r="AH66" s="182"/>
      <c r="AI66" s="182"/>
      <c r="AJ66" s="182"/>
      <c r="AK66" s="182"/>
      <c r="AL66" s="182"/>
      <c r="AM66" s="182"/>
      <c r="AN66" s="182"/>
      <c r="AO66" s="449">
        <f ca="1">IF(AND(TblMagic[[#This Row],[Active DnD]]&lt;12,TblMagic[[#This Row],[Active DnD]]&gt;5),OFFSET(TblPop[[#This Row],[Draft Growth]],-1,0)/2,0)</f>
        <v>0</v>
      </c>
      <c r="AP66" s="145"/>
      <c r="AQ66" s="97">
        <f ca="1">TblProd[[#This Row],[Platinum]]</f>
        <v>461010</v>
      </c>
      <c r="AR66" s="97">
        <f ca="1">INDEX(TblProd[[#Headers],[Lumber]]:TblProd[[#This Row],[Ore]],COUNTA(TblProd[[#Headers],[Lumber]]:TblProd[[#This Row],[Lumber]]),MATCH(Military!$AQ$2,TblProd[[#Headers],[Lumber]:[Ore]],0))</f>
        <v>0</v>
      </c>
      <c r="AS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7">
        <f ca="1">TblMili[[#This Row],[Train Unit 1]]*TblMili[[#This Row],[OP Ore]]+TblMili[[#This Row],[Train Unit 2]]*TblMili[[#This Row],[DP Ore]]+TblMili[[#This Row],[Train Unit 3]]*TblMili[[#This Row],[E1 Ore]]+TblMili[[#This Row],[Train Unit 4]]*TblMili[[#This Row],[E2 Ore]]</f>
        <v>0</v>
      </c>
      <c r="AU66" s="145">
        <f>TblMili[[#This Row],[Hour]]</f>
        <v>63</v>
      </c>
      <c r="AV66" s="155">
        <f ca="1">TblMili[[#This Row],[Time]]</f>
        <v>45460.583333333183</v>
      </c>
      <c r="AW66" s="97">
        <f ca="1">TblMili[[#This Row],[Draftees]]</f>
        <v>626</v>
      </c>
      <c r="AX66" s="182"/>
      <c r="AY66" s="182"/>
      <c r="AZ66" s="182"/>
      <c r="BA66" s="182"/>
      <c r="BB66" s="182"/>
      <c r="BC66" s="182"/>
      <c r="BD66" s="182"/>
      <c r="BE66" s="182"/>
      <c r="BF66" s="182"/>
      <c r="BG66" s="145"/>
      <c r="BH66" s="160">
        <f ca="1">TblConstr[[#This Row],[Tot WG]]/TblConstr[[#This Row],[Land]]</f>
        <v>0</v>
      </c>
      <c r="BI66" s="160">
        <f ca="1">TblConstr[[#This Row],[Tot Hav]]/TblConstr[[#This Row],[Land]]</f>
        <v>0</v>
      </c>
      <c r="BJ66" s="97">
        <f ca="1">ROUNDUP((1-MIN(TblMili[[#This Row],[Smithies]]*smithy_bonus,smithy_bonus_cap) + tech_3_5*TblTech[[#This Row],[3-5]] + tech_5_3*TblTech[[#This Row],[5-3]] + tech_5_5*TblTech[[#This Row],[5-5]])*spec_op_plat,0)</f>
        <v>275</v>
      </c>
      <c r="BK66" s="97">
        <f ca="1">ROUNDUP(IF(race="Gnome",1,(1-MIN(TblMili[[#This Row],[Smithies]]*smithy_bonus,smithy_bonus_cap) + tech_3_5*TblTech[[#This Row],[3-5]] + tech_5_3*TblTech[[#This Row],[5-3]] + tech_5_5*TblTech[[#This Row],[5-5]]))*spec_op_ore,0)</f>
        <v>25</v>
      </c>
      <c r="BL66" s="97">
        <f ca="1">ROUNDUP((1-MIN(TblMili[[#This Row],[Smithies]]*smithy_bonus,smithy_bonus_cap) + tech_3_5*TblTech[[#This Row],[3-5]] + tech_5_3*TblTech[[#This Row],[5-3]] + tech_5_5*TblTech[[#This Row],[5-5]])*spec_dp_plat,0)</f>
        <v>275</v>
      </c>
      <c r="BM66" s="97">
        <f ca="1">ROUNDUP(IF(race="Gnome",1,(1-MIN(TblMili[[#This Row],[Smithies]]*smithy_bonus,smithy_bonus_cap) + tech_3_5*TblTech[[#This Row],[3-5]] + tech_5_3*TblTech[[#This Row],[5-3]] + tech_5_5*TblTech[[#This Row],[5-5]]))*spec_dp_ore,0)</f>
        <v>15</v>
      </c>
      <c r="BN66" s="97">
        <f ca="1">ROUNDUP((1-MIN(TblMili[[#This Row],[Smithies]]*smithy_bonus,smithy_bonus_cap) + tech_3_5*TblTech[[#This Row],[3-5]] + tech_5_3*TblTech[[#This Row],[5-3]] + tech_5_5*TblTech[[#This Row],[5-5]])*elite1_plat,0)</f>
        <v>1000</v>
      </c>
      <c r="BO66" s="97">
        <f ca="1">ROUNDUP(IF(race="Gnome",1,(1-MIN(TblMili[[#This Row],[Smithies]]*smithy_bonus,smithy_bonus_cap) + tech_3_5*TblTech[[#This Row],[3-5]] + tech_5_3*TblTech[[#This Row],[5-3]] + tech_5_5*TblTech[[#This Row],[5-5]]))*elite1_ore,0)</f>
        <v>75</v>
      </c>
      <c r="BP66" s="97">
        <f ca="1">ROUNDUP((1-MIN(TblMili[[#This Row],[Smithies]]*smithy_bonus,smithy_bonus_cap) + tech_3_5*TblTech[[#This Row],[3-5]] + tech_5_3*TblTech[[#This Row],[5-3]] + tech_5_5*TblTech[[#This Row],[5-5]])*elite2_plat,0)</f>
        <v>1250</v>
      </c>
      <c r="BQ66" s="97">
        <f ca="1">ROUNDUP(IF(race="Gnome",1,(1-MIN(TblMili[[#This Row],[Smithies]]*smithy_bonus,smithy_bonus_cap) + tech_3_5*TblTech[[#This Row],[3-5]] + tech_5_3*TblTech[[#This Row],[5-3]] + tech_5_5*TblTech[[#This Row],[5-5]]))*elite2_ore,0)</f>
        <v>100</v>
      </c>
      <c r="BR66" s="97">
        <f ca="1">ROUNDUP((1-MIN(ROUND(fh_spy_cost_red*TblMili[[#This Row],[FH''s]],4),fh_spy_cost_cap)+ tech_1_9*TblTech[[#This Row],[1-9]] + tech_9_1*TblTech[[#This Row],[9-1]])*spy_plat,0)</f>
        <v>500</v>
      </c>
      <c r="BS66" s="97">
        <f ca="1">ROUNDUP((1-MIN(ROUND(fh_spy_cost_red*TblMili[[#This Row],[FH''s]],4),fh_spy_cost_cap)+ tech_1_9*TblTech[[#This Row],[1-9]] + tech_9_1*TblTech[[#This Row],[9-1]])*archspy_plat,0)</f>
        <v>1000</v>
      </c>
      <c r="BT66" s="97">
        <f ca="1">ROUNDUP((1-MIN(ROUND(wg_wiz_cost_bonus*TblMili[[#This Row],[WG''s]],4),wg_wiz_cost_cap) + tech_1_9_2*TblTech[[#This Row],[1-9]] + tech_9_1_2*TblTech[[#This Row],[9-1]])*wizard_plat,0)</f>
        <v>500</v>
      </c>
      <c r="BU66" s="97">
        <f ca="1">ROUNDUP((1-MIN(ROUND(wg_wiz_cost_bonus*TblMili[[#This Row],[WG''s]],4),wg_wiz_cost_cap) + tech_1_9_2*TblTech[[#This Row],[1-9]] + tech_9_1_2*TblTech[[#This Row],[9-1]])*archmage_plat,0)</f>
        <v>1000</v>
      </c>
      <c r="BV66" s="145"/>
      <c r="BW66" s="160">
        <f ca="1">TblConstr[[#This Row],[Homeland]]/TblConstr[[#This Row],[Land]]</f>
        <v>0.44</v>
      </c>
      <c r="BX66" s="160">
        <f ca="1">TblMili[[#This Row],[WG''s]]</f>
        <v>0</v>
      </c>
      <c r="BY66" s="266">
        <f ca="1">IF(mystic_cap="none",TblMili[[#This Row],[Hill]]/mystic_bonus,MIN(mystic_cap,TblMili[[#This Row],[Hill]]/mystic_bonus))</f>
        <v>2.1999999999999997</v>
      </c>
      <c r="BZ66" s="266">
        <f ca="1">IF(druid_op_cap="none",TblMili[[#This Row],[Hill]]/druid_op_bonus,MIN(druid_op_cap,TblMili[[#This Row],[Hill]]/druid_op_bonus))</f>
        <v>2.1999999999999997</v>
      </c>
      <c r="CA66" s="266">
        <f ca="1">IF(druid_dp_cap="none",TblMili[[#This Row],[Hill]]/druid_dp_bonus,MIN(druid_dp_cap,TblMili[[#This Row],[Hill]]/druid_dp_bonus))</f>
        <v>2.1999999999999997</v>
      </c>
      <c r="CB66" s="266">
        <f ca="1">MIN(dryad_cap,TblMili[[#This Row],[Hill]]/dryad_bonus)</f>
        <v>2.1999999999999997</v>
      </c>
      <c r="CC66" s="266">
        <f ca="1">MIN(rocka_cap,TblMili[[#This Row],[Hill]]/rocka_bonus)</f>
        <v>2</v>
      </c>
      <c r="CD66" s="266">
        <f ca="1">MIN(adept_op_cap,TblMili[[#This Row],[WG]]/adept_op_bonus)</f>
        <v>0</v>
      </c>
      <c r="CE66" s="266">
        <f ca="1">MIN(adept_dp_cap,TblMili[[#This Row],[WG]]/adept_dp_bonus)</f>
        <v>0</v>
      </c>
      <c r="CF66" s="97">
        <f ca="1">MIN(TblMili[[#This Row],[Unit 3]],TblMili[[#This Row],[Unit 2]])*2</f>
        <v>0</v>
      </c>
      <c r="CG66" s="97">
        <f ca="1">MIN(TblMili[[#This Row],[Unit 1]],TblMili[[#This Row],[Unit 4]])*2</f>
        <v>0</v>
      </c>
      <c r="CH66" s="266">
        <f ca="1">MIN(frost_mage_cap,TblMili[[#This Row],[Hill]]/frost_mage_bonus)</f>
        <v>2.1999999999999997</v>
      </c>
      <c r="CI66" s="45">
        <f ca="1">MIN(ice_elem_cap,TblMili[[#This Row],[Raw (2)]]*ice_elem_bonus)</f>
        <v>0.1</v>
      </c>
      <c r="CJ66" s="266">
        <f t="shared" si="2"/>
        <v>0.83333333333333337</v>
      </c>
      <c r="CK66" s="266">
        <f ca="1">MIN(nox_nightshade_cap,TblConstr[[#This Row],[Homeland]]/TblConstr[[#This Row],[Land]]/nox_nightshade_swamp_bonus)</f>
        <v>4</v>
      </c>
      <c r="CL66" s="267"/>
      <c r="CM66" s="267"/>
      <c r="CN66" s="267"/>
      <c r="CO66" s="266">
        <f ca="1">MIN(6,TblMili[[#This Row],[Mystic]]+Races!$F$19)*1.8 +  IF(TblMili[[#This Row],[Mystic]]+Races!$F$19&gt;6,(TblMili[[#This Row],[Mystic]]+Races!$F$19-6)*0.2,0) - Races!$I$19</f>
        <v>3.6399999999999997</v>
      </c>
      <c r="CP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6" s="97">
        <f ca="1">TblMili[[#This Row],[Mystic bonus]]*TblMili[[#This Row],[Unit 3]]+TblMili[[#This Row],[Druid bonus]]*TblMili[[#This Row],[Unit 4]]</f>
        <v>0</v>
      </c>
      <c r="CR66" s="158">
        <f ca="1">MIN(6,TblMili[[#This Row],[Dryad]]+Races!$F$35)*1.8 +  IF(TblMili[[#This Row],[Dryad]]+Races!$F$35&gt;6,(TblMili[[#This Row],[Dryad]]+Races!$F$35-6)*0.2,0) - Races!$I$19</f>
        <v>2.1599999999999993</v>
      </c>
      <c r="CS66" s="97">
        <f ca="1">sylvan*(TblMili[[#This Row],[Mystic bonus]]*TblMili[[#This Row],[Unit 3]])</f>
        <v>0</v>
      </c>
      <c r="CT66" s="158">
        <f ca="1">1.8 * MIN(MAX(Races!$E$27,TblMili[[#This Row],[Rockapult]]+Races!$F$27),6)  +  0.45 * MIN(MIN(Races!$E$27,TblMili[[#This Row],[Rockapult]]+Races!$F$27),6)  +  0.2 * ( MAX(Races!$E$27-6,0) + MAX(TblMili[[#This Row],[Rockapult]]+Races!$F$27-6,0) )  -  Races!$I$20</f>
        <v>5.8500000000000005</v>
      </c>
      <c r="CU66" s="97">
        <f ca="1">gnome*(TblMili[[#This Row],[Rockapult bonus]]*TblMili[[#This Row],[Unit 3]])</f>
        <v>0</v>
      </c>
      <c r="CV66" s="158">
        <f ca="1">1.8 * MIN(MAX(TblMili[[#This Row],[Spellblade]]+Races!$E$47,TblMili[[#This Row],[Adept-DP]]+Races!$F$47),6)  +  0.45 * MIN(MIN(TblMili[[#This Row],[Spellblade]]+Races!$E$47,TblMili[[#This Row],[Adept-DP]]+Races!$F$47),6)  +  0.2 * ( MAX(TblMili[[#This Row],[Spellblade]]+Races!$E$47-6,0) + MAX(TblMili[[#This Row],[Adept-DP]]+Races!$F$47-6,0) )  -  Races!$I$47</f>
        <v>0</v>
      </c>
      <c r="CW66" s="97">
        <f ca="1">dark_elf*(TblMili[[#This Row],[Adept bonus]]*TblMili[[#This Row],[Unit 3]])</f>
        <v>0</v>
      </c>
      <c r="CX66" s="158">
        <f ca="1">1.8 * MIN(MAX(TblMili[[#This Row],[Frost Mage]]+Races!$F$71,Races!$E$71),6)  +  0.45 * MIN(MIN(TblMili[[#This Row],[Frost Mage]]+Races!$F$71,Races!$E$71),6)  +  0.2 * ( MAX(TblMili[[#This Row],[Frost Mage]]+Races!$F$71-6,0) + MAX(Races!$E$71-6,0) )  -  Races!$I$71</f>
        <v>3.9599999999999991</v>
      </c>
      <c r="CY66" s="158">
        <f ca="1">1.8 * MIN(MAX(TblMili[[#This Row],[Ice Elemental]]+Races!$E$71,Races!$F$71),6)  +  0.45 * MIN(MIN(TblMili[[#This Row],[Ice Elemental]]+Races!$E$71,Races!$F$71),6)  +  0.2 * ( MAX(TblMili[[#This Row],[Ice Elemental]]+Races!$E$71-6,0) + MAX(Races!$F$71-6,0) )  -  Races!$I$71</f>
        <v>0.17999999999999972</v>
      </c>
      <c r="CZ66" s="97">
        <f ca="1">TblMili[[#This Row],[Frost Mage bonus]]*TblMili[[#This Row],[Unit 3]]+TblMili[[#This Row],[Ice Elemental bonus]]*TblMili[[#This Row],[Unit 4]]</f>
        <v>0</v>
      </c>
      <c r="DA66" s="268"/>
      <c r="DB66" s="146">
        <f ca="1">MIN(SUM(TblConstr[[#This Row],[Plain]:[Water]])/TblMili[[#This Row],[Land]]/favorable_terrain_bonus/100,favorable_terrain_max)</f>
        <v>0.1</v>
      </c>
      <c r="DC66" s="268"/>
      <c r="DD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6" s="145"/>
      <c r="DF66" s="269">
        <f ca="1">(TblMili[[#This Row],[Wizards]]+2*TblMili[[#This Row],[Archmages]])/TblConstr[[#This Row],[Land]]</f>
        <v>0.1</v>
      </c>
      <c r="DG66" s="269">
        <f ca="1">TblMili[[#This Row],[Raw (2)]]*(1+race_wizard_strength+IF(TblMili[[#This Row],[Hour]]&gt;72,tech_magical_weaponry_wiz*TblTech[[#This Row],[3-5]],0))</f>
        <v>0.1</v>
      </c>
    </row>
    <row r="67" spans="1:111"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45460.624999999847</v>
      </c>
      <c r="AG67" s="161"/>
      <c r="AH67" s="161"/>
      <c r="AI67" s="182"/>
      <c r="AJ67" s="182"/>
      <c r="AK67" s="182"/>
      <c r="AL67" s="182"/>
      <c r="AM67" s="182"/>
      <c r="AN67" s="182"/>
      <c r="AO67" s="449">
        <f ca="1">IF(AND(TblMagic[[#This Row],[Active DnD]]&lt;12,TblMagic[[#This Row],[Active DnD]]&gt;5),OFFSET(TblPop[[#This Row],[Draft Growth]],-1,0)/2,0)</f>
        <v>0</v>
      </c>
      <c r="AP67" s="145"/>
      <c r="AQ67" s="97">
        <f ca="1">TblProd[[#This Row],[Platinum]]</f>
        <v>466496</v>
      </c>
      <c r="AR67" s="97">
        <f ca="1">INDEX(TblProd[[#Headers],[Lumber]]:TblProd[[#This Row],[Ore]],COUNTA(TblProd[[#Headers],[Lumber]]:TblProd[[#This Row],[Lumber]]),MATCH(Military!$AQ$2,TblProd[[#Headers],[Lumber]:[Ore]],0))</f>
        <v>0</v>
      </c>
      <c r="AS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7">
        <f ca="1">TblMili[[#This Row],[Train Unit 1]]*TblMili[[#This Row],[OP Ore]]+TblMili[[#This Row],[Train Unit 2]]*TblMili[[#This Row],[DP Ore]]+TblMili[[#This Row],[Train Unit 3]]*TblMili[[#This Row],[E1 Ore]]+TblMili[[#This Row],[Train Unit 4]]*TblMili[[#This Row],[E2 Ore]]</f>
        <v>0</v>
      </c>
      <c r="AU67" s="145">
        <f>TblMili[[#This Row],[Hour]]</f>
        <v>64</v>
      </c>
      <c r="AV67" s="155">
        <f ca="1">TblMili[[#This Row],[Time]]</f>
        <v>45460.624999999847</v>
      </c>
      <c r="AW67" s="97">
        <f ca="1">TblMili[[#This Row],[Draftees]]</f>
        <v>626</v>
      </c>
      <c r="AX67" s="182"/>
      <c r="AY67" s="182"/>
      <c r="AZ67" s="182"/>
      <c r="BA67" s="182"/>
      <c r="BB67" s="182"/>
      <c r="BC67" s="182"/>
      <c r="BD67" s="182"/>
      <c r="BE67" s="182"/>
      <c r="BF67" s="182"/>
      <c r="BG67" s="145"/>
      <c r="BH67" s="160">
        <f ca="1">TblConstr[[#This Row],[Tot WG]]/TblConstr[[#This Row],[Land]]</f>
        <v>0</v>
      </c>
      <c r="BI67" s="160">
        <f ca="1">TblConstr[[#This Row],[Tot Hav]]/TblConstr[[#This Row],[Land]]</f>
        <v>0</v>
      </c>
      <c r="BJ67" s="97">
        <f ca="1">ROUNDUP((1-MIN(TblMili[[#This Row],[Smithies]]*smithy_bonus,smithy_bonus_cap) + tech_3_5*TblTech[[#This Row],[3-5]] + tech_5_3*TblTech[[#This Row],[5-3]] + tech_5_5*TblTech[[#This Row],[5-5]])*spec_op_plat,0)</f>
        <v>275</v>
      </c>
      <c r="BK67" s="97">
        <f ca="1">ROUNDUP(IF(race="Gnome",1,(1-MIN(TblMili[[#This Row],[Smithies]]*smithy_bonus,smithy_bonus_cap) + tech_3_5*TblTech[[#This Row],[3-5]] + tech_5_3*TblTech[[#This Row],[5-3]] + tech_5_5*TblTech[[#This Row],[5-5]]))*spec_op_ore,0)</f>
        <v>25</v>
      </c>
      <c r="BL67" s="97">
        <f ca="1">ROUNDUP((1-MIN(TblMili[[#This Row],[Smithies]]*smithy_bonus,smithy_bonus_cap) + tech_3_5*TblTech[[#This Row],[3-5]] + tech_5_3*TblTech[[#This Row],[5-3]] + tech_5_5*TblTech[[#This Row],[5-5]])*spec_dp_plat,0)</f>
        <v>275</v>
      </c>
      <c r="BM67" s="97">
        <f ca="1">ROUNDUP(IF(race="Gnome",1,(1-MIN(TblMili[[#This Row],[Smithies]]*smithy_bonus,smithy_bonus_cap) + tech_3_5*TblTech[[#This Row],[3-5]] + tech_5_3*TblTech[[#This Row],[5-3]] + tech_5_5*TblTech[[#This Row],[5-5]]))*spec_dp_ore,0)</f>
        <v>15</v>
      </c>
      <c r="BN67" s="97">
        <f ca="1">ROUNDUP((1-MIN(TblMili[[#This Row],[Smithies]]*smithy_bonus,smithy_bonus_cap) + tech_3_5*TblTech[[#This Row],[3-5]] + tech_5_3*TblTech[[#This Row],[5-3]] + tech_5_5*TblTech[[#This Row],[5-5]])*elite1_plat,0)</f>
        <v>1000</v>
      </c>
      <c r="BO67" s="97">
        <f ca="1">ROUNDUP(IF(race="Gnome",1,(1-MIN(TblMili[[#This Row],[Smithies]]*smithy_bonus,smithy_bonus_cap) + tech_3_5*TblTech[[#This Row],[3-5]] + tech_5_3*TblTech[[#This Row],[5-3]] + tech_5_5*TblTech[[#This Row],[5-5]]))*elite1_ore,0)</f>
        <v>75</v>
      </c>
      <c r="BP67" s="97">
        <f ca="1">ROUNDUP((1-MIN(TblMili[[#This Row],[Smithies]]*smithy_bonus,smithy_bonus_cap) + tech_3_5*TblTech[[#This Row],[3-5]] + tech_5_3*TblTech[[#This Row],[5-3]] + tech_5_5*TblTech[[#This Row],[5-5]])*elite2_plat,0)</f>
        <v>1250</v>
      </c>
      <c r="BQ67" s="97">
        <f ca="1">ROUNDUP(IF(race="Gnome",1,(1-MIN(TblMili[[#This Row],[Smithies]]*smithy_bonus,smithy_bonus_cap) + tech_3_5*TblTech[[#This Row],[3-5]] + tech_5_3*TblTech[[#This Row],[5-3]] + tech_5_5*TblTech[[#This Row],[5-5]]))*elite2_ore,0)</f>
        <v>100</v>
      </c>
      <c r="BR67" s="97">
        <f ca="1">ROUNDUP((1-MIN(ROUND(fh_spy_cost_red*TblMili[[#This Row],[FH''s]],4),fh_spy_cost_cap)+ tech_1_9*TblTech[[#This Row],[1-9]] + tech_9_1*TblTech[[#This Row],[9-1]])*spy_plat,0)</f>
        <v>500</v>
      </c>
      <c r="BS67" s="97">
        <f ca="1">ROUNDUP((1-MIN(ROUND(fh_spy_cost_red*TblMili[[#This Row],[FH''s]],4),fh_spy_cost_cap)+ tech_1_9*TblTech[[#This Row],[1-9]] + tech_9_1*TblTech[[#This Row],[9-1]])*archspy_plat,0)</f>
        <v>1000</v>
      </c>
      <c r="BT67" s="97">
        <f ca="1">ROUNDUP((1-MIN(ROUND(wg_wiz_cost_bonus*TblMili[[#This Row],[WG''s]],4),wg_wiz_cost_cap) + tech_1_9_2*TblTech[[#This Row],[1-9]] + tech_9_1_2*TblTech[[#This Row],[9-1]])*wizard_plat,0)</f>
        <v>500</v>
      </c>
      <c r="BU67" s="97">
        <f ca="1">ROUNDUP((1-MIN(ROUND(wg_wiz_cost_bonus*TblMili[[#This Row],[WG''s]],4),wg_wiz_cost_cap) + tech_1_9_2*TblTech[[#This Row],[1-9]] + tech_9_1_2*TblTech[[#This Row],[9-1]])*archmage_plat,0)</f>
        <v>1000</v>
      </c>
      <c r="BV67" s="145"/>
      <c r="BW67" s="160">
        <f ca="1">TblConstr[[#This Row],[Homeland]]/TblConstr[[#This Row],[Land]]</f>
        <v>0.44</v>
      </c>
      <c r="BX67" s="160">
        <f ca="1">TblMili[[#This Row],[WG''s]]</f>
        <v>0</v>
      </c>
      <c r="BY67" s="266">
        <f ca="1">IF(mystic_cap="none",TblMili[[#This Row],[Hill]]/mystic_bonus,MIN(mystic_cap,TblMili[[#This Row],[Hill]]/mystic_bonus))</f>
        <v>2.1999999999999997</v>
      </c>
      <c r="BZ67" s="266">
        <f ca="1">IF(druid_op_cap="none",TblMili[[#This Row],[Hill]]/druid_op_bonus,MIN(druid_op_cap,TblMili[[#This Row],[Hill]]/druid_op_bonus))</f>
        <v>2.1999999999999997</v>
      </c>
      <c r="CA67" s="266">
        <f ca="1">IF(druid_dp_cap="none",TblMili[[#This Row],[Hill]]/druid_dp_bonus,MIN(druid_dp_cap,TblMili[[#This Row],[Hill]]/druid_dp_bonus))</f>
        <v>2.1999999999999997</v>
      </c>
      <c r="CB67" s="266">
        <f ca="1">MIN(dryad_cap,TblMili[[#This Row],[Hill]]/dryad_bonus)</f>
        <v>2.1999999999999997</v>
      </c>
      <c r="CC67" s="266">
        <f ca="1">MIN(rocka_cap,TblMili[[#This Row],[Hill]]/rocka_bonus)</f>
        <v>2</v>
      </c>
      <c r="CD67" s="266">
        <f ca="1">MIN(adept_op_cap,TblMili[[#This Row],[WG]]/adept_op_bonus)</f>
        <v>0</v>
      </c>
      <c r="CE67" s="266">
        <f ca="1">MIN(adept_dp_cap,TblMili[[#This Row],[WG]]/adept_dp_bonus)</f>
        <v>0</v>
      </c>
      <c r="CF67" s="97">
        <f ca="1">MIN(TblMili[[#This Row],[Unit 3]],TblMili[[#This Row],[Unit 2]])*2</f>
        <v>0</v>
      </c>
      <c r="CG67" s="97">
        <f ca="1">MIN(TblMili[[#This Row],[Unit 1]],TblMili[[#This Row],[Unit 4]])*2</f>
        <v>0</v>
      </c>
      <c r="CH67" s="266">
        <f ca="1">MIN(frost_mage_cap,TblMili[[#This Row],[Hill]]/frost_mage_bonus)</f>
        <v>2.1999999999999997</v>
      </c>
      <c r="CI67" s="45">
        <f ca="1">MIN(ice_elem_cap,TblMili[[#This Row],[Raw (2)]]*ice_elem_bonus)</f>
        <v>0.1</v>
      </c>
      <c r="CJ67" s="266">
        <f t="shared" si="2"/>
        <v>0.83333333333333337</v>
      </c>
      <c r="CK67" s="266">
        <f ca="1">MIN(nox_nightshade_cap,TblConstr[[#This Row],[Homeland]]/TblConstr[[#This Row],[Land]]/nox_nightshade_swamp_bonus)</f>
        <v>4</v>
      </c>
      <c r="CL67" s="267"/>
      <c r="CM67" s="267"/>
      <c r="CN67" s="267"/>
      <c r="CO67" s="266">
        <f ca="1">MIN(6,TblMili[[#This Row],[Mystic]]+Races!$F$19)*1.8 +  IF(TblMili[[#This Row],[Mystic]]+Races!$F$19&gt;6,(TblMili[[#This Row],[Mystic]]+Races!$F$19-6)*0.2,0) - Races!$I$19</f>
        <v>3.6399999999999997</v>
      </c>
      <c r="CP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7" s="97">
        <f ca="1">TblMili[[#This Row],[Mystic bonus]]*TblMili[[#This Row],[Unit 3]]+TblMili[[#This Row],[Druid bonus]]*TblMili[[#This Row],[Unit 4]]</f>
        <v>0</v>
      </c>
      <c r="CR67" s="158">
        <f ca="1">MIN(6,TblMili[[#This Row],[Dryad]]+Races!$F$35)*1.8 +  IF(TblMili[[#This Row],[Dryad]]+Races!$F$35&gt;6,(TblMili[[#This Row],[Dryad]]+Races!$F$35-6)*0.2,0) - Races!$I$19</f>
        <v>2.1599999999999993</v>
      </c>
      <c r="CS67" s="97">
        <f ca="1">sylvan*(TblMili[[#This Row],[Mystic bonus]]*TblMili[[#This Row],[Unit 3]])</f>
        <v>0</v>
      </c>
      <c r="CT67" s="158">
        <f ca="1">1.8 * MIN(MAX(Races!$E$27,TblMili[[#This Row],[Rockapult]]+Races!$F$27),6)  +  0.45 * MIN(MIN(Races!$E$27,TblMili[[#This Row],[Rockapult]]+Races!$F$27),6)  +  0.2 * ( MAX(Races!$E$27-6,0) + MAX(TblMili[[#This Row],[Rockapult]]+Races!$F$27-6,0) )  -  Races!$I$20</f>
        <v>5.8500000000000005</v>
      </c>
      <c r="CU67" s="97">
        <f ca="1">gnome*(TblMili[[#This Row],[Rockapult bonus]]*TblMili[[#This Row],[Unit 3]])</f>
        <v>0</v>
      </c>
      <c r="CV67" s="158">
        <f ca="1">1.8 * MIN(MAX(TblMili[[#This Row],[Spellblade]]+Races!$E$47,TblMili[[#This Row],[Adept-DP]]+Races!$F$47),6)  +  0.45 * MIN(MIN(TblMili[[#This Row],[Spellblade]]+Races!$E$47,TblMili[[#This Row],[Adept-DP]]+Races!$F$47),6)  +  0.2 * ( MAX(TblMili[[#This Row],[Spellblade]]+Races!$E$47-6,0) + MAX(TblMili[[#This Row],[Adept-DP]]+Races!$F$47-6,0) )  -  Races!$I$47</f>
        <v>0</v>
      </c>
      <c r="CW67" s="97">
        <f ca="1">dark_elf*(TblMili[[#This Row],[Adept bonus]]*TblMili[[#This Row],[Unit 3]])</f>
        <v>0</v>
      </c>
      <c r="CX67" s="158">
        <f ca="1">1.8 * MIN(MAX(TblMili[[#This Row],[Frost Mage]]+Races!$F$71,Races!$E$71),6)  +  0.45 * MIN(MIN(TblMili[[#This Row],[Frost Mage]]+Races!$F$71,Races!$E$71),6)  +  0.2 * ( MAX(TblMili[[#This Row],[Frost Mage]]+Races!$F$71-6,0) + MAX(Races!$E$71-6,0) )  -  Races!$I$71</f>
        <v>3.9599999999999991</v>
      </c>
      <c r="CY67" s="158">
        <f ca="1">1.8 * MIN(MAX(TblMili[[#This Row],[Ice Elemental]]+Races!$E$71,Races!$F$71),6)  +  0.45 * MIN(MIN(TblMili[[#This Row],[Ice Elemental]]+Races!$E$71,Races!$F$71),6)  +  0.2 * ( MAX(TblMili[[#This Row],[Ice Elemental]]+Races!$E$71-6,0) + MAX(Races!$F$71-6,0) )  -  Races!$I$71</f>
        <v>0.17999999999999972</v>
      </c>
      <c r="CZ67" s="97">
        <f ca="1">TblMili[[#This Row],[Frost Mage bonus]]*TblMili[[#This Row],[Unit 3]]+TblMili[[#This Row],[Ice Elemental bonus]]*TblMili[[#This Row],[Unit 4]]</f>
        <v>0</v>
      </c>
      <c r="DA67" s="268"/>
      <c r="DB67" s="146">
        <f ca="1">MIN(SUM(TblConstr[[#This Row],[Plain]:[Water]])/TblMili[[#This Row],[Land]]/favorable_terrain_bonus/100,favorable_terrain_max)</f>
        <v>0.1</v>
      </c>
      <c r="DC67" s="268"/>
      <c r="DD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7" s="145"/>
      <c r="DF67" s="269">
        <f ca="1">(TblMili[[#This Row],[Wizards]]+2*TblMili[[#This Row],[Archmages]])/TblConstr[[#This Row],[Land]]</f>
        <v>0.1</v>
      </c>
      <c r="DG67" s="269">
        <f ca="1">TblMili[[#This Row],[Raw (2)]]*(1+race_wizard_strength+IF(TblMili[[#This Row],[Hour]]&gt;72,tech_magical_weaponry_wiz*TblTech[[#This Row],[3-5]],0))</f>
        <v>0.1</v>
      </c>
    </row>
    <row r="68" spans="1:111"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45460.666666666511</v>
      </c>
      <c r="AG68" s="161"/>
      <c r="AH68" s="161"/>
      <c r="AI68" s="182"/>
      <c r="AJ68" s="182"/>
      <c r="AK68" s="182"/>
      <c r="AL68" s="182"/>
      <c r="AM68" s="182"/>
      <c r="AN68" s="182"/>
      <c r="AO68" s="449">
        <f ca="1">IF(AND(TblMagic[[#This Row],[Active DnD]]&lt;12,TblMagic[[#This Row],[Active DnD]]&gt;5),OFFSET(TblPop[[#This Row],[Draft Growth]],-1,0)/2,0)</f>
        <v>0</v>
      </c>
      <c r="AP68" s="145"/>
      <c r="AQ68" s="97">
        <f ca="1">TblProd[[#This Row],[Platinum]]</f>
        <v>471982</v>
      </c>
      <c r="AR68" s="97">
        <f ca="1">INDEX(TblProd[[#Headers],[Lumber]]:TblProd[[#This Row],[Ore]],COUNTA(TblProd[[#Headers],[Lumber]]:TblProd[[#This Row],[Lumber]]),MATCH(Military!$AQ$2,TblProd[[#Headers],[Lumber]:[Ore]],0))</f>
        <v>0</v>
      </c>
      <c r="AS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7">
        <f ca="1">TblMili[[#This Row],[Train Unit 1]]*TblMili[[#This Row],[OP Ore]]+TblMili[[#This Row],[Train Unit 2]]*TblMili[[#This Row],[DP Ore]]+TblMili[[#This Row],[Train Unit 3]]*TblMili[[#This Row],[E1 Ore]]+TblMili[[#This Row],[Train Unit 4]]*TblMili[[#This Row],[E2 Ore]]</f>
        <v>0</v>
      </c>
      <c r="AU68" s="145">
        <f>TblMili[[#This Row],[Hour]]</f>
        <v>65</v>
      </c>
      <c r="AV68" s="155">
        <f ca="1">TblMili[[#This Row],[Time]]</f>
        <v>45460.666666666511</v>
      </c>
      <c r="AW68" s="97">
        <f ca="1">TblMili[[#This Row],[Draftees]]</f>
        <v>626</v>
      </c>
      <c r="AX68" s="182"/>
      <c r="AY68" s="182"/>
      <c r="AZ68" s="182"/>
      <c r="BA68" s="182"/>
      <c r="BB68" s="182"/>
      <c r="BC68" s="182"/>
      <c r="BD68" s="182"/>
      <c r="BE68" s="182"/>
      <c r="BF68" s="182"/>
      <c r="BG68" s="145"/>
      <c r="BH68" s="160">
        <f ca="1">TblConstr[[#This Row],[Tot WG]]/TblConstr[[#This Row],[Land]]</f>
        <v>0</v>
      </c>
      <c r="BI68" s="160">
        <f ca="1">TblConstr[[#This Row],[Tot Hav]]/TblConstr[[#This Row],[Land]]</f>
        <v>0</v>
      </c>
      <c r="BJ68" s="97">
        <f ca="1">ROUNDUP((1-MIN(TblMili[[#This Row],[Smithies]]*smithy_bonus,smithy_bonus_cap) + tech_3_5*TblTech[[#This Row],[3-5]] + tech_5_3*TblTech[[#This Row],[5-3]] + tech_5_5*TblTech[[#This Row],[5-5]])*spec_op_plat,0)</f>
        <v>275</v>
      </c>
      <c r="BK68" s="97">
        <f ca="1">ROUNDUP(IF(race="Gnome",1,(1-MIN(TblMili[[#This Row],[Smithies]]*smithy_bonus,smithy_bonus_cap) + tech_3_5*TblTech[[#This Row],[3-5]] + tech_5_3*TblTech[[#This Row],[5-3]] + tech_5_5*TblTech[[#This Row],[5-5]]))*spec_op_ore,0)</f>
        <v>25</v>
      </c>
      <c r="BL68" s="97">
        <f ca="1">ROUNDUP((1-MIN(TblMili[[#This Row],[Smithies]]*smithy_bonus,smithy_bonus_cap) + tech_3_5*TblTech[[#This Row],[3-5]] + tech_5_3*TblTech[[#This Row],[5-3]] + tech_5_5*TblTech[[#This Row],[5-5]])*spec_dp_plat,0)</f>
        <v>275</v>
      </c>
      <c r="BM68" s="97">
        <f ca="1">ROUNDUP(IF(race="Gnome",1,(1-MIN(TblMili[[#This Row],[Smithies]]*smithy_bonus,smithy_bonus_cap) + tech_3_5*TblTech[[#This Row],[3-5]] + tech_5_3*TblTech[[#This Row],[5-3]] + tech_5_5*TblTech[[#This Row],[5-5]]))*spec_dp_ore,0)</f>
        <v>15</v>
      </c>
      <c r="BN68" s="97">
        <f ca="1">ROUNDUP((1-MIN(TblMili[[#This Row],[Smithies]]*smithy_bonus,smithy_bonus_cap) + tech_3_5*TblTech[[#This Row],[3-5]] + tech_5_3*TblTech[[#This Row],[5-3]] + tech_5_5*TblTech[[#This Row],[5-5]])*elite1_plat,0)</f>
        <v>1000</v>
      </c>
      <c r="BO68" s="97">
        <f ca="1">ROUNDUP(IF(race="Gnome",1,(1-MIN(TblMili[[#This Row],[Smithies]]*smithy_bonus,smithy_bonus_cap) + tech_3_5*TblTech[[#This Row],[3-5]] + tech_5_3*TblTech[[#This Row],[5-3]] + tech_5_5*TblTech[[#This Row],[5-5]]))*elite1_ore,0)</f>
        <v>75</v>
      </c>
      <c r="BP68" s="97">
        <f ca="1">ROUNDUP((1-MIN(TblMili[[#This Row],[Smithies]]*smithy_bonus,smithy_bonus_cap) + tech_3_5*TblTech[[#This Row],[3-5]] + tech_5_3*TblTech[[#This Row],[5-3]] + tech_5_5*TblTech[[#This Row],[5-5]])*elite2_plat,0)</f>
        <v>1250</v>
      </c>
      <c r="BQ68" s="97">
        <f ca="1">ROUNDUP(IF(race="Gnome",1,(1-MIN(TblMili[[#This Row],[Smithies]]*smithy_bonus,smithy_bonus_cap) + tech_3_5*TblTech[[#This Row],[3-5]] + tech_5_3*TblTech[[#This Row],[5-3]] + tech_5_5*TblTech[[#This Row],[5-5]]))*elite2_ore,0)</f>
        <v>100</v>
      </c>
      <c r="BR68" s="97">
        <f ca="1">ROUNDUP((1-MIN(ROUND(fh_spy_cost_red*TblMili[[#This Row],[FH''s]],4),fh_spy_cost_cap)+ tech_1_9*TblTech[[#This Row],[1-9]] + tech_9_1*TblTech[[#This Row],[9-1]])*spy_plat,0)</f>
        <v>500</v>
      </c>
      <c r="BS68" s="97">
        <f ca="1">ROUNDUP((1-MIN(ROUND(fh_spy_cost_red*TblMili[[#This Row],[FH''s]],4),fh_spy_cost_cap)+ tech_1_9*TblTech[[#This Row],[1-9]] + tech_9_1*TblTech[[#This Row],[9-1]])*archspy_plat,0)</f>
        <v>1000</v>
      </c>
      <c r="BT68" s="97">
        <f ca="1">ROUNDUP((1-MIN(ROUND(wg_wiz_cost_bonus*TblMili[[#This Row],[WG''s]],4),wg_wiz_cost_cap) + tech_1_9_2*TblTech[[#This Row],[1-9]] + tech_9_1_2*TblTech[[#This Row],[9-1]])*wizard_plat,0)</f>
        <v>500</v>
      </c>
      <c r="BU68" s="97">
        <f ca="1">ROUNDUP((1-MIN(ROUND(wg_wiz_cost_bonus*TblMili[[#This Row],[WG''s]],4),wg_wiz_cost_cap) + tech_1_9_2*TblTech[[#This Row],[1-9]] + tech_9_1_2*TblTech[[#This Row],[9-1]])*archmage_plat,0)</f>
        <v>1000</v>
      </c>
      <c r="BV68" s="145"/>
      <c r="BW68" s="160">
        <f ca="1">TblConstr[[#This Row],[Homeland]]/TblConstr[[#This Row],[Land]]</f>
        <v>0.44</v>
      </c>
      <c r="BX68" s="160">
        <f ca="1">TblMili[[#This Row],[WG''s]]</f>
        <v>0</v>
      </c>
      <c r="BY68" s="266">
        <f ca="1">IF(mystic_cap="none",TblMili[[#This Row],[Hill]]/mystic_bonus,MIN(mystic_cap,TblMili[[#This Row],[Hill]]/mystic_bonus))</f>
        <v>2.1999999999999997</v>
      </c>
      <c r="BZ68" s="266">
        <f ca="1">IF(druid_op_cap="none",TblMili[[#This Row],[Hill]]/druid_op_bonus,MIN(druid_op_cap,TblMili[[#This Row],[Hill]]/druid_op_bonus))</f>
        <v>2.1999999999999997</v>
      </c>
      <c r="CA68" s="266">
        <f ca="1">IF(druid_dp_cap="none",TblMili[[#This Row],[Hill]]/druid_dp_bonus,MIN(druid_dp_cap,TblMili[[#This Row],[Hill]]/druid_dp_bonus))</f>
        <v>2.1999999999999997</v>
      </c>
      <c r="CB68" s="266">
        <f ca="1">MIN(dryad_cap,TblMili[[#This Row],[Hill]]/dryad_bonus)</f>
        <v>2.1999999999999997</v>
      </c>
      <c r="CC68" s="266">
        <f ca="1">MIN(rocka_cap,TblMili[[#This Row],[Hill]]/rocka_bonus)</f>
        <v>2</v>
      </c>
      <c r="CD68" s="266">
        <f ca="1">MIN(adept_op_cap,TblMili[[#This Row],[WG]]/adept_op_bonus)</f>
        <v>0</v>
      </c>
      <c r="CE68" s="266">
        <f ca="1">MIN(adept_dp_cap,TblMili[[#This Row],[WG]]/adept_dp_bonus)</f>
        <v>0</v>
      </c>
      <c r="CF68" s="97">
        <f ca="1">MIN(TblMili[[#This Row],[Unit 3]],TblMili[[#This Row],[Unit 2]])*2</f>
        <v>0</v>
      </c>
      <c r="CG68" s="97">
        <f ca="1">MIN(TblMili[[#This Row],[Unit 1]],TblMili[[#This Row],[Unit 4]])*2</f>
        <v>0</v>
      </c>
      <c r="CH68" s="266">
        <f ca="1">MIN(frost_mage_cap,TblMili[[#This Row],[Hill]]/frost_mage_bonus)</f>
        <v>2.1999999999999997</v>
      </c>
      <c r="CI68" s="45">
        <f ca="1">MIN(ice_elem_cap,TblMili[[#This Row],[Raw (2)]]*ice_elem_bonus)</f>
        <v>0.1</v>
      </c>
      <c r="CJ68" s="266">
        <f t="shared" ref="CJ68:CJ99" si="3">MIN(bone_breaker_cap,250/bone_breaker_bonus)</f>
        <v>0.83333333333333337</v>
      </c>
      <c r="CK68" s="266">
        <f ca="1">MIN(nox_nightshade_cap,TblConstr[[#This Row],[Homeland]]/TblConstr[[#This Row],[Land]]/nox_nightshade_swamp_bonus)</f>
        <v>4</v>
      </c>
      <c r="CL68" s="267"/>
      <c r="CM68" s="267"/>
      <c r="CN68" s="267"/>
      <c r="CO68" s="266">
        <f ca="1">MIN(6,TblMili[[#This Row],[Mystic]]+Races!$F$19)*1.8 +  IF(TblMili[[#This Row],[Mystic]]+Races!$F$19&gt;6,(TblMili[[#This Row],[Mystic]]+Races!$F$19-6)*0.2,0) - Races!$I$19</f>
        <v>3.6399999999999997</v>
      </c>
      <c r="CP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8" s="97">
        <f ca="1">TblMili[[#This Row],[Mystic bonus]]*TblMili[[#This Row],[Unit 3]]+TblMili[[#This Row],[Druid bonus]]*TblMili[[#This Row],[Unit 4]]</f>
        <v>0</v>
      </c>
      <c r="CR68" s="158">
        <f ca="1">MIN(6,TblMili[[#This Row],[Dryad]]+Races!$F$35)*1.8 +  IF(TblMili[[#This Row],[Dryad]]+Races!$F$35&gt;6,(TblMili[[#This Row],[Dryad]]+Races!$F$35-6)*0.2,0) - Races!$I$19</f>
        <v>2.1599999999999993</v>
      </c>
      <c r="CS68" s="97">
        <f ca="1">sylvan*(TblMili[[#This Row],[Mystic bonus]]*TblMili[[#This Row],[Unit 3]])</f>
        <v>0</v>
      </c>
      <c r="CT68" s="158">
        <f ca="1">1.8 * MIN(MAX(Races!$E$27,TblMili[[#This Row],[Rockapult]]+Races!$F$27),6)  +  0.45 * MIN(MIN(Races!$E$27,TblMili[[#This Row],[Rockapult]]+Races!$F$27),6)  +  0.2 * ( MAX(Races!$E$27-6,0) + MAX(TblMili[[#This Row],[Rockapult]]+Races!$F$27-6,0) )  -  Races!$I$20</f>
        <v>5.8500000000000005</v>
      </c>
      <c r="CU68" s="97">
        <f ca="1">gnome*(TblMili[[#This Row],[Rockapult bonus]]*TblMili[[#This Row],[Unit 3]])</f>
        <v>0</v>
      </c>
      <c r="CV68" s="158">
        <f ca="1">1.8 * MIN(MAX(TblMili[[#This Row],[Spellblade]]+Races!$E$47,TblMili[[#This Row],[Adept-DP]]+Races!$F$47),6)  +  0.45 * MIN(MIN(TblMili[[#This Row],[Spellblade]]+Races!$E$47,TblMili[[#This Row],[Adept-DP]]+Races!$F$47),6)  +  0.2 * ( MAX(TblMili[[#This Row],[Spellblade]]+Races!$E$47-6,0) + MAX(TblMili[[#This Row],[Adept-DP]]+Races!$F$47-6,0) )  -  Races!$I$47</f>
        <v>0</v>
      </c>
      <c r="CW68" s="97">
        <f ca="1">dark_elf*(TblMili[[#This Row],[Adept bonus]]*TblMili[[#This Row],[Unit 3]])</f>
        <v>0</v>
      </c>
      <c r="CX68" s="158">
        <f ca="1">1.8 * MIN(MAX(TblMili[[#This Row],[Frost Mage]]+Races!$F$71,Races!$E$71),6)  +  0.45 * MIN(MIN(TblMili[[#This Row],[Frost Mage]]+Races!$F$71,Races!$E$71),6)  +  0.2 * ( MAX(TblMili[[#This Row],[Frost Mage]]+Races!$F$71-6,0) + MAX(Races!$E$71-6,0) )  -  Races!$I$71</f>
        <v>3.9599999999999991</v>
      </c>
      <c r="CY68" s="158">
        <f ca="1">1.8 * MIN(MAX(TblMili[[#This Row],[Ice Elemental]]+Races!$E$71,Races!$F$71),6)  +  0.45 * MIN(MIN(TblMili[[#This Row],[Ice Elemental]]+Races!$E$71,Races!$F$71),6)  +  0.2 * ( MAX(TblMili[[#This Row],[Ice Elemental]]+Races!$E$71-6,0) + MAX(Races!$F$71-6,0) )  -  Races!$I$71</f>
        <v>0.17999999999999972</v>
      </c>
      <c r="CZ68" s="97">
        <f ca="1">TblMili[[#This Row],[Frost Mage bonus]]*TblMili[[#This Row],[Unit 3]]+TblMili[[#This Row],[Ice Elemental bonus]]*TblMili[[#This Row],[Unit 4]]</f>
        <v>0</v>
      </c>
      <c r="DA68" s="268"/>
      <c r="DB68" s="146">
        <f ca="1">MIN(SUM(TblConstr[[#This Row],[Plain]:[Water]])/TblMili[[#This Row],[Land]]/favorable_terrain_bonus/100,favorable_terrain_max)</f>
        <v>0.1</v>
      </c>
      <c r="DC68" s="268"/>
      <c r="DD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8" s="145"/>
      <c r="DF68" s="269">
        <f ca="1">(TblMili[[#This Row],[Wizards]]+2*TblMili[[#This Row],[Archmages]])/TblConstr[[#This Row],[Land]]</f>
        <v>0.1</v>
      </c>
      <c r="DG68" s="269">
        <f ca="1">TblMili[[#This Row],[Raw (2)]]*(1+race_wizard_strength+IF(TblMili[[#This Row],[Hour]]&gt;72,tech_magical_weaponry_wiz*TblTech[[#This Row],[3-5]],0))</f>
        <v>0.1</v>
      </c>
    </row>
    <row r="69" spans="1:111"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45460.708333333176</v>
      </c>
      <c r="AG69" s="182"/>
      <c r="AH69" s="161"/>
      <c r="AI69" s="182"/>
      <c r="AJ69" s="182"/>
      <c r="AK69" s="182"/>
      <c r="AL69" s="182"/>
      <c r="AM69" s="182"/>
      <c r="AN69" s="182"/>
      <c r="AO69" s="449">
        <f ca="1">IF(AND(TblMagic[[#This Row],[Active DnD]]&lt;12,TblMagic[[#This Row],[Active DnD]]&gt;5),OFFSET(TblPop[[#This Row],[Draft Growth]],-1,0)/2,0)</f>
        <v>0</v>
      </c>
      <c r="AP69" s="145"/>
      <c r="AQ69" s="97">
        <f ca="1">TblProd[[#This Row],[Platinum]]</f>
        <v>477468</v>
      </c>
      <c r="AR69" s="97">
        <f ca="1">INDEX(TblProd[[#Headers],[Lumber]]:TblProd[[#This Row],[Ore]],COUNTA(TblProd[[#Headers],[Lumber]]:TblProd[[#This Row],[Lumber]]),MATCH(Military!$AQ$2,TblProd[[#Headers],[Lumber]:[Ore]],0))</f>
        <v>0</v>
      </c>
      <c r="AS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7">
        <f ca="1">TblMili[[#This Row],[Train Unit 1]]*TblMili[[#This Row],[OP Ore]]+TblMili[[#This Row],[Train Unit 2]]*TblMili[[#This Row],[DP Ore]]+TblMili[[#This Row],[Train Unit 3]]*TblMili[[#This Row],[E1 Ore]]+TblMili[[#This Row],[Train Unit 4]]*TblMili[[#This Row],[E2 Ore]]</f>
        <v>0</v>
      </c>
      <c r="AU69" s="145">
        <f>TblMili[[#This Row],[Hour]]</f>
        <v>66</v>
      </c>
      <c r="AV69" s="155">
        <f ca="1">TblMili[[#This Row],[Time]]</f>
        <v>45460.708333333176</v>
      </c>
      <c r="AW69" s="97">
        <f ca="1">TblMili[[#This Row],[Draftees]]</f>
        <v>626</v>
      </c>
      <c r="AX69" s="182"/>
      <c r="AY69" s="182"/>
      <c r="AZ69" s="182"/>
      <c r="BA69" s="182"/>
      <c r="BB69" s="182"/>
      <c r="BC69" s="182"/>
      <c r="BD69" s="182"/>
      <c r="BE69" s="182"/>
      <c r="BF69" s="182"/>
      <c r="BG69" s="145"/>
      <c r="BH69" s="160">
        <f ca="1">TblConstr[[#This Row],[Tot WG]]/TblConstr[[#This Row],[Land]]</f>
        <v>0</v>
      </c>
      <c r="BI69" s="160">
        <f ca="1">TblConstr[[#This Row],[Tot Hav]]/TblConstr[[#This Row],[Land]]</f>
        <v>0</v>
      </c>
      <c r="BJ69" s="97">
        <f ca="1">ROUNDUP((1-MIN(TblMili[[#This Row],[Smithies]]*smithy_bonus,smithy_bonus_cap) + tech_3_5*TblTech[[#This Row],[3-5]] + tech_5_3*TblTech[[#This Row],[5-3]] + tech_5_5*TblTech[[#This Row],[5-5]])*spec_op_plat,0)</f>
        <v>275</v>
      </c>
      <c r="BK69" s="97">
        <f ca="1">ROUNDUP(IF(race="Gnome",1,(1-MIN(TblMili[[#This Row],[Smithies]]*smithy_bonus,smithy_bonus_cap) + tech_3_5*TblTech[[#This Row],[3-5]] + tech_5_3*TblTech[[#This Row],[5-3]] + tech_5_5*TblTech[[#This Row],[5-5]]))*spec_op_ore,0)</f>
        <v>25</v>
      </c>
      <c r="BL69" s="97">
        <f ca="1">ROUNDUP((1-MIN(TblMili[[#This Row],[Smithies]]*smithy_bonus,smithy_bonus_cap) + tech_3_5*TblTech[[#This Row],[3-5]] + tech_5_3*TblTech[[#This Row],[5-3]] + tech_5_5*TblTech[[#This Row],[5-5]])*spec_dp_plat,0)</f>
        <v>275</v>
      </c>
      <c r="BM69" s="97">
        <f ca="1">ROUNDUP(IF(race="Gnome",1,(1-MIN(TblMili[[#This Row],[Smithies]]*smithy_bonus,smithy_bonus_cap) + tech_3_5*TblTech[[#This Row],[3-5]] + tech_5_3*TblTech[[#This Row],[5-3]] + tech_5_5*TblTech[[#This Row],[5-5]]))*spec_dp_ore,0)</f>
        <v>15</v>
      </c>
      <c r="BN69" s="97">
        <f ca="1">ROUNDUP((1-MIN(TblMili[[#This Row],[Smithies]]*smithy_bonus,smithy_bonus_cap) + tech_3_5*TblTech[[#This Row],[3-5]] + tech_5_3*TblTech[[#This Row],[5-3]] + tech_5_5*TblTech[[#This Row],[5-5]])*elite1_plat,0)</f>
        <v>1000</v>
      </c>
      <c r="BO69" s="97">
        <f ca="1">ROUNDUP(IF(race="Gnome",1,(1-MIN(TblMili[[#This Row],[Smithies]]*smithy_bonus,smithy_bonus_cap) + tech_3_5*TblTech[[#This Row],[3-5]] + tech_5_3*TblTech[[#This Row],[5-3]] + tech_5_5*TblTech[[#This Row],[5-5]]))*elite1_ore,0)</f>
        <v>75</v>
      </c>
      <c r="BP69" s="97">
        <f ca="1">ROUNDUP((1-MIN(TblMili[[#This Row],[Smithies]]*smithy_bonus,smithy_bonus_cap) + tech_3_5*TblTech[[#This Row],[3-5]] + tech_5_3*TblTech[[#This Row],[5-3]] + tech_5_5*TblTech[[#This Row],[5-5]])*elite2_plat,0)</f>
        <v>1250</v>
      </c>
      <c r="BQ69" s="97">
        <f ca="1">ROUNDUP(IF(race="Gnome",1,(1-MIN(TblMili[[#This Row],[Smithies]]*smithy_bonus,smithy_bonus_cap) + tech_3_5*TblTech[[#This Row],[3-5]] + tech_5_3*TblTech[[#This Row],[5-3]] + tech_5_5*TblTech[[#This Row],[5-5]]))*elite2_ore,0)</f>
        <v>100</v>
      </c>
      <c r="BR69" s="97">
        <f ca="1">ROUNDUP((1-MIN(ROUND(fh_spy_cost_red*TblMili[[#This Row],[FH''s]],4),fh_spy_cost_cap)+ tech_1_9*TblTech[[#This Row],[1-9]] + tech_9_1*TblTech[[#This Row],[9-1]])*spy_plat,0)</f>
        <v>500</v>
      </c>
      <c r="BS69" s="97">
        <f ca="1">ROUNDUP((1-MIN(ROUND(fh_spy_cost_red*TblMili[[#This Row],[FH''s]],4),fh_spy_cost_cap)+ tech_1_9*TblTech[[#This Row],[1-9]] + tech_9_1*TblTech[[#This Row],[9-1]])*archspy_plat,0)</f>
        <v>1000</v>
      </c>
      <c r="BT69" s="97">
        <f ca="1">ROUNDUP((1-MIN(ROUND(wg_wiz_cost_bonus*TblMili[[#This Row],[WG''s]],4),wg_wiz_cost_cap) + tech_1_9_2*TblTech[[#This Row],[1-9]] + tech_9_1_2*TblTech[[#This Row],[9-1]])*wizard_plat,0)</f>
        <v>500</v>
      </c>
      <c r="BU69" s="97">
        <f ca="1">ROUNDUP((1-MIN(ROUND(wg_wiz_cost_bonus*TblMili[[#This Row],[WG''s]],4),wg_wiz_cost_cap) + tech_1_9_2*TblTech[[#This Row],[1-9]] + tech_9_1_2*TblTech[[#This Row],[9-1]])*archmage_plat,0)</f>
        <v>1000</v>
      </c>
      <c r="BV69" s="145"/>
      <c r="BW69" s="160">
        <f ca="1">TblConstr[[#This Row],[Homeland]]/TblConstr[[#This Row],[Land]]</f>
        <v>0.44</v>
      </c>
      <c r="BX69" s="160">
        <f ca="1">TblMili[[#This Row],[WG''s]]</f>
        <v>0</v>
      </c>
      <c r="BY69" s="266">
        <f ca="1">IF(mystic_cap="none",TblMili[[#This Row],[Hill]]/mystic_bonus,MIN(mystic_cap,TblMili[[#This Row],[Hill]]/mystic_bonus))</f>
        <v>2.1999999999999997</v>
      </c>
      <c r="BZ69" s="266">
        <f ca="1">IF(druid_op_cap="none",TblMili[[#This Row],[Hill]]/druid_op_bonus,MIN(druid_op_cap,TblMili[[#This Row],[Hill]]/druid_op_bonus))</f>
        <v>2.1999999999999997</v>
      </c>
      <c r="CA69" s="266">
        <f ca="1">IF(druid_dp_cap="none",TblMili[[#This Row],[Hill]]/druid_dp_bonus,MIN(druid_dp_cap,TblMili[[#This Row],[Hill]]/druid_dp_bonus))</f>
        <v>2.1999999999999997</v>
      </c>
      <c r="CB69" s="266">
        <f ca="1">MIN(dryad_cap,TblMili[[#This Row],[Hill]]/dryad_bonus)</f>
        <v>2.1999999999999997</v>
      </c>
      <c r="CC69" s="266">
        <f ca="1">MIN(rocka_cap,TblMili[[#This Row],[Hill]]/rocka_bonus)</f>
        <v>2</v>
      </c>
      <c r="CD69" s="266">
        <f ca="1">MIN(adept_op_cap,TblMili[[#This Row],[WG]]/adept_op_bonus)</f>
        <v>0</v>
      </c>
      <c r="CE69" s="266">
        <f ca="1">MIN(adept_dp_cap,TblMili[[#This Row],[WG]]/adept_dp_bonus)</f>
        <v>0</v>
      </c>
      <c r="CF69" s="97">
        <f ca="1">MIN(TblMili[[#This Row],[Unit 3]],TblMili[[#This Row],[Unit 2]])*2</f>
        <v>0</v>
      </c>
      <c r="CG69" s="97">
        <f ca="1">MIN(TblMili[[#This Row],[Unit 1]],TblMili[[#This Row],[Unit 4]])*2</f>
        <v>0</v>
      </c>
      <c r="CH69" s="266">
        <f ca="1">MIN(frost_mage_cap,TblMili[[#This Row],[Hill]]/frost_mage_bonus)</f>
        <v>2.1999999999999997</v>
      </c>
      <c r="CI69" s="45">
        <f ca="1">MIN(ice_elem_cap,TblMili[[#This Row],[Raw (2)]]*ice_elem_bonus)</f>
        <v>0.1</v>
      </c>
      <c r="CJ69" s="266">
        <f t="shared" si="3"/>
        <v>0.83333333333333337</v>
      </c>
      <c r="CK69" s="266">
        <f ca="1">MIN(nox_nightshade_cap,TblConstr[[#This Row],[Homeland]]/TblConstr[[#This Row],[Land]]/nox_nightshade_swamp_bonus)</f>
        <v>4</v>
      </c>
      <c r="CL69" s="267"/>
      <c r="CM69" s="267"/>
      <c r="CN69" s="267"/>
      <c r="CO69" s="266">
        <f ca="1">MIN(6,TblMili[[#This Row],[Mystic]]+Races!$F$19)*1.8 +  IF(TblMili[[#This Row],[Mystic]]+Races!$F$19&gt;6,(TblMili[[#This Row],[Mystic]]+Races!$F$19-6)*0.2,0) - Races!$I$19</f>
        <v>3.6399999999999997</v>
      </c>
      <c r="CP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9" s="97">
        <f ca="1">TblMili[[#This Row],[Mystic bonus]]*TblMili[[#This Row],[Unit 3]]+TblMili[[#This Row],[Druid bonus]]*TblMili[[#This Row],[Unit 4]]</f>
        <v>0</v>
      </c>
      <c r="CR69" s="158">
        <f ca="1">MIN(6,TblMili[[#This Row],[Dryad]]+Races!$F$35)*1.8 +  IF(TblMili[[#This Row],[Dryad]]+Races!$F$35&gt;6,(TblMili[[#This Row],[Dryad]]+Races!$F$35-6)*0.2,0) - Races!$I$19</f>
        <v>2.1599999999999993</v>
      </c>
      <c r="CS69" s="97">
        <f ca="1">sylvan*(TblMili[[#This Row],[Mystic bonus]]*TblMili[[#This Row],[Unit 3]])</f>
        <v>0</v>
      </c>
      <c r="CT69" s="158">
        <f ca="1">1.8 * MIN(MAX(Races!$E$27,TblMili[[#This Row],[Rockapult]]+Races!$F$27),6)  +  0.45 * MIN(MIN(Races!$E$27,TblMili[[#This Row],[Rockapult]]+Races!$F$27),6)  +  0.2 * ( MAX(Races!$E$27-6,0) + MAX(TblMili[[#This Row],[Rockapult]]+Races!$F$27-6,0) )  -  Races!$I$20</f>
        <v>5.8500000000000005</v>
      </c>
      <c r="CU69" s="97">
        <f ca="1">gnome*(TblMili[[#This Row],[Rockapult bonus]]*TblMili[[#This Row],[Unit 3]])</f>
        <v>0</v>
      </c>
      <c r="CV69" s="158">
        <f ca="1">1.8 * MIN(MAX(TblMili[[#This Row],[Spellblade]]+Races!$E$47,TblMili[[#This Row],[Adept-DP]]+Races!$F$47),6)  +  0.45 * MIN(MIN(TblMili[[#This Row],[Spellblade]]+Races!$E$47,TblMili[[#This Row],[Adept-DP]]+Races!$F$47),6)  +  0.2 * ( MAX(TblMili[[#This Row],[Spellblade]]+Races!$E$47-6,0) + MAX(TblMili[[#This Row],[Adept-DP]]+Races!$F$47-6,0) )  -  Races!$I$47</f>
        <v>0</v>
      </c>
      <c r="CW69" s="97">
        <f ca="1">dark_elf*(TblMili[[#This Row],[Adept bonus]]*TblMili[[#This Row],[Unit 3]])</f>
        <v>0</v>
      </c>
      <c r="CX69" s="158">
        <f ca="1">1.8 * MIN(MAX(TblMili[[#This Row],[Frost Mage]]+Races!$F$71,Races!$E$71),6)  +  0.45 * MIN(MIN(TblMili[[#This Row],[Frost Mage]]+Races!$F$71,Races!$E$71),6)  +  0.2 * ( MAX(TblMili[[#This Row],[Frost Mage]]+Races!$F$71-6,0) + MAX(Races!$E$71-6,0) )  -  Races!$I$71</f>
        <v>3.9599999999999991</v>
      </c>
      <c r="CY69" s="158">
        <f ca="1">1.8 * MIN(MAX(TblMili[[#This Row],[Ice Elemental]]+Races!$E$71,Races!$F$71),6)  +  0.45 * MIN(MIN(TblMili[[#This Row],[Ice Elemental]]+Races!$E$71,Races!$F$71),6)  +  0.2 * ( MAX(TblMili[[#This Row],[Ice Elemental]]+Races!$E$71-6,0) + MAX(Races!$F$71-6,0) )  -  Races!$I$71</f>
        <v>0.17999999999999972</v>
      </c>
      <c r="CZ69" s="97">
        <f ca="1">TblMili[[#This Row],[Frost Mage bonus]]*TblMili[[#This Row],[Unit 3]]+TblMili[[#This Row],[Ice Elemental bonus]]*TblMili[[#This Row],[Unit 4]]</f>
        <v>0</v>
      </c>
      <c r="DA69" s="268"/>
      <c r="DB69" s="146">
        <f ca="1">MIN(SUM(TblConstr[[#This Row],[Plain]:[Water]])/TblMili[[#This Row],[Land]]/favorable_terrain_bonus/100,favorable_terrain_max)</f>
        <v>0.1</v>
      </c>
      <c r="DC69" s="268"/>
      <c r="DD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9" s="145"/>
      <c r="DF69" s="269">
        <f ca="1">(TblMili[[#This Row],[Wizards]]+2*TblMili[[#This Row],[Archmages]])/TblConstr[[#This Row],[Land]]</f>
        <v>0.1</v>
      </c>
      <c r="DG69" s="269">
        <f ca="1">TblMili[[#This Row],[Raw (2)]]*(1+race_wizard_strength+IF(TblMili[[#This Row],[Hour]]&gt;72,tech_magical_weaponry_wiz*TblTech[[#This Row],[3-5]],0))</f>
        <v>0.1</v>
      </c>
    </row>
    <row r="70" spans="1:111"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45460.74999999984</v>
      </c>
      <c r="AG70" s="182"/>
      <c r="AH70" s="161"/>
      <c r="AI70" s="182"/>
      <c r="AJ70" s="182"/>
      <c r="AK70" s="182"/>
      <c r="AL70" s="182"/>
      <c r="AM70" s="182"/>
      <c r="AN70" s="182"/>
      <c r="AO70" s="449">
        <f ca="1">IF(AND(TblMagic[[#This Row],[Active DnD]]&lt;12,TblMagic[[#This Row],[Active DnD]]&gt;5),OFFSET(TblPop[[#This Row],[Draft Growth]],-1,0)/2,0)</f>
        <v>0</v>
      </c>
      <c r="AP70" s="145"/>
      <c r="AQ70" s="97">
        <f ca="1">TblProd[[#This Row],[Platinum]]</f>
        <v>482954</v>
      </c>
      <c r="AR70" s="97">
        <f ca="1">INDEX(TblProd[[#Headers],[Lumber]]:TblProd[[#This Row],[Ore]],COUNTA(TblProd[[#Headers],[Lumber]]:TblProd[[#This Row],[Lumber]]),MATCH(Military!$AQ$2,TblProd[[#Headers],[Lumber]:[Ore]],0))</f>
        <v>0</v>
      </c>
      <c r="AS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7">
        <f ca="1">TblMili[[#This Row],[Train Unit 1]]*TblMili[[#This Row],[OP Ore]]+TblMili[[#This Row],[Train Unit 2]]*TblMili[[#This Row],[DP Ore]]+TblMili[[#This Row],[Train Unit 3]]*TblMili[[#This Row],[E1 Ore]]+TblMili[[#This Row],[Train Unit 4]]*TblMili[[#This Row],[E2 Ore]]</f>
        <v>0</v>
      </c>
      <c r="AU70" s="145">
        <f>TblMili[[#This Row],[Hour]]</f>
        <v>67</v>
      </c>
      <c r="AV70" s="155">
        <f ca="1">TblMili[[#This Row],[Time]]</f>
        <v>45460.74999999984</v>
      </c>
      <c r="AW70" s="97">
        <f ca="1">TblMili[[#This Row],[Draftees]]</f>
        <v>626</v>
      </c>
      <c r="AX70" s="182"/>
      <c r="AY70" s="182"/>
      <c r="AZ70" s="182"/>
      <c r="BA70" s="182"/>
      <c r="BB70" s="182"/>
      <c r="BC70" s="182"/>
      <c r="BD70" s="182"/>
      <c r="BE70" s="182"/>
      <c r="BF70" s="182"/>
      <c r="BG70" s="145"/>
      <c r="BH70" s="160">
        <f ca="1">TblConstr[[#This Row],[Tot WG]]/TblConstr[[#This Row],[Land]]</f>
        <v>0</v>
      </c>
      <c r="BI70" s="160">
        <f ca="1">TblConstr[[#This Row],[Tot Hav]]/TblConstr[[#This Row],[Land]]</f>
        <v>0</v>
      </c>
      <c r="BJ70" s="97">
        <f ca="1">ROUNDUP((1-MIN(TblMili[[#This Row],[Smithies]]*smithy_bonus,smithy_bonus_cap) + tech_3_5*TblTech[[#This Row],[3-5]] + tech_5_3*TblTech[[#This Row],[5-3]] + tech_5_5*TblTech[[#This Row],[5-5]])*spec_op_plat,0)</f>
        <v>275</v>
      </c>
      <c r="BK70" s="97">
        <f ca="1">ROUNDUP(IF(race="Gnome",1,(1-MIN(TblMili[[#This Row],[Smithies]]*smithy_bonus,smithy_bonus_cap) + tech_3_5*TblTech[[#This Row],[3-5]] + tech_5_3*TblTech[[#This Row],[5-3]] + tech_5_5*TblTech[[#This Row],[5-5]]))*spec_op_ore,0)</f>
        <v>25</v>
      </c>
      <c r="BL70" s="97">
        <f ca="1">ROUNDUP((1-MIN(TblMili[[#This Row],[Smithies]]*smithy_bonus,smithy_bonus_cap) + tech_3_5*TblTech[[#This Row],[3-5]] + tech_5_3*TblTech[[#This Row],[5-3]] + tech_5_5*TblTech[[#This Row],[5-5]])*spec_dp_plat,0)</f>
        <v>275</v>
      </c>
      <c r="BM70" s="97">
        <f ca="1">ROUNDUP(IF(race="Gnome",1,(1-MIN(TblMili[[#This Row],[Smithies]]*smithy_bonus,smithy_bonus_cap) + tech_3_5*TblTech[[#This Row],[3-5]] + tech_5_3*TblTech[[#This Row],[5-3]] + tech_5_5*TblTech[[#This Row],[5-5]]))*spec_dp_ore,0)</f>
        <v>15</v>
      </c>
      <c r="BN70" s="97">
        <f ca="1">ROUNDUP((1-MIN(TblMili[[#This Row],[Smithies]]*smithy_bonus,smithy_bonus_cap) + tech_3_5*TblTech[[#This Row],[3-5]] + tech_5_3*TblTech[[#This Row],[5-3]] + tech_5_5*TblTech[[#This Row],[5-5]])*elite1_plat,0)</f>
        <v>1000</v>
      </c>
      <c r="BO70" s="97">
        <f ca="1">ROUNDUP(IF(race="Gnome",1,(1-MIN(TblMili[[#This Row],[Smithies]]*smithy_bonus,smithy_bonus_cap) + tech_3_5*TblTech[[#This Row],[3-5]] + tech_5_3*TblTech[[#This Row],[5-3]] + tech_5_5*TblTech[[#This Row],[5-5]]))*elite1_ore,0)</f>
        <v>75</v>
      </c>
      <c r="BP70" s="97">
        <f ca="1">ROUNDUP((1-MIN(TblMili[[#This Row],[Smithies]]*smithy_bonus,smithy_bonus_cap) + tech_3_5*TblTech[[#This Row],[3-5]] + tech_5_3*TblTech[[#This Row],[5-3]] + tech_5_5*TblTech[[#This Row],[5-5]])*elite2_plat,0)</f>
        <v>1250</v>
      </c>
      <c r="BQ70" s="97">
        <f ca="1">ROUNDUP(IF(race="Gnome",1,(1-MIN(TblMili[[#This Row],[Smithies]]*smithy_bonus,smithy_bonus_cap) + tech_3_5*TblTech[[#This Row],[3-5]] + tech_5_3*TblTech[[#This Row],[5-3]] + tech_5_5*TblTech[[#This Row],[5-5]]))*elite2_ore,0)</f>
        <v>100</v>
      </c>
      <c r="BR70" s="97">
        <f ca="1">ROUNDUP((1-MIN(ROUND(fh_spy_cost_red*TblMili[[#This Row],[FH''s]],4),fh_spy_cost_cap)+ tech_1_9*TblTech[[#This Row],[1-9]] + tech_9_1*TblTech[[#This Row],[9-1]])*spy_plat,0)</f>
        <v>500</v>
      </c>
      <c r="BS70" s="97">
        <f ca="1">ROUNDUP((1-MIN(ROUND(fh_spy_cost_red*TblMili[[#This Row],[FH''s]],4),fh_spy_cost_cap)+ tech_1_9*TblTech[[#This Row],[1-9]] + tech_9_1*TblTech[[#This Row],[9-1]])*archspy_plat,0)</f>
        <v>1000</v>
      </c>
      <c r="BT70" s="97">
        <f ca="1">ROUNDUP((1-MIN(ROUND(wg_wiz_cost_bonus*TblMili[[#This Row],[WG''s]],4),wg_wiz_cost_cap) + tech_1_9_2*TblTech[[#This Row],[1-9]] + tech_9_1_2*TblTech[[#This Row],[9-1]])*wizard_plat,0)</f>
        <v>500</v>
      </c>
      <c r="BU70" s="97">
        <f ca="1">ROUNDUP((1-MIN(ROUND(wg_wiz_cost_bonus*TblMili[[#This Row],[WG''s]],4),wg_wiz_cost_cap) + tech_1_9_2*TblTech[[#This Row],[1-9]] + tech_9_1_2*TblTech[[#This Row],[9-1]])*archmage_plat,0)</f>
        <v>1000</v>
      </c>
      <c r="BV70" s="145"/>
      <c r="BW70" s="160">
        <f ca="1">TblConstr[[#This Row],[Homeland]]/TblConstr[[#This Row],[Land]]</f>
        <v>0.44</v>
      </c>
      <c r="BX70" s="160">
        <f ca="1">TblMili[[#This Row],[WG''s]]</f>
        <v>0</v>
      </c>
      <c r="BY70" s="266">
        <f ca="1">IF(mystic_cap="none",TblMili[[#This Row],[Hill]]/mystic_bonus,MIN(mystic_cap,TblMili[[#This Row],[Hill]]/mystic_bonus))</f>
        <v>2.1999999999999997</v>
      </c>
      <c r="BZ70" s="266">
        <f ca="1">IF(druid_op_cap="none",TblMili[[#This Row],[Hill]]/druid_op_bonus,MIN(druid_op_cap,TblMili[[#This Row],[Hill]]/druid_op_bonus))</f>
        <v>2.1999999999999997</v>
      </c>
      <c r="CA70" s="266">
        <f ca="1">IF(druid_dp_cap="none",TblMili[[#This Row],[Hill]]/druid_dp_bonus,MIN(druid_dp_cap,TblMili[[#This Row],[Hill]]/druid_dp_bonus))</f>
        <v>2.1999999999999997</v>
      </c>
      <c r="CB70" s="266">
        <f ca="1">MIN(dryad_cap,TblMili[[#This Row],[Hill]]/dryad_bonus)</f>
        <v>2.1999999999999997</v>
      </c>
      <c r="CC70" s="266">
        <f ca="1">MIN(rocka_cap,TblMili[[#This Row],[Hill]]/rocka_bonus)</f>
        <v>2</v>
      </c>
      <c r="CD70" s="266">
        <f ca="1">MIN(adept_op_cap,TblMili[[#This Row],[WG]]/adept_op_bonus)</f>
        <v>0</v>
      </c>
      <c r="CE70" s="266">
        <f ca="1">MIN(adept_dp_cap,TblMili[[#This Row],[WG]]/adept_dp_bonus)</f>
        <v>0</v>
      </c>
      <c r="CF70" s="97">
        <f ca="1">MIN(TblMili[[#This Row],[Unit 3]],TblMili[[#This Row],[Unit 2]])*2</f>
        <v>0</v>
      </c>
      <c r="CG70" s="97">
        <f ca="1">MIN(TblMili[[#This Row],[Unit 1]],TblMili[[#This Row],[Unit 4]])*2</f>
        <v>0</v>
      </c>
      <c r="CH70" s="266">
        <f ca="1">MIN(frost_mage_cap,TblMili[[#This Row],[Hill]]/frost_mage_bonus)</f>
        <v>2.1999999999999997</v>
      </c>
      <c r="CI70" s="45">
        <f ca="1">MIN(ice_elem_cap,TblMili[[#This Row],[Raw (2)]]*ice_elem_bonus)</f>
        <v>0.1</v>
      </c>
      <c r="CJ70" s="266">
        <f t="shared" si="3"/>
        <v>0.83333333333333337</v>
      </c>
      <c r="CK70" s="266">
        <f ca="1">MIN(nox_nightshade_cap,TblConstr[[#This Row],[Homeland]]/TblConstr[[#This Row],[Land]]/nox_nightshade_swamp_bonus)</f>
        <v>4</v>
      </c>
      <c r="CL70" s="267"/>
      <c r="CM70" s="267"/>
      <c r="CN70" s="267"/>
      <c r="CO70" s="266">
        <f ca="1">MIN(6,TblMili[[#This Row],[Mystic]]+Races!$F$19)*1.8 +  IF(TblMili[[#This Row],[Mystic]]+Races!$F$19&gt;6,(TblMili[[#This Row],[Mystic]]+Races!$F$19-6)*0.2,0) - Races!$I$19</f>
        <v>3.6399999999999997</v>
      </c>
      <c r="CP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0" s="97">
        <f ca="1">TblMili[[#This Row],[Mystic bonus]]*TblMili[[#This Row],[Unit 3]]+TblMili[[#This Row],[Druid bonus]]*TblMili[[#This Row],[Unit 4]]</f>
        <v>0</v>
      </c>
      <c r="CR70" s="158">
        <f ca="1">MIN(6,TblMili[[#This Row],[Dryad]]+Races!$F$35)*1.8 +  IF(TblMili[[#This Row],[Dryad]]+Races!$F$35&gt;6,(TblMili[[#This Row],[Dryad]]+Races!$F$35-6)*0.2,0) - Races!$I$19</f>
        <v>2.1599999999999993</v>
      </c>
      <c r="CS70" s="97">
        <f ca="1">sylvan*(TblMili[[#This Row],[Mystic bonus]]*TblMili[[#This Row],[Unit 3]])</f>
        <v>0</v>
      </c>
      <c r="CT70" s="158">
        <f ca="1">1.8 * MIN(MAX(Races!$E$27,TblMili[[#This Row],[Rockapult]]+Races!$F$27),6)  +  0.45 * MIN(MIN(Races!$E$27,TblMili[[#This Row],[Rockapult]]+Races!$F$27),6)  +  0.2 * ( MAX(Races!$E$27-6,0) + MAX(TblMili[[#This Row],[Rockapult]]+Races!$F$27-6,0) )  -  Races!$I$20</f>
        <v>5.8500000000000005</v>
      </c>
      <c r="CU70" s="97">
        <f ca="1">gnome*(TblMili[[#This Row],[Rockapult bonus]]*TblMili[[#This Row],[Unit 3]])</f>
        <v>0</v>
      </c>
      <c r="CV70" s="158">
        <f ca="1">1.8 * MIN(MAX(TblMili[[#This Row],[Spellblade]]+Races!$E$47,TblMili[[#This Row],[Adept-DP]]+Races!$F$47),6)  +  0.45 * MIN(MIN(TblMili[[#This Row],[Spellblade]]+Races!$E$47,TblMili[[#This Row],[Adept-DP]]+Races!$F$47),6)  +  0.2 * ( MAX(TblMili[[#This Row],[Spellblade]]+Races!$E$47-6,0) + MAX(TblMili[[#This Row],[Adept-DP]]+Races!$F$47-6,0) )  -  Races!$I$47</f>
        <v>0</v>
      </c>
      <c r="CW70" s="97">
        <f ca="1">dark_elf*(TblMili[[#This Row],[Adept bonus]]*TblMili[[#This Row],[Unit 3]])</f>
        <v>0</v>
      </c>
      <c r="CX70" s="158">
        <f ca="1">1.8 * MIN(MAX(TblMili[[#This Row],[Frost Mage]]+Races!$F$71,Races!$E$71),6)  +  0.45 * MIN(MIN(TblMili[[#This Row],[Frost Mage]]+Races!$F$71,Races!$E$71),6)  +  0.2 * ( MAX(TblMili[[#This Row],[Frost Mage]]+Races!$F$71-6,0) + MAX(Races!$E$71-6,0) )  -  Races!$I$71</f>
        <v>3.9599999999999991</v>
      </c>
      <c r="CY70" s="158">
        <f ca="1">1.8 * MIN(MAX(TblMili[[#This Row],[Ice Elemental]]+Races!$E$71,Races!$F$71),6)  +  0.45 * MIN(MIN(TblMili[[#This Row],[Ice Elemental]]+Races!$E$71,Races!$F$71),6)  +  0.2 * ( MAX(TblMili[[#This Row],[Ice Elemental]]+Races!$E$71-6,0) + MAX(Races!$F$71-6,0) )  -  Races!$I$71</f>
        <v>0.17999999999999972</v>
      </c>
      <c r="CZ70" s="97">
        <f ca="1">TblMili[[#This Row],[Frost Mage bonus]]*TblMili[[#This Row],[Unit 3]]+TblMili[[#This Row],[Ice Elemental bonus]]*TblMili[[#This Row],[Unit 4]]</f>
        <v>0</v>
      </c>
      <c r="DA70" s="268"/>
      <c r="DB70" s="146">
        <f ca="1">MIN(SUM(TblConstr[[#This Row],[Plain]:[Water]])/TblMili[[#This Row],[Land]]/favorable_terrain_bonus/100,favorable_terrain_max)</f>
        <v>0.1</v>
      </c>
      <c r="DC70" s="268"/>
      <c r="DD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0" s="145"/>
      <c r="DF70" s="269">
        <f ca="1">(TblMili[[#This Row],[Wizards]]+2*TblMili[[#This Row],[Archmages]])/TblConstr[[#This Row],[Land]]</f>
        <v>0.1</v>
      </c>
      <c r="DG70" s="269">
        <f ca="1">TblMili[[#This Row],[Raw (2)]]*(1+race_wizard_strength+IF(TblMili[[#This Row],[Hour]]&gt;72,tech_magical_weaponry_wiz*TblTech[[#This Row],[3-5]],0))</f>
        <v>0.1</v>
      </c>
    </row>
    <row r="71" spans="1:111"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45460.791666666504</v>
      </c>
      <c r="AG71" s="182"/>
      <c r="AH71" s="161"/>
      <c r="AI71" s="182"/>
      <c r="AJ71" s="182"/>
      <c r="AK71" s="182"/>
      <c r="AL71" s="182"/>
      <c r="AM71" s="182"/>
      <c r="AN71" s="182"/>
      <c r="AO71" s="449">
        <f ca="1">IF(AND(TblMagic[[#This Row],[Active DnD]]&lt;12,TblMagic[[#This Row],[Active DnD]]&gt;5),OFFSET(TblPop[[#This Row],[Draft Growth]],-1,0)/2,0)</f>
        <v>0</v>
      </c>
      <c r="AP71" s="145"/>
      <c r="AQ71" s="97">
        <f ca="1">TblProd[[#This Row],[Platinum]]</f>
        <v>488440</v>
      </c>
      <c r="AR71" s="97">
        <f ca="1">INDEX(TblProd[[#Headers],[Lumber]]:TblProd[[#This Row],[Ore]],COUNTA(TblProd[[#Headers],[Lumber]]:TblProd[[#This Row],[Lumber]]),MATCH(Military!$AQ$2,TblProd[[#Headers],[Lumber]:[Ore]],0))</f>
        <v>0</v>
      </c>
      <c r="AS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7">
        <f ca="1">TblMili[[#This Row],[Train Unit 1]]*TblMili[[#This Row],[OP Ore]]+TblMili[[#This Row],[Train Unit 2]]*TblMili[[#This Row],[DP Ore]]+TblMili[[#This Row],[Train Unit 3]]*TblMili[[#This Row],[E1 Ore]]+TblMili[[#This Row],[Train Unit 4]]*TblMili[[#This Row],[E2 Ore]]</f>
        <v>0</v>
      </c>
      <c r="AU71" s="145">
        <f>TblMili[[#This Row],[Hour]]</f>
        <v>68</v>
      </c>
      <c r="AV71" s="155">
        <f ca="1">TblMili[[#This Row],[Time]]</f>
        <v>45460.791666666504</v>
      </c>
      <c r="AW71" s="97">
        <f ca="1">TblMili[[#This Row],[Draftees]]</f>
        <v>626</v>
      </c>
      <c r="AX71" s="182"/>
      <c r="AY71" s="182"/>
      <c r="AZ71" s="182"/>
      <c r="BA71" s="182"/>
      <c r="BB71" s="182"/>
      <c r="BC71" s="182"/>
      <c r="BD71" s="182"/>
      <c r="BE71" s="182"/>
      <c r="BF71" s="182"/>
      <c r="BG71" s="145"/>
      <c r="BH71" s="160">
        <f ca="1">TblConstr[[#This Row],[Tot WG]]/TblConstr[[#This Row],[Land]]</f>
        <v>0</v>
      </c>
      <c r="BI71" s="160">
        <f ca="1">TblConstr[[#This Row],[Tot Hav]]/TblConstr[[#This Row],[Land]]</f>
        <v>0</v>
      </c>
      <c r="BJ71" s="97">
        <f ca="1">ROUNDUP((1-MIN(TblMili[[#This Row],[Smithies]]*smithy_bonus,smithy_bonus_cap) + tech_3_5*TblTech[[#This Row],[3-5]] + tech_5_3*TblTech[[#This Row],[5-3]] + tech_5_5*TblTech[[#This Row],[5-5]])*spec_op_plat,0)</f>
        <v>275</v>
      </c>
      <c r="BK71" s="97">
        <f ca="1">ROUNDUP(IF(race="Gnome",1,(1-MIN(TblMili[[#This Row],[Smithies]]*smithy_bonus,smithy_bonus_cap) + tech_3_5*TblTech[[#This Row],[3-5]] + tech_5_3*TblTech[[#This Row],[5-3]] + tech_5_5*TblTech[[#This Row],[5-5]]))*spec_op_ore,0)</f>
        <v>25</v>
      </c>
      <c r="BL71" s="97">
        <f ca="1">ROUNDUP((1-MIN(TblMili[[#This Row],[Smithies]]*smithy_bonus,smithy_bonus_cap) + tech_3_5*TblTech[[#This Row],[3-5]] + tech_5_3*TblTech[[#This Row],[5-3]] + tech_5_5*TblTech[[#This Row],[5-5]])*spec_dp_plat,0)</f>
        <v>275</v>
      </c>
      <c r="BM71" s="97">
        <f ca="1">ROUNDUP(IF(race="Gnome",1,(1-MIN(TblMili[[#This Row],[Smithies]]*smithy_bonus,smithy_bonus_cap) + tech_3_5*TblTech[[#This Row],[3-5]] + tech_5_3*TblTech[[#This Row],[5-3]] + tech_5_5*TblTech[[#This Row],[5-5]]))*spec_dp_ore,0)</f>
        <v>15</v>
      </c>
      <c r="BN71" s="97">
        <f ca="1">ROUNDUP((1-MIN(TblMili[[#This Row],[Smithies]]*smithy_bonus,smithy_bonus_cap) + tech_3_5*TblTech[[#This Row],[3-5]] + tech_5_3*TblTech[[#This Row],[5-3]] + tech_5_5*TblTech[[#This Row],[5-5]])*elite1_plat,0)</f>
        <v>1000</v>
      </c>
      <c r="BO71" s="97">
        <f ca="1">ROUNDUP(IF(race="Gnome",1,(1-MIN(TblMili[[#This Row],[Smithies]]*smithy_bonus,smithy_bonus_cap) + tech_3_5*TblTech[[#This Row],[3-5]] + tech_5_3*TblTech[[#This Row],[5-3]] + tech_5_5*TblTech[[#This Row],[5-5]]))*elite1_ore,0)</f>
        <v>75</v>
      </c>
      <c r="BP71" s="97">
        <f ca="1">ROUNDUP((1-MIN(TblMili[[#This Row],[Smithies]]*smithy_bonus,smithy_bonus_cap) + tech_3_5*TblTech[[#This Row],[3-5]] + tech_5_3*TblTech[[#This Row],[5-3]] + tech_5_5*TblTech[[#This Row],[5-5]])*elite2_plat,0)</f>
        <v>1250</v>
      </c>
      <c r="BQ71" s="97">
        <f ca="1">ROUNDUP(IF(race="Gnome",1,(1-MIN(TblMili[[#This Row],[Smithies]]*smithy_bonus,smithy_bonus_cap) + tech_3_5*TblTech[[#This Row],[3-5]] + tech_5_3*TblTech[[#This Row],[5-3]] + tech_5_5*TblTech[[#This Row],[5-5]]))*elite2_ore,0)</f>
        <v>100</v>
      </c>
      <c r="BR71" s="97">
        <f ca="1">ROUNDUP((1-MIN(ROUND(fh_spy_cost_red*TblMili[[#This Row],[FH''s]],4),fh_spy_cost_cap)+ tech_1_9*TblTech[[#This Row],[1-9]] + tech_9_1*TblTech[[#This Row],[9-1]])*spy_plat,0)</f>
        <v>500</v>
      </c>
      <c r="BS71" s="97">
        <f ca="1">ROUNDUP((1-MIN(ROUND(fh_spy_cost_red*TblMili[[#This Row],[FH''s]],4),fh_spy_cost_cap)+ tech_1_9*TblTech[[#This Row],[1-9]] + tech_9_1*TblTech[[#This Row],[9-1]])*archspy_plat,0)</f>
        <v>1000</v>
      </c>
      <c r="BT71" s="97">
        <f ca="1">ROUNDUP((1-MIN(ROUND(wg_wiz_cost_bonus*TblMili[[#This Row],[WG''s]],4),wg_wiz_cost_cap) + tech_1_9_2*TblTech[[#This Row],[1-9]] + tech_9_1_2*TblTech[[#This Row],[9-1]])*wizard_plat,0)</f>
        <v>500</v>
      </c>
      <c r="BU71" s="97">
        <f ca="1">ROUNDUP((1-MIN(ROUND(wg_wiz_cost_bonus*TblMili[[#This Row],[WG''s]],4),wg_wiz_cost_cap) + tech_1_9_2*TblTech[[#This Row],[1-9]] + tech_9_1_2*TblTech[[#This Row],[9-1]])*archmage_plat,0)</f>
        <v>1000</v>
      </c>
      <c r="BV71" s="145"/>
      <c r="BW71" s="160">
        <f ca="1">TblConstr[[#This Row],[Homeland]]/TblConstr[[#This Row],[Land]]</f>
        <v>0.44</v>
      </c>
      <c r="BX71" s="160">
        <f ca="1">TblMili[[#This Row],[WG''s]]</f>
        <v>0</v>
      </c>
      <c r="BY71" s="266">
        <f ca="1">IF(mystic_cap="none",TblMili[[#This Row],[Hill]]/mystic_bonus,MIN(mystic_cap,TblMili[[#This Row],[Hill]]/mystic_bonus))</f>
        <v>2.1999999999999997</v>
      </c>
      <c r="BZ71" s="266">
        <f ca="1">IF(druid_op_cap="none",TblMili[[#This Row],[Hill]]/druid_op_bonus,MIN(druid_op_cap,TblMili[[#This Row],[Hill]]/druid_op_bonus))</f>
        <v>2.1999999999999997</v>
      </c>
      <c r="CA71" s="266">
        <f ca="1">IF(druid_dp_cap="none",TblMili[[#This Row],[Hill]]/druid_dp_bonus,MIN(druid_dp_cap,TblMili[[#This Row],[Hill]]/druid_dp_bonus))</f>
        <v>2.1999999999999997</v>
      </c>
      <c r="CB71" s="266">
        <f ca="1">MIN(dryad_cap,TblMili[[#This Row],[Hill]]/dryad_bonus)</f>
        <v>2.1999999999999997</v>
      </c>
      <c r="CC71" s="266">
        <f ca="1">MIN(rocka_cap,TblMili[[#This Row],[Hill]]/rocka_bonus)</f>
        <v>2</v>
      </c>
      <c r="CD71" s="266">
        <f ca="1">MIN(adept_op_cap,TblMili[[#This Row],[WG]]/adept_op_bonus)</f>
        <v>0</v>
      </c>
      <c r="CE71" s="266">
        <f ca="1">MIN(adept_dp_cap,TblMili[[#This Row],[WG]]/adept_dp_bonus)</f>
        <v>0</v>
      </c>
      <c r="CF71" s="97">
        <f ca="1">MIN(TblMili[[#This Row],[Unit 3]],TblMili[[#This Row],[Unit 2]])*2</f>
        <v>0</v>
      </c>
      <c r="CG71" s="97">
        <f ca="1">MIN(TblMili[[#This Row],[Unit 1]],TblMili[[#This Row],[Unit 4]])*2</f>
        <v>0</v>
      </c>
      <c r="CH71" s="266">
        <f ca="1">MIN(frost_mage_cap,TblMili[[#This Row],[Hill]]/frost_mage_bonus)</f>
        <v>2.1999999999999997</v>
      </c>
      <c r="CI71" s="45">
        <f ca="1">MIN(ice_elem_cap,TblMili[[#This Row],[Raw (2)]]*ice_elem_bonus)</f>
        <v>0.1</v>
      </c>
      <c r="CJ71" s="266">
        <f t="shared" si="3"/>
        <v>0.83333333333333337</v>
      </c>
      <c r="CK71" s="266">
        <f ca="1">MIN(nox_nightshade_cap,TblConstr[[#This Row],[Homeland]]/TblConstr[[#This Row],[Land]]/nox_nightshade_swamp_bonus)</f>
        <v>4</v>
      </c>
      <c r="CL71" s="267"/>
      <c r="CM71" s="267"/>
      <c r="CN71" s="267"/>
      <c r="CO71" s="266">
        <f ca="1">MIN(6,TblMili[[#This Row],[Mystic]]+Races!$F$19)*1.8 +  IF(TblMili[[#This Row],[Mystic]]+Races!$F$19&gt;6,(TblMili[[#This Row],[Mystic]]+Races!$F$19-6)*0.2,0) - Races!$I$19</f>
        <v>3.6399999999999997</v>
      </c>
      <c r="CP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1" s="97">
        <f ca="1">TblMili[[#This Row],[Mystic bonus]]*TblMili[[#This Row],[Unit 3]]+TblMili[[#This Row],[Druid bonus]]*TblMili[[#This Row],[Unit 4]]</f>
        <v>0</v>
      </c>
      <c r="CR71" s="158">
        <f ca="1">MIN(6,TblMili[[#This Row],[Dryad]]+Races!$F$35)*1.8 +  IF(TblMili[[#This Row],[Dryad]]+Races!$F$35&gt;6,(TblMili[[#This Row],[Dryad]]+Races!$F$35-6)*0.2,0) - Races!$I$19</f>
        <v>2.1599999999999993</v>
      </c>
      <c r="CS71" s="97">
        <f ca="1">sylvan*(TblMili[[#This Row],[Mystic bonus]]*TblMili[[#This Row],[Unit 3]])</f>
        <v>0</v>
      </c>
      <c r="CT71" s="158">
        <f ca="1">1.8 * MIN(MAX(Races!$E$27,TblMili[[#This Row],[Rockapult]]+Races!$F$27),6)  +  0.45 * MIN(MIN(Races!$E$27,TblMili[[#This Row],[Rockapult]]+Races!$F$27),6)  +  0.2 * ( MAX(Races!$E$27-6,0) + MAX(TblMili[[#This Row],[Rockapult]]+Races!$F$27-6,0) )  -  Races!$I$20</f>
        <v>5.8500000000000005</v>
      </c>
      <c r="CU71" s="97">
        <f ca="1">gnome*(TblMili[[#This Row],[Rockapult bonus]]*TblMili[[#This Row],[Unit 3]])</f>
        <v>0</v>
      </c>
      <c r="CV71" s="158">
        <f ca="1">1.8 * MIN(MAX(TblMili[[#This Row],[Spellblade]]+Races!$E$47,TblMili[[#This Row],[Adept-DP]]+Races!$F$47),6)  +  0.45 * MIN(MIN(TblMili[[#This Row],[Spellblade]]+Races!$E$47,TblMili[[#This Row],[Adept-DP]]+Races!$F$47),6)  +  0.2 * ( MAX(TblMili[[#This Row],[Spellblade]]+Races!$E$47-6,0) + MAX(TblMili[[#This Row],[Adept-DP]]+Races!$F$47-6,0) )  -  Races!$I$47</f>
        <v>0</v>
      </c>
      <c r="CW71" s="97">
        <f ca="1">dark_elf*(TblMili[[#This Row],[Adept bonus]]*TblMili[[#This Row],[Unit 3]])</f>
        <v>0</v>
      </c>
      <c r="CX71" s="158">
        <f ca="1">1.8 * MIN(MAX(TblMili[[#This Row],[Frost Mage]]+Races!$F$71,Races!$E$71),6)  +  0.45 * MIN(MIN(TblMili[[#This Row],[Frost Mage]]+Races!$F$71,Races!$E$71),6)  +  0.2 * ( MAX(TblMili[[#This Row],[Frost Mage]]+Races!$F$71-6,0) + MAX(Races!$E$71-6,0) )  -  Races!$I$71</f>
        <v>3.9599999999999991</v>
      </c>
      <c r="CY71" s="158">
        <f ca="1">1.8 * MIN(MAX(TblMili[[#This Row],[Ice Elemental]]+Races!$E$71,Races!$F$71),6)  +  0.45 * MIN(MIN(TblMili[[#This Row],[Ice Elemental]]+Races!$E$71,Races!$F$71),6)  +  0.2 * ( MAX(TblMili[[#This Row],[Ice Elemental]]+Races!$E$71-6,0) + MAX(Races!$F$71-6,0) )  -  Races!$I$71</f>
        <v>0.17999999999999972</v>
      </c>
      <c r="CZ71" s="97">
        <f ca="1">TblMili[[#This Row],[Frost Mage bonus]]*TblMili[[#This Row],[Unit 3]]+TblMili[[#This Row],[Ice Elemental bonus]]*TblMili[[#This Row],[Unit 4]]</f>
        <v>0</v>
      </c>
      <c r="DA71" s="268"/>
      <c r="DB71" s="146">
        <f ca="1">MIN(SUM(TblConstr[[#This Row],[Plain]:[Water]])/TblMili[[#This Row],[Land]]/favorable_terrain_bonus/100,favorable_terrain_max)</f>
        <v>0.1</v>
      </c>
      <c r="DC71" s="268"/>
      <c r="DD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1" s="145"/>
      <c r="DF71" s="269">
        <f ca="1">(TblMili[[#This Row],[Wizards]]+2*TblMili[[#This Row],[Archmages]])/TblConstr[[#This Row],[Land]]</f>
        <v>0.1</v>
      </c>
      <c r="DG71" s="269">
        <f ca="1">TblMili[[#This Row],[Raw (2)]]*(1+race_wizard_strength+IF(TblMili[[#This Row],[Hour]]&gt;72,tech_magical_weaponry_wiz*TblTech[[#This Row],[3-5]],0))</f>
        <v>0.1</v>
      </c>
    </row>
    <row r="72" spans="1:111"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45460.833333333168</v>
      </c>
      <c r="AG72" s="182"/>
      <c r="AH72" s="161"/>
      <c r="AI72" s="182"/>
      <c r="AJ72" s="182"/>
      <c r="AK72" s="182"/>
      <c r="AL72" s="182"/>
      <c r="AM72" s="182"/>
      <c r="AN72" s="182"/>
      <c r="AO72" s="449">
        <f ca="1">IF(AND(TblMagic[[#This Row],[Active DnD]]&lt;12,TblMagic[[#This Row],[Active DnD]]&gt;5),OFFSET(TblPop[[#This Row],[Draft Growth]],-1,0)/2,0)</f>
        <v>0</v>
      </c>
      <c r="AP72" s="145"/>
      <c r="AQ72" s="97">
        <f ca="1">TblProd[[#This Row],[Platinum]]</f>
        <v>493926</v>
      </c>
      <c r="AR72" s="97">
        <f ca="1">INDEX(TblProd[[#Headers],[Lumber]]:TblProd[[#This Row],[Ore]],COUNTA(TblProd[[#Headers],[Lumber]]:TblProd[[#This Row],[Lumber]]),MATCH(Military!$AQ$2,TblProd[[#Headers],[Lumber]:[Ore]],0))</f>
        <v>0</v>
      </c>
      <c r="AS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7">
        <f ca="1">TblMili[[#This Row],[Train Unit 1]]*TblMili[[#This Row],[OP Ore]]+TblMili[[#This Row],[Train Unit 2]]*TblMili[[#This Row],[DP Ore]]+TblMili[[#This Row],[Train Unit 3]]*TblMili[[#This Row],[E1 Ore]]+TblMili[[#This Row],[Train Unit 4]]*TblMili[[#This Row],[E2 Ore]]</f>
        <v>0</v>
      </c>
      <c r="AU72" s="145">
        <f>TblMili[[#This Row],[Hour]]</f>
        <v>69</v>
      </c>
      <c r="AV72" s="155">
        <f ca="1">TblMili[[#This Row],[Time]]</f>
        <v>45460.833333333168</v>
      </c>
      <c r="AW72" s="97">
        <f ca="1">TblMili[[#This Row],[Draftees]]</f>
        <v>626</v>
      </c>
      <c r="AX72" s="182"/>
      <c r="AY72" s="182"/>
      <c r="AZ72" s="182"/>
      <c r="BA72" s="182"/>
      <c r="BB72" s="182"/>
      <c r="BC72" s="182"/>
      <c r="BD72" s="182"/>
      <c r="BE72" s="182"/>
      <c r="BF72" s="182"/>
      <c r="BG72" s="145"/>
      <c r="BH72" s="160">
        <f ca="1">TblConstr[[#This Row],[Tot WG]]/TblConstr[[#This Row],[Land]]</f>
        <v>0</v>
      </c>
      <c r="BI72" s="160">
        <f ca="1">TblConstr[[#This Row],[Tot Hav]]/TblConstr[[#This Row],[Land]]</f>
        <v>0</v>
      </c>
      <c r="BJ72" s="97">
        <f ca="1">ROUNDUP((1-MIN(TblMili[[#This Row],[Smithies]]*smithy_bonus,smithy_bonus_cap) + tech_3_5*TblTech[[#This Row],[3-5]] + tech_5_3*TblTech[[#This Row],[5-3]] + tech_5_5*TblTech[[#This Row],[5-5]])*spec_op_plat,0)</f>
        <v>275</v>
      </c>
      <c r="BK72" s="97">
        <f ca="1">ROUNDUP(IF(race="Gnome",1,(1-MIN(TblMili[[#This Row],[Smithies]]*smithy_bonus,smithy_bonus_cap) + tech_3_5*TblTech[[#This Row],[3-5]] + tech_5_3*TblTech[[#This Row],[5-3]] + tech_5_5*TblTech[[#This Row],[5-5]]))*spec_op_ore,0)</f>
        <v>25</v>
      </c>
      <c r="BL72" s="97">
        <f ca="1">ROUNDUP((1-MIN(TblMili[[#This Row],[Smithies]]*smithy_bonus,smithy_bonus_cap) + tech_3_5*TblTech[[#This Row],[3-5]] + tech_5_3*TblTech[[#This Row],[5-3]] + tech_5_5*TblTech[[#This Row],[5-5]])*spec_dp_plat,0)</f>
        <v>275</v>
      </c>
      <c r="BM72" s="97">
        <f ca="1">ROUNDUP(IF(race="Gnome",1,(1-MIN(TblMili[[#This Row],[Smithies]]*smithy_bonus,smithy_bonus_cap) + tech_3_5*TblTech[[#This Row],[3-5]] + tech_5_3*TblTech[[#This Row],[5-3]] + tech_5_5*TblTech[[#This Row],[5-5]]))*spec_dp_ore,0)</f>
        <v>15</v>
      </c>
      <c r="BN72" s="97">
        <f ca="1">ROUNDUP((1-MIN(TblMili[[#This Row],[Smithies]]*smithy_bonus,smithy_bonus_cap) + tech_3_5*TblTech[[#This Row],[3-5]] + tech_5_3*TblTech[[#This Row],[5-3]] + tech_5_5*TblTech[[#This Row],[5-5]])*elite1_plat,0)</f>
        <v>1000</v>
      </c>
      <c r="BO72" s="97">
        <f ca="1">ROUNDUP(IF(race="Gnome",1,(1-MIN(TblMili[[#This Row],[Smithies]]*smithy_bonus,smithy_bonus_cap) + tech_3_5*TblTech[[#This Row],[3-5]] + tech_5_3*TblTech[[#This Row],[5-3]] + tech_5_5*TblTech[[#This Row],[5-5]]))*elite1_ore,0)</f>
        <v>75</v>
      </c>
      <c r="BP72" s="97">
        <f ca="1">ROUNDUP((1-MIN(TblMili[[#This Row],[Smithies]]*smithy_bonus,smithy_bonus_cap) + tech_3_5*TblTech[[#This Row],[3-5]] + tech_5_3*TblTech[[#This Row],[5-3]] + tech_5_5*TblTech[[#This Row],[5-5]])*elite2_plat,0)</f>
        <v>1250</v>
      </c>
      <c r="BQ72" s="97">
        <f ca="1">ROUNDUP(IF(race="Gnome",1,(1-MIN(TblMili[[#This Row],[Smithies]]*smithy_bonus,smithy_bonus_cap) + tech_3_5*TblTech[[#This Row],[3-5]] + tech_5_3*TblTech[[#This Row],[5-3]] + tech_5_5*TblTech[[#This Row],[5-5]]))*elite2_ore,0)</f>
        <v>100</v>
      </c>
      <c r="BR72" s="97">
        <f ca="1">ROUNDUP((1-MIN(ROUND(fh_spy_cost_red*TblMili[[#This Row],[FH''s]],4),fh_spy_cost_cap)+ tech_1_9*TblTech[[#This Row],[1-9]] + tech_9_1*TblTech[[#This Row],[9-1]])*spy_plat,0)</f>
        <v>500</v>
      </c>
      <c r="BS72" s="97">
        <f ca="1">ROUNDUP((1-MIN(ROUND(fh_spy_cost_red*TblMili[[#This Row],[FH''s]],4),fh_spy_cost_cap)+ tech_1_9*TblTech[[#This Row],[1-9]] + tech_9_1*TblTech[[#This Row],[9-1]])*archspy_plat,0)</f>
        <v>1000</v>
      </c>
      <c r="BT72" s="97">
        <f ca="1">ROUNDUP((1-MIN(ROUND(wg_wiz_cost_bonus*TblMili[[#This Row],[WG''s]],4),wg_wiz_cost_cap) + tech_1_9_2*TblTech[[#This Row],[1-9]] + tech_9_1_2*TblTech[[#This Row],[9-1]])*wizard_plat,0)</f>
        <v>500</v>
      </c>
      <c r="BU72" s="97">
        <f ca="1">ROUNDUP((1-MIN(ROUND(wg_wiz_cost_bonus*TblMili[[#This Row],[WG''s]],4),wg_wiz_cost_cap) + tech_1_9_2*TblTech[[#This Row],[1-9]] + tech_9_1_2*TblTech[[#This Row],[9-1]])*archmage_plat,0)</f>
        <v>1000</v>
      </c>
      <c r="BV72" s="145"/>
      <c r="BW72" s="160">
        <f ca="1">TblConstr[[#This Row],[Homeland]]/TblConstr[[#This Row],[Land]]</f>
        <v>0.44</v>
      </c>
      <c r="BX72" s="160">
        <f ca="1">TblMili[[#This Row],[WG''s]]</f>
        <v>0</v>
      </c>
      <c r="BY72" s="266">
        <f ca="1">IF(mystic_cap="none",TblMili[[#This Row],[Hill]]/mystic_bonus,MIN(mystic_cap,TblMili[[#This Row],[Hill]]/mystic_bonus))</f>
        <v>2.1999999999999997</v>
      </c>
      <c r="BZ72" s="266">
        <f ca="1">IF(druid_op_cap="none",TblMili[[#This Row],[Hill]]/druid_op_bonus,MIN(druid_op_cap,TblMili[[#This Row],[Hill]]/druid_op_bonus))</f>
        <v>2.1999999999999997</v>
      </c>
      <c r="CA72" s="266">
        <f ca="1">IF(druid_dp_cap="none",TblMili[[#This Row],[Hill]]/druid_dp_bonus,MIN(druid_dp_cap,TblMili[[#This Row],[Hill]]/druid_dp_bonus))</f>
        <v>2.1999999999999997</v>
      </c>
      <c r="CB72" s="266">
        <f ca="1">MIN(dryad_cap,TblMili[[#This Row],[Hill]]/dryad_bonus)</f>
        <v>2.1999999999999997</v>
      </c>
      <c r="CC72" s="266">
        <f ca="1">MIN(rocka_cap,TblMili[[#This Row],[Hill]]/rocka_bonus)</f>
        <v>2</v>
      </c>
      <c r="CD72" s="266">
        <f ca="1">MIN(adept_op_cap,TblMili[[#This Row],[WG]]/adept_op_bonus)</f>
        <v>0</v>
      </c>
      <c r="CE72" s="266">
        <f ca="1">MIN(adept_dp_cap,TblMili[[#This Row],[WG]]/adept_dp_bonus)</f>
        <v>0</v>
      </c>
      <c r="CF72" s="97">
        <f ca="1">MIN(TblMili[[#This Row],[Unit 3]],TblMili[[#This Row],[Unit 2]])*2</f>
        <v>0</v>
      </c>
      <c r="CG72" s="97">
        <f ca="1">MIN(TblMili[[#This Row],[Unit 1]],TblMili[[#This Row],[Unit 4]])*2</f>
        <v>0</v>
      </c>
      <c r="CH72" s="266">
        <f ca="1">MIN(frost_mage_cap,TblMili[[#This Row],[Hill]]/frost_mage_bonus)</f>
        <v>2.1999999999999997</v>
      </c>
      <c r="CI72" s="45">
        <f ca="1">MIN(ice_elem_cap,TblMili[[#This Row],[Raw (2)]]*ice_elem_bonus)</f>
        <v>0.1</v>
      </c>
      <c r="CJ72" s="266">
        <f t="shared" si="3"/>
        <v>0.83333333333333337</v>
      </c>
      <c r="CK72" s="266">
        <f ca="1">MIN(nox_nightshade_cap,TblConstr[[#This Row],[Homeland]]/TblConstr[[#This Row],[Land]]/nox_nightshade_swamp_bonus)</f>
        <v>4</v>
      </c>
      <c r="CL72" s="267"/>
      <c r="CM72" s="267"/>
      <c r="CN72" s="267"/>
      <c r="CO72" s="266">
        <f ca="1">MIN(6,TblMili[[#This Row],[Mystic]]+Races!$F$19)*1.8 +  IF(TblMili[[#This Row],[Mystic]]+Races!$F$19&gt;6,(TblMili[[#This Row],[Mystic]]+Races!$F$19-6)*0.2,0) - Races!$I$19</f>
        <v>3.6399999999999997</v>
      </c>
      <c r="CP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2" s="97">
        <f ca="1">TblMili[[#This Row],[Mystic bonus]]*TblMili[[#This Row],[Unit 3]]+TblMili[[#This Row],[Druid bonus]]*TblMili[[#This Row],[Unit 4]]</f>
        <v>0</v>
      </c>
      <c r="CR72" s="158">
        <f ca="1">MIN(6,TblMili[[#This Row],[Dryad]]+Races!$F$35)*1.8 +  IF(TblMili[[#This Row],[Dryad]]+Races!$F$35&gt;6,(TblMili[[#This Row],[Dryad]]+Races!$F$35-6)*0.2,0) - Races!$I$19</f>
        <v>2.1599999999999993</v>
      </c>
      <c r="CS72" s="97">
        <f ca="1">sylvan*(TblMili[[#This Row],[Mystic bonus]]*TblMili[[#This Row],[Unit 3]])</f>
        <v>0</v>
      </c>
      <c r="CT72" s="158">
        <f ca="1">1.8 * MIN(MAX(Races!$E$27,TblMili[[#This Row],[Rockapult]]+Races!$F$27),6)  +  0.45 * MIN(MIN(Races!$E$27,TblMili[[#This Row],[Rockapult]]+Races!$F$27),6)  +  0.2 * ( MAX(Races!$E$27-6,0) + MAX(TblMili[[#This Row],[Rockapult]]+Races!$F$27-6,0) )  -  Races!$I$20</f>
        <v>5.8500000000000005</v>
      </c>
      <c r="CU72" s="97">
        <f ca="1">gnome*(TblMili[[#This Row],[Rockapult bonus]]*TblMili[[#This Row],[Unit 3]])</f>
        <v>0</v>
      </c>
      <c r="CV72" s="158">
        <f ca="1">1.8 * MIN(MAX(TblMili[[#This Row],[Spellblade]]+Races!$E$47,TblMili[[#This Row],[Adept-DP]]+Races!$F$47),6)  +  0.45 * MIN(MIN(TblMili[[#This Row],[Spellblade]]+Races!$E$47,TblMili[[#This Row],[Adept-DP]]+Races!$F$47),6)  +  0.2 * ( MAX(TblMili[[#This Row],[Spellblade]]+Races!$E$47-6,0) + MAX(TblMili[[#This Row],[Adept-DP]]+Races!$F$47-6,0) )  -  Races!$I$47</f>
        <v>0</v>
      </c>
      <c r="CW72" s="97">
        <f ca="1">dark_elf*(TblMili[[#This Row],[Adept bonus]]*TblMili[[#This Row],[Unit 3]])</f>
        <v>0</v>
      </c>
      <c r="CX72" s="158">
        <f ca="1">1.8 * MIN(MAX(TblMili[[#This Row],[Frost Mage]]+Races!$F$71,Races!$E$71),6)  +  0.45 * MIN(MIN(TblMili[[#This Row],[Frost Mage]]+Races!$F$71,Races!$E$71),6)  +  0.2 * ( MAX(TblMili[[#This Row],[Frost Mage]]+Races!$F$71-6,0) + MAX(Races!$E$71-6,0) )  -  Races!$I$71</f>
        <v>3.9599999999999991</v>
      </c>
      <c r="CY72" s="158">
        <f ca="1">1.8 * MIN(MAX(TblMili[[#This Row],[Ice Elemental]]+Races!$E$71,Races!$F$71),6)  +  0.45 * MIN(MIN(TblMili[[#This Row],[Ice Elemental]]+Races!$E$71,Races!$F$71),6)  +  0.2 * ( MAX(TblMili[[#This Row],[Ice Elemental]]+Races!$E$71-6,0) + MAX(Races!$F$71-6,0) )  -  Races!$I$71</f>
        <v>0.17999999999999972</v>
      </c>
      <c r="CZ72" s="97">
        <f ca="1">TblMili[[#This Row],[Frost Mage bonus]]*TblMili[[#This Row],[Unit 3]]+TblMili[[#This Row],[Ice Elemental bonus]]*TblMili[[#This Row],[Unit 4]]</f>
        <v>0</v>
      </c>
      <c r="DA72" s="268"/>
      <c r="DB72" s="146">
        <f ca="1">MIN(SUM(TblConstr[[#This Row],[Plain]:[Water]])/TblMili[[#This Row],[Land]]/favorable_terrain_bonus/100,favorable_terrain_max)</f>
        <v>0.1</v>
      </c>
      <c r="DC72" s="268"/>
      <c r="DD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2" s="145"/>
      <c r="DF72" s="269">
        <f ca="1">(TblMili[[#This Row],[Wizards]]+2*TblMili[[#This Row],[Archmages]])/TblConstr[[#This Row],[Land]]</f>
        <v>0.1</v>
      </c>
      <c r="DG72" s="269">
        <f ca="1">TblMili[[#This Row],[Raw (2)]]*(1+race_wizard_strength+IF(TblMili[[#This Row],[Hour]]&gt;72,tech_magical_weaponry_wiz*TblTech[[#This Row],[3-5]],0))</f>
        <v>0.1</v>
      </c>
    </row>
    <row r="73" spans="1:111"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45460.874999999833</v>
      </c>
      <c r="AG73" s="182"/>
      <c r="AH73" s="161"/>
      <c r="AI73" s="182"/>
      <c r="AJ73" s="182"/>
      <c r="AK73" s="182"/>
      <c r="AL73" s="182"/>
      <c r="AM73" s="182"/>
      <c r="AN73" s="182"/>
      <c r="AO73" s="449">
        <f ca="1">IF(AND(TblMagic[[#This Row],[Active DnD]]&lt;12,TblMagic[[#This Row],[Active DnD]]&gt;5),OFFSET(TblPop[[#This Row],[Draft Growth]],-1,0)/2,0)</f>
        <v>0</v>
      </c>
      <c r="AP73" s="145"/>
      <c r="AQ73" s="97">
        <f ca="1">TblProd[[#This Row],[Platinum]]</f>
        <v>499412</v>
      </c>
      <c r="AR73" s="97">
        <f ca="1">INDEX(TblProd[[#Headers],[Lumber]]:TblProd[[#This Row],[Ore]],COUNTA(TblProd[[#Headers],[Lumber]]:TblProd[[#This Row],[Lumber]]),MATCH(Military!$AQ$2,TblProd[[#Headers],[Lumber]:[Ore]],0))</f>
        <v>0</v>
      </c>
      <c r="AS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7">
        <f ca="1">TblMili[[#This Row],[Train Unit 1]]*TblMili[[#This Row],[OP Ore]]+TblMili[[#This Row],[Train Unit 2]]*TblMili[[#This Row],[DP Ore]]+TblMili[[#This Row],[Train Unit 3]]*TblMili[[#This Row],[E1 Ore]]+TblMili[[#This Row],[Train Unit 4]]*TblMili[[#This Row],[E2 Ore]]</f>
        <v>0</v>
      </c>
      <c r="AU73" s="145">
        <f>TblMili[[#This Row],[Hour]]</f>
        <v>70</v>
      </c>
      <c r="AV73" s="155">
        <f ca="1">TblMili[[#This Row],[Time]]</f>
        <v>45460.874999999833</v>
      </c>
      <c r="AW73" s="97">
        <f ca="1">TblMili[[#This Row],[Draftees]]</f>
        <v>626</v>
      </c>
      <c r="AX73" s="182"/>
      <c r="AY73" s="182"/>
      <c r="AZ73" s="182"/>
      <c r="BA73" s="182"/>
      <c r="BB73" s="182"/>
      <c r="BC73" s="182"/>
      <c r="BD73" s="182"/>
      <c r="BE73" s="182"/>
      <c r="BF73" s="182"/>
      <c r="BG73" s="145"/>
      <c r="BH73" s="160">
        <f ca="1">TblConstr[[#This Row],[Tot WG]]/TblConstr[[#This Row],[Land]]</f>
        <v>0</v>
      </c>
      <c r="BI73" s="160">
        <f ca="1">TblConstr[[#This Row],[Tot Hav]]/TblConstr[[#This Row],[Land]]</f>
        <v>0</v>
      </c>
      <c r="BJ73" s="97">
        <f ca="1">ROUNDUP((1-MIN(TblMili[[#This Row],[Smithies]]*smithy_bonus,smithy_bonus_cap) + tech_3_5*TblTech[[#This Row],[3-5]] + tech_5_3*TblTech[[#This Row],[5-3]] + tech_5_5*TblTech[[#This Row],[5-5]])*spec_op_plat,0)</f>
        <v>275</v>
      </c>
      <c r="BK73" s="97">
        <f ca="1">ROUNDUP(IF(race="Gnome",1,(1-MIN(TblMili[[#This Row],[Smithies]]*smithy_bonus,smithy_bonus_cap) + tech_3_5*TblTech[[#This Row],[3-5]] + tech_5_3*TblTech[[#This Row],[5-3]] + tech_5_5*TblTech[[#This Row],[5-5]]))*spec_op_ore,0)</f>
        <v>25</v>
      </c>
      <c r="BL73" s="97">
        <f ca="1">ROUNDUP((1-MIN(TblMili[[#This Row],[Smithies]]*smithy_bonus,smithy_bonus_cap) + tech_3_5*TblTech[[#This Row],[3-5]] + tech_5_3*TblTech[[#This Row],[5-3]] + tech_5_5*TblTech[[#This Row],[5-5]])*spec_dp_plat,0)</f>
        <v>275</v>
      </c>
      <c r="BM73" s="97">
        <f ca="1">ROUNDUP(IF(race="Gnome",1,(1-MIN(TblMili[[#This Row],[Smithies]]*smithy_bonus,smithy_bonus_cap) + tech_3_5*TblTech[[#This Row],[3-5]] + tech_5_3*TblTech[[#This Row],[5-3]] + tech_5_5*TblTech[[#This Row],[5-5]]))*spec_dp_ore,0)</f>
        <v>15</v>
      </c>
      <c r="BN73" s="97">
        <f ca="1">ROUNDUP((1-MIN(TblMili[[#This Row],[Smithies]]*smithy_bonus,smithy_bonus_cap) + tech_3_5*TblTech[[#This Row],[3-5]] + tech_5_3*TblTech[[#This Row],[5-3]] + tech_5_5*TblTech[[#This Row],[5-5]])*elite1_plat,0)</f>
        <v>1000</v>
      </c>
      <c r="BO73" s="97">
        <f ca="1">ROUNDUP(IF(race="Gnome",1,(1-MIN(TblMili[[#This Row],[Smithies]]*smithy_bonus,smithy_bonus_cap) + tech_3_5*TblTech[[#This Row],[3-5]] + tech_5_3*TblTech[[#This Row],[5-3]] + tech_5_5*TblTech[[#This Row],[5-5]]))*elite1_ore,0)</f>
        <v>75</v>
      </c>
      <c r="BP73" s="97">
        <f ca="1">ROUNDUP((1-MIN(TblMili[[#This Row],[Smithies]]*smithy_bonus,smithy_bonus_cap) + tech_3_5*TblTech[[#This Row],[3-5]] + tech_5_3*TblTech[[#This Row],[5-3]] + tech_5_5*TblTech[[#This Row],[5-5]])*elite2_plat,0)</f>
        <v>1250</v>
      </c>
      <c r="BQ73" s="97">
        <f ca="1">ROUNDUP(IF(race="Gnome",1,(1-MIN(TblMili[[#This Row],[Smithies]]*smithy_bonus,smithy_bonus_cap) + tech_3_5*TblTech[[#This Row],[3-5]] + tech_5_3*TblTech[[#This Row],[5-3]] + tech_5_5*TblTech[[#This Row],[5-5]]))*elite2_ore,0)</f>
        <v>100</v>
      </c>
      <c r="BR73" s="97">
        <f ca="1">ROUNDUP((1-MIN(ROUND(fh_spy_cost_red*TblMili[[#This Row],[FH''s]],4),fh_spy_cost_cap)+ tech_1_9*TblTech[[#This Row],[1-9]] + tech_9_1*TblTech[[#This Row],[9-1]])*spy_plat,0)</f>
        <v>500</v>
      </c>
      <c r="BS73" s="97">
        <f ca="1">ROUNDUP((1-MIN(ROUND(fh_spy_cost_red*TblMili[[#This Row],[FH''s]],4),fh_spy_cost_cap)+ tech_1_9*TblTech[[#This Row],[1-9]] + tech_9_1*TblTech[[#This Row],[9-1]])*archspy_plat,0)</f>
        <v>1000</v>
      </c>
      <c r="BT73" s="97">
        <f ca="1">ROUNDUP((1-MIN(ROUND(wg_wiz_cost_bonus*TblMili[[#This Row],[WG''s]],4),wg_wiz_cost_cap) + tech_1_9_2*TblTech[[#This Row],[1-9]] + tech_9_1_2*TblTech[[#This Row],[9-1]])*wizard_plat,0)</f>
        <v>500</v>
      </c>
      <c r="BU73" s="97">
        <f ca="1">ROUNDUP((1-MIN(ROUND(wg_wiz_cost_bonus*TblMili[[#This Row],[WG''s]],4),wg_wiz_cost_cap) + tech_1_9_2*TblTech[[#This Row],[1-9]] + tech_9_1_2*TblTech[[#This Row],[9-1]])*archmage_plat,0)</f>
        <v>1000</v>
      </c>
      <c r="BV73" s="145"/>
      <c r="BW73" s="160">
        <f ca="1">TblConstr[[#This Row],[Homeland]]/TblConstr[[#This Row],[Land]]</f>
        <v>0.44</v>
      </c>
      <c r="BX73" s="160">
        <f ca="1">TblMili[[#This Row],[WG''s]]</f>
        <v>0</v>
      </c>
      <c r="BY73" s="266">
        <f ca="1">IF(mystic_cap="none",TblMili[[#This Row],[Hill]]/mystic_bonus,MIN(mystic_cap,TblMili[[#This Row],[Hill]]/mystic_bonus))</f>
        <v>2.1999999999999997</v>
      </c>
      <c r="BZ73" s="266">
        <f ca="1">IF(druid_op_cap="none",TblMili[[#This Row],[Hill]]/druid_op_bonus,MIN(druid_op_cap,TblMili[[#This Row],[Hill]]/druid_op_bonus))</f>
        <v>2.1999999999999997</v>
      </c>
      <c r="CA73" s="266">
        <f ca="1">IF(druid_dp_cap="none",TblMili[[#This Row],[Hill]]/druid_dp_bonus,MIN(druid_dp_cap,TblMili[[#This Row],[Hill]]/druid_dp_bonus))</f>
        <v>2.1999999999999997</v>
      </c>
      <c r="CB73" s="266">
        <f ca="1">MIN(dryad_cap,TblMili[[#This Row],[Hill]]/dryad_bonus)</f>
        <v>2.1999999999999997</v>
      </c>
      <c r="CC73" s="266">
        <f ca="1">MIN(rocka_cap,TblMili[[#This Row],[Hill]]/rocka_bonus)</f>
        <v>2</v>
      </c>
      <c r="CD73" s="266">
        <f ca="1">MIN(adept_op_cap,TblMili[[#This Row],[WG]]/adept_op_bonus)</f>
        <v>0</v>
      </c>
      <c r="CE73" s="266">
        <f ca="1">MIN(adept_dp_cap,TblMili[[#This Row],[WG]]/adept_dp_bonus)</f>
        <v>0</v>
      </c>
      <c r="CF73" s="97">
        <f ca="1">MIN(TblMili[[#This Row],[Unit 3]],TblMili[[#This Row],[Unit 2]])*2</f>
        <v>0</v>
      </c>
      <c r="CG73" s="97">
        <f ca="1">MIN(TblMili[[#This Row],[Unit 1]],TblMili[[#This Row],[Unit 4]])*2</f>
        <v>0</v>
      </c>
      <c r="CH73" s="266">
        <f ca="1">MIN(frost_mage_cap,TblMili[[#This Row],[Hill]]/frost_mage_bonus)</f>
        <v>2.1999999999999997</v>
      </c>
      <c r="CI73" s="45">
        <f ca="1">MIN(ice_elem_cap,TblMili[[#This Row],[Raw (2)]]*ice_elem_bonus)</f>
        <v>0.1</v>
      </c>
      <c r="CJ73" s="266">
        <f t="shared" si="3"/>
        <v>0.83333333333333337</v>
      </c>
      <c r="CK73" s="266">
        <f ca="1">MIN(nox_nightshade_cap,TblConstr[[#This Row],[Homeland]]/TblConstr[[#This Row],[Land]]/nox_nightshade_swamp_bonus)</f>
        <v>4</v>
      </c>
      <c r="CL73" s="267"/>
      <c r="CM73" s="267"/>
      <c r="CN73" s="267"/>
      <c r="CO73" s="266">
        <f ca="1">MIN(6,TblMili[[#This Row],[Mystic]]+Races!$F$19)*1.8 +  IF(TblMili[[#This Row],[Mystic]]+Races!$F$19&gt;6,(TblMili[[#This Row],[Mystic]]+Races!$F$19-6)*0.2,0) - Races!$I$19</f>
        <v>3.6399999999999997</v>
      </c>
      <c r="CP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3" s="97">
        <f ca="1">TblMili[[#This Row],[Mystic bonus]]*TblMili[[#This Row],[Unit 3]]+TblMili[[#This Row],[Druid bonus]]*TblMili[[#This Row],[Unit 4]]</f>
        <v>0</v>
      </c>
      <c r="CR73" s="158">
        <f ca="1">MIN(6,TblMili[[#This Row],[Dryad]]+Races!$F$35)*1.8 +  IF(TblMili[[#This Row],[Dryad]]+Races!$F$35&gt;6,(TblMili[[#This Row],[Dryad]]+Races!$F$35-6)*0.2,0) - Races!$I$19</f>
        <v>2.1599999999999993</v>
      </c>
      <c r="CS73" s="97">
        <f ca="1">sylvan*(TblMili[[#This Row],[Mystic bonus]]*TblMili[[#This Row],[Unit 3]])</f>
        <v>0</v>
      </c>
      <c r="CT73" s="158">
        <f ca="1">1.8 * MIN(MAX(Races!$E$27,TblMili[[#This Row],[Rockapult]]+Races!$F$27),6)  +  0.45 * MIN(MIN(Races!$E$27,TblMili[[#This Row],[Rockapult]]+Races!$F$27),6)  +  0.2 * ( MAX(Races!$E$27-6,0) + MAX(TblMili[[#This Row],[Rockapult]]+Races!$F$27-6,0) )  -  Races!$I$20</f>
        <v>5.8500000000000005</v>
      </c>
      <c r="CU73" s="97">
        <f ca="1">gnome*(TblMili[[#This Row],[Rockapult bonus]]*TblMili[[#This Row],[Unit 3]])</f>
        <v>0</v>
      </c>
      <c r="CV73" s="158">
        <f ca="1">1.8 * MIN(MAX(TblMili[[#This Row],[Spellblade]]+Races!$E$47,TblMili[[#This Row],[Adept-DP]]+Races!$F$47),6)  +  0.45 * MIN(MIN(TblMili[[#This Row],[Spellblade]]+Races!$E$47,TblMili[[#This Row],[Adept-DP]]+Races!$F$47),6)  +  0.2 * ( MAX(TblMili[[#This Row],[Spellblade]]+Races!$E$47-6,0) + MAX(TblMili[[#This Row],[Adept-DP]]+Races!$F$47-6,0) )  -  Races!$I$47</f>
        <v>0</v>
      </c>
      <c r="CW73" s="97">
        <f ca="1">dark_elf*(TblMili[[#This Row],[Adept bonus]]*TblMili[[#This Row],[Unit 3]])</f>
        <v>0</v>
      </c>
      <c r="CX73" s="158">
        <f ca="1">1.8 * MIN(MAX(TblMili[[#This Row],[Frost Mage]]+Races!$F$71,Races!$E$71),6)  +  0.45 * MIN(MIN(TblMili[[#This Row],[Frost Mage]]+Races!$F$71,Races!$E$71),6)  +  0.2 * ( MAX(TblMili[[#This Row],[Frost Mage]]+Races!$F$71-6,0) + MAX(Races!$E$71-6,0) )  -  Races!$I$71</f>
        <v>3.9599999999999991</v>
      </c>
      <c r="CY73" s="158">
        <f ca="1">1.8 * MIN(MAX(TblMili[[#This Row],[Ice Elemental]]+Races!$E$71,Races!$F$71),6)  +  0.45 * MIN(MIN(TblMili[[#This Row],[Ice Elemental]]+Races!$E$71,Races!$F$71),6)  +  0.2 * ( MAX(TblMili[[#This Row],[Ice Elemental]]+Races!$E$71-6,0) + MAX(Races!$F$71-6,0) )  -  Races!$I$71</f>
        <v>0.17999999999999972</v>
      </c>
      <c r="CZ73" s="97">
        <f ca="1">TblMili[[#This Row],[Frost Mage bonus]]*TblMili[[#This Row],[Unit 3]]+TblMili[[#This Row],[Ice Elemental bonus]]*TblMili[[#This Row],[Unit 4]]</f>
        <v>0</v>
      </c>
      <c r="DA73" s="268"/>
      <c r="DB73" s="146">
        <f ca="1">MIN(SUM(TblConstr[[#This Row],[Plain]:[Water]])/TblMili[[#This Row],[Land]]/favorable_terrain_bonus/100,favorable_terrain_max)</f>
        <v>0.1</v>
      </c>
      <c r="DC73" s="268"/>
      <c r="DD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3" s="145"/>
      <c r="DF73" s="269">
        <f ca="1">(TblMili[[#This Row],[Wizards]]+2*TblMili[[#This Row],[Archmages]])/TblConstr[[#This Row],[Land]]</f>
        <v>0.1</v>
      </c>
      <c r="DG73" s="269">
        <f ca="1">TblMili[[#This Row],[Raw (2)]]*(1+race_wizard_strength+IF(TblMili[[#This Row],[Hour]]&gt;72,tech_magical_weaponry_wiz*TblTech[[#This Row],[3-5]],0))</f>
        <v>0.1</v>
      </c>
    </row>
    <row r="74" spans="1:111"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45460.916666666497</v>
      </c>
      <c r="AG74" s="182"/>
      <c r="AH74" s="161"/>
      <c r="AI74" s="182"/>
      <c r="AJ74" s="182"/>
      <c r="AK74" s="182"/>
      <c r="AL74" s="182"/>
      <c r="AM74" s="182"/>
      <c r="AN74" s="182"/>
      <c r="AO74" s="449">
        <f ca="1">IF(AND(TblMagic[[#This Row],[Active DnD]]&lt;12,TblMagic[[#This Row],[Active DnD]]&gt;5),OFFSET(TblPop[[#This Row],[Draft Growth]],-1,0)/2,0)</f>
        <v>0</v>
      </c>
      <c r="AP74" s="145"/>
      <c r="AQ74" s="97">
        <f ca="1">TblProd[[#This Row],[Platinum]]</f>
        <v>504898</v>
      </c>
      <c r="AR74" s="97">
        <f ca="1">INDEX(TblProd[[#Headers],[Lumber]]:TblProd[[#This Row],[Ore]],COUNTA(TblProd[[#Headers],[Lumber]]:TblProd[[#This Row],[Lumber]]),MATCH(Military!$AQ$2,TblProd[[#Headers],[Lumber]:[Ore]],0))</f>
        <v>0</v>
      </c>
      <c r="AS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7">
        <f ca="1">TblMili[[#This Row],[Train Unit 1]]*TblMili[[#This Row],[OP Ore]]+TblMili[[#This Row],[Train Unit 2]]*TblMili[[#This Row],[DP Ore]]+TblMili[[#This Row],[Train Unit 3]]*TblMili[[#This Row],[E1 Ore]]+TblMili[[#This Row],[Train Unit 4]]*TblMili[[#This Row],[E2 Ore]]</f>
        <v>0</v>
      </c>
      <c r="AU74" s="145">
        <f>TblMili[[#This Row],[Hour]]</f>
        <v>71</v>
      </c>
      <c r="AV74" s="155">
        <f ca="1">TblMili[[#This Row],[Time]]</f>
        <v>45460.916666666497</v>
      </c>
      <c r="AW74" s="97">
        <f ca="1">TblMili[[#This Row],[Draftees]]</f>
        <v>626</v>
      </c>
      <c r="AX74" s="182"/>
      <c r="AY74" s="182"/>
      <c r="AZ74" s="182"/>
      <c r="BA74" s="182"/>
      <c r="BB74" s="182"/>
      <c r="BC74" s="182"/>
      <c r="BD74" s="182"/>
      <c r="BE74" s="182"/>
      <c r="BF74" s="182"/>
      <c r="BG74" s="145"/>
      <c r="BH74" s="160">
        <f ca="1">TblConstr[[#This Row],[Tot WG]]/TblConstr[[#This Row],[Land]]</f>
        <v>0</v>
      </c>
      <c r="BI74" s="160">
        <f ca="1">TblConstr[[#This Row],[Tot Hav]]/TblConstr[[#This Row],[Land]]</f>
        <v>0</v>
      </c>
      <c r="BJ74" s="97">
        <f ca="1">ROUNDUP((1-MIN(TblMili[[#This Row],[Smithies]]*smithy_bonus,smithy_bonus_cap) + tech_3_5*TblTech[[#This Row],[3-5]] + tech_5_3*TblTech[[#This Row],[5-3]] + tech_5_5*TblTech[[#This Row],[5-5]])*spec_op_plat,0)</f>
        <v>275</v>
      </c>
      <c r="BK74" s="97">
        <f ca="1">ROUNDUP(IF(race="Gnome",1,(1-MIN(TblMili[[#This Row],[Smithies]]*smithy_bonus,smithy_bonus_cap) + tech_3_5*TblTech[[#This Row],[3-5]] + tech_5_3*TblTech[[#This Row],[5-3]] + tech_5_5*TblTech[[#This Row],[5-5]]))*spec_op_ore,0)</f>
        <v>25</v>
      </c>
      <c r="BL74" s="97">
        <f ca="1">ROUNDUP((1-MIN(TblMili[[#This Row],[Smithies]]*smithy_bonus,smithy_bonus_cap) + tech_3_5*TblTech[[#This Row],[3-5]] + tech_5_3*TblTech[[#This Row],[5-3]] + tech_5_5*TblTech[[#This Row],[5-5]])*spec_dp_plat,0)</f>
        <v>275</v>
      </c>
      <c r="BM74" s="97">
        <f ca="1">ROUNDUP(IF(race="Gnome",1,(1-MIN(TblMili[[#This Row],[Smithies]]*smithy_bonus,smithy_bonus_cap) + tech_3_5*TblTech[[#This Row],[3-5]] + tech_5_3*TblTech[[#This Row],[5-3]] + tech_5_5*TblTech[[#This Row],[5-5]]))*spec_dp_ore,0)</f>
        <v>15</v>
      </c>
      <c r="BN74" s="97">
        <f ca="1">ROUNDUP((1-MIN(TblMili[[#This Row],[Smithies]]*smithy_bonus,smithy_bonus_cap) + tech_3_5*TblTech[[#This Row],[3-5]] + tech_5_3*TblTech[[#This Row],[5-3]] + tech_5_5*TblTech[[#This Row],[5-5]])*elite1_plat,0)</f>
        <v>1000</v>
      </c>
      <c r="BO74" s="97">
        <f ca="1">ROUNDUP(IF(race="Gnome",1,(1-MIN(TblMili[[#This Row],[Smithies]]*smithy_bonus,smithy_bonus_cap) + tech_3_5*TblTech[[#This Row],[3-5]] + tech_5_3*TblTech[[#This Row],[5-3]] + tech_5_5*TblTech[[#This Row],[5-5]]))*elite1_ore,0)</f>
        <v>75</v>
      </c>
      <c r="BP74" s="97">
        <f ca="1">ROUNDUP((1-MIN(TblMili[[#This Row],[Smithies]]*smithy_bonus,smithy_bonus_cap) + tech_3_5*TblTech[[#This Row],[3-5]] + tech_5_3*TblTech[[#This Row],[5-3]] + tech_5_5*TblTech[[#This Row],[5-5]])*elite2_plat,0)</f>
        <v>1250</v>
      </c>
      <c r="BQ74" s="97">
        <f ca="1">ROUNDUP(IF(race="Gnome",1,(1-MIN(TblMili[[#This Row],[Smithies]]*smithy_bonus,smithy_bonus_cap) + tech_3_5*TblTech[[#This Row],[3-5]] + tech_5_3*TblTech[[#This Row],[5-3]] + tech_5_5*TblTech[[#This Row],[5-5]]))*elite2_ore,0)</f>
        <v>100</v>
      </c>
      <c r="BR74" s="97">
        <f ca="1">ROUNDUP((1-MIN(ROUND(fh_spy_cost_red*TblMili[[#This Row],[FH''s]],4),fh_spy_cost_cap)+ tech_1_9*TblTech[[#This Row],[1-9]] + tech_9_1*TblTech[[#This Row],[9-1]])*spy_plat,0)</f>
        <v>500</v>
      </c>
      <c r="BS74" s="97">
        <f ca="1">ROUNDUP((1-MIN(ROUND(fh_spy_cost_red*TblMili[[#This Row],[FH''s]],4),fh_spy_cost_cap)+ tech_1_9*TblTech[[#This Row],[1-9]] + tech_9_1*TblTech[[#This Row],[9-1]])*archspy_plat,0)</f>
        <v>1000</v>
      </c>
      <c r="BT74" s="97">
        <f ca="1">ROUNDUP((1-MIN(ROUND(wg_wiz_cost_bonus*TblMili[[#This Row],[WG''s]],4),wg_wiz_cost_cap) + tech_1_9_2*TblTech[[#This Row],[1-9]] + tech_9_1_2*TblTech[[#This Row],[9-1]])*wizard_plat,0)</f>
        <v>500</v>
      </c>
      <c r="BU74" s="97">
        <f ca="1">ROUNDUP((1-MIN(ROUND(wg_wiz_cost_bonus*TblMili[[#This Row],[WG''s]],4),wg_wiz_cost_cap) + tech_1_9_2*TblTech[[#This Row],[1-9]] + tech_9_1_2*TblTech[[#This Row],[9-1]])*archmage_plat,0)</f>
        <v>1000</v>
      </c>
      <c r="BV74" s="145"/>
      <c r="BW74" s="160">
        <f ca="1">TblConstr[[#This Row],[Homeland]]/TblConstr[[#This Row],[Land]]</f>
        <v>0.44</v>
      </c>
      <c r="BX74" s="160">
        <f ca="1">TblMili[[#This Row],[WG''s]]</f>
        <v>0</v>
      </c>
      <c r="BY74" s="266">
        <f ca="1">IF(mystic_cap="none",TblMili[[#This Row],[Hill]]/mystic_bonus,MIN(mystic_cap,TblMili[[#This Row],[Hill]]/mystic_bonus))</f>
        <v>2.1999999999999997</v>
      </c>
      <c r="BZ74" s="266">
        <f ca="1">IF(druid_op_cap="none",TblMili[[#This Row],[Hill]]/druid_op_bonus,MIN(druid_op_cap,TblMili[[#This Row],[Hill]]/druid_op_bonus))</f>
        <v>2.1999999999999997</v>
      </c>
      <c r="CA74" s="266">
        <f ca="1">IF(druid_dp_cap="none",TblMili[[#This Row],[Hill]]/druid_dp_bonus,MIN(druid_dp_cap,TblMili[[#This Row],[Hill]]/druid_dp_bonus))</f>
        <v>2.1999999999999997</v>
      </c>
      <c r="CB74" s="266">
        <f ca="1">MIN(dryad_cap,TblMili[[#This Row],[Hill]]/dryad_bonus)</f>
        <v>2.1999999999999997</v>
      </c>
      <c r="CC74" s="266">
        <f ca="1">MIN(rocka_cap,TblMili[[#This Row],[Hill]]/rocka_bonus)</f>
        <v>2</v>
      </c>
      <c r="CD74" s="266">
        <f ca="1">MIN(adept_op_cap,TblMili[[#This Row],[WG]]/adept_op_bonus)</f>
        <v>0</v>
      </c>
      <c r="CE74" s="266">
        <f ca="1">MIN(adept_dp_cap,TblMili[[#This Row],[WG]]/adept_dp_bonus)</f>
        <v>0</v>
      </c>
      <c r="CF74" s="97">
        <f ca="1">MIN(TblMili[[#This Row],[Unit 3]],TblMili[[#This Row],[Unit 2]])*2</f>
        <v>0</v>
      </c>
      <c r="CG74" s="97">
        <f ca="1">MIN(TblMili[[#This Row],[Unit 1]],TblMili[[#This Row],[Unit 4]])*2</f>
        <v>0</v>
      </c>
      <c r="CH74" s="266">
        <f ca="1">MIN(frost_mage_cap,TblMili[[#This Row],[Hill]]/frost_mage_bonus)</f>
        <v>2.1999999999999997</v>
      </c>
      <c r="CI74" s="45">
        <f ca="1">MIN(ice_elem_cap,TblMili[[#This Row],[Raw (2)]]*ice_elem_bonus)</f>
        <v>0.1</v>
      </c>
      <c r="CJ74" s="266">
        <f t="shared" si="3"/>
        <v>0.83333333333333337</v>
      </c>
      <c r="CK74" s="266">
        <f ca="1">MIN(nox_nightshade_cap,TblConstr[[#This Row],[Homeland]]/TblConstr[[#This Row],[Land]]/nox_nightshade_swamp_bonus)</f>
        <v>4</v>
      </c>
      <c r="CL74" s="267"/>
      <c r="CM74" s="267"/>
      <c r="CN74" s="267"/>
      <c r="CO74" s="266">
        <f ca="1">MIN(6,TblMili[[#This Row],[Mystic]]+Races!$F$19)*1.8 +  IF(TblMili[[#This Row],[Mystic]]+Races!$F$19&gt;6,(TblMili[[#This Row],[Mystic]]+Races!$F$19-6)*0.2,0) - Races!$I$19</f>
        <v>3.6399999999999997</v>
      </c>
      <c r="CP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4" s="97">
        <f ca="1">TblMili[[#This Row],[Mystic bonus]]*TblMili[[#This Row],[Unit 3]]+TblMili[[#This Row],[Druid bonus]]*TblMili[[#This Row],[Unit 4]]</f>
        <v>0</v>
      </c>
      <c r="CR74" s="158">
        <f ca="1">MIN(6,TblMili[[#This Row],[Dryad]]+Races!$F$35)*1.8 +  IF(TblMili[[#This Row],[Dryad]]+Races!$F$35&gt;6,(TblMili[[#This Row],[Dryad]]+Races!$F$35-6)*0.2,0) - Races!$I$19</f>
        <v>2.1599999999999993</v>
      </c>
      <c r="CS74" s="97">
        <f ca="1">sylvan*(TblMili[[#This Row],[Mystic bonus]]*TblMili[[#This Row],[Unit 3]])</f>
        <v>0</v>
      </c>
      <c r="CT74" s="158">
        <f ca="1">1.8 * MIN(MAX(Races!$E$27,TblMili[[#This Row],[Rockapult]]+Races!$F$27),6)  +  0.45 * MIN(MIN(Races!$E$27,TblMili[[#This Row],[Rockapult]]+Races!$F$27),6)  +  0.2 * ( MAX(Races!$E$27-6,0) + MAX(TblMili[[#This Row],[Rockapult]]+Races!$F$27-6,0) )  -  Races!$I$20</f>
        <v>5.8500000000000005</v>
      </c>
      <c r="CU74" s="97">
        <f ca="1">gnome*(TblMili[[#This Row],[Rockapult bonus]]*TblMili[[#This Row],[Unit 3]])</f>
        <v>0</v>
      </c>
      <c r="CV74" s="158">
        <f ca="1">1.8 * MIN(MAX(TblMili[[#This Row],[Spellblade]]+Races!$E$47,TblMili[[#This Row],[Adept-DP]]+Races!$F$47),6)  +  0.45 * MIN(MIN(TblMili[[#This Row],[Spellblade]]+Races!$E$47,TblMili[[#This Row],[Adept-DP]]+Races!$F$47),6)  +  0.2 * ( MAX(TblMili[[#This Row],[Spellblade]]+Races!$E$47-6,0) + MAX(TblMili[[#This Row],[Adept-DP]]+Races!$F$47-6,0) )  -  Races!$I$47</f>
        <v>0</v>
      </c>
      <c r="CW74" s="97">
        <f ca="1">dark_elf*(TblMili[[#This Row],[Adept bonus]]*TblMili[[#This Row],[Unit 3]])</f>
        <v>0</v>
      </c>
      <c r="CX74" s="158">
        <f ca="1">1.8 * MIN(MAX(TblMili[[#This Row],[Frost Mage]]+Races!$F$71,Races!$E$71),6)  +  0.45 * MIN(MIN(TblMili[[#This Row],[Frost Mage]]+Races!$F$71,Races!$E$71),6)  +  0.2 * ( MAX(TblMili[[#This Row],[Frost Mage]]+Races!$F$71-6,0) + MAX(Races!$E$71-6,0) )  -  Races!$I$71</f>
        <v>3.9599999999999991</v>
      </c>
      <c r="CY74" s="158">
        <f ca="1">1.8 * MIN(MAX(TblMili[[#This Row],[Ice Elemental]]+Races!$E$71,Races!$F$71),6)  +  0.45 * MIN(MIN(TblMili[[#This Row],[Ice Elemental]]+Races!$E$71,Races!$F$71),6)  +  0.2 * ( MAX(TblMili[[#This Row],[Ice Elemental]]+Races!$E$71-6,0) + MAX(Races!$F$71-6,0) )  -  Races!$I$71</f>
        <v>0.17999999999999972</v>
      </c>
      <c r="CZ74" s="97">
        <f ca="1">TblMili[[#This Row],[Frost Mage bonus]]*TblMili[[#This Row],[Unit 3]]+TblMili[[#This Row],[Ice Elemental bonus]]*TblMili[[#This Row],[Unit 4]]</f>
        <v>0</v>
      </c>
      <c r="DA74" s="268"/>
      <c r="DB74" s="146">
        <f ca="1">MIN(SUM(TblConstr[[#This Row],[Plain]:[Water]])/TblMili[[#This Row],[Land]]/favorable_terrain_bonus/100,favorable_terrain_max)</f>
        <v>0.1</v>
      </c>
      <c r="DC74" s="268"/>
      <c r="DD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4" s="145"/>
      <c r="DF74" s="269">
        <f ca="1">(TblMili[[#This Row],[Wizards]]+2*TblMili[[#This Row],[Archmages]])/TblConstr[[#This Row],[Land]]</f>
        <v>0.1</v>
      </c>
      <c r="DG74" s="269">
        <f ca="1">TblMili[[#This Row],[Raw (2)]]*(1+race_wizard_strength+IF(TblMili[[#This Row],[Hour]]&gt;72,tech_magical_weaponry_wiz*TblTech[[#This Row],[3-5]],0))</f>
        <v>0.1</v>
      </c>
    </row>
    <row r="75" spans="1:111"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45460.958333333161</v>
      </c>
      <c r="AG75" s="182"/>
      <c r="AH75" s="161"/>
      <c r="AI75" s="182"/>
      <c r="AJ75" s="182"/>
      <c r="AK75" s="182"/>
      <c r="AL75" s="182"/>
      <c r="AM75" s="182"/>
      <c r="AN75" s="182"/>
      <c r="AO75" s="449">
        <f ca="1">IF(AND(TblMagic[[#This Row],[Active DnD]]&lt;12,TblMagic[[#This Row],[Active DnD]]&gt;5),OFFSET(TblPop[[#This Row],[Draft Growth]],-1,0)/2,0)</f>
        <v>0</v>
      </c>
      <c r="AP75" s="145"/>
      <c r="AQ75" s="97">
        <f ca="1">TblProd[[#This Row],[Platinum]]</f>
        <v>510384</v>
      </c>
      <c r="AR75" s="97">
        <f ca="1">INDEX(TblProd[[#Headers],[Lumber]]:TblProd[[#This Row],[Ore]],COUNTA(TblProd[[#Headers],[Lumber]]:TblProd[[#This Row],[Lumber]]),MATCH(Military!$AQ$2,TblProd[[#Headers],[Lumber]:[Ore]],0))</f>
        <v>0</v>
      </c>
      <c r="AS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7">
        <f ca="1">TblMili[[#This Row],[Train Unit 1]]*TblMili[[#This Row],[OP Ore]]+TblMili[[#This Row],[Train Unit 2]]*TblMili[[#This Row],[DP Ore]]+TblMili[[#This Row],[Train Unit 3]]*TblMili[[#This Row],[E1 Ore]]+TblMili[[#This Row],[Train Unit 4]]*TblMili[[#This Row],[E2 Ore]]</f>
        <v>0</v>
      </c>
      <c r="AU75" s="145">
        <f>TblMili[[#This Row],[Hour]]</f>
        <v>72</v>
      </c>
      <c r="AV75" s="155">
        <f ca="1">TblMili[[#This Row],[Time]]</f>
        <v>45460.958333333161</v>
      </c>
      <c r="AW75" s="97">
        <f ca="1">TblMili[[#This Row],[Draftees]]</f>
        <v>626</v>
      </c>
      <c r="AX75" s="182"/>
      <c r="AY75" s="182"/>
      <c r="AZ75" s="182"/>
      <c r="BA75" s="182"/>
      <c r="BB75" s="182"/>
      <c r="BC75" s="182"/>
      <c r="BD75" s="182"/>
      <c r="BE75" s="182"/>
      <c r="BF75" s="182"/>
      <c r="BG75" s="145"/>
      <c r="BH75" s="160">
        <f ca="1">TblConstr[[#This Row],[Tot WG]]/TblConstr[[#This Row],[Land]]</f>
        <v>0</v>
      </c>
      <c r="BI75" s="160">
        <f ca="1">TblConstr[[#This Row],[Tot Hav]]/TblConstr[[#This Row],[Land]]</f>
        <v>0</v>
      </c>
      <c r="BJ75" s="97">
        <f ca="1">ROUNDUP((1-MIN(TblMili[[#This Row],[Smithies]]*smithy_bonus,smithy_bonus_cap) + tech_3_5*TblTech[[#This Row],[3-5]] + tech_5_3*TblTech[[#This Row],[5-3]] + tech_5_5*TblTech[[#This Row],[5-5]])*spec_op_plat,0)</f>
        <v>275</v>
      </c>
      <c r="BK75" s="97">
        <f ca="1">ROUNDUP(IF(race="Gnome",1,(1-MIN(TblMili[[#This Row],[Smithies]]*smithy_bonus,smithy_bonus_cap) + tech_3_5*TblTech[[#This Row],[3-5]] + tech_5_3*TblTech[[#This Row],[5-3]] + tech_5_5*TblTech[[#This Row],[5-5]]))*spec_op_ore,0)</f>
        <v>25</v>
      </c>
      <c r="BL75" s="97">
        <f ca="1">ROUNDUP((1-MIN(TblMili[[#This Row],[Smithies]]*smithy_bonus,smithy_bonus_cap) + tech_3_5*TblTech[[#This Row],[3-5]] + tech_5_3*TblTech[[#This Row],[5-3]] + tech_5_5*TblTech[[#This Row],[5-5]])*spec_dp_plat,0)</f>
        <v>275</v>
      </c>
      <c r="BM75" s="97">
        <f ca="1">ROUNDUP(IF(race="Gnome",1,(1-MIN(TblMili[[#This Row],[Smithies]]*smithy_bonus,smithy_bonus_cap) + tech_3_5*TblTech[[#This Row],[3-5]] + tech_5_3*TblTech[[#This Row],[5-3]] + tech_5_5*TblTech[[#This Row],[5-5]]))*spec_dp_ore,0)</f>
        <v>15</v>
      </c>
      <c r="BN75" s="97">
        <f ca="1">ROUNDUP((1-MIN(TblMili[[#This Row],[Smithies]]*smithy_bonus,smithy_bonus_cap) + tech_3_5*TblTech[[#This Row],[3-5]] + tech_5_3*TblTech[[#This Row],[5-3]] + tech_5_5*TblTech[[#This Row],[5-5]])*elite1_plat,0)</f>
        <v>1000</v>
      </c>
      <c r="BO75" s="97">
        <f ca="1">ROUNDUP(IF(race="Gnome",1,(1-MIN(TblMili[[#This Row],[Smithies]]*smithy_bonus,smithy_bonus_cap) + tech_3_5*TblTech[[#This Row],[3-5]] + tech_5_3*TblTech[[#This Row],[5-3]] + tech_5_5*TblTech[[#This Row],[5-5]]))*elite1_ore,0)</f>
        <v>75</v>
      </c>
      <c r="BP75" s="97">
        <f ca="1">ROUNDUP((1-MIN(TblMili[[#This Row],[Smithies]]*smithy_bonus,smithy_bonus_cap) + tech_3_5*TblTech[[#This Row],[3-5]] + tech_5_3*TblTech[[#This Row],[5-3]] + tech_5_5*TblTech[[#This Row],[5-5]])*elite2_plat,0)</f>
        <v>1250</v>
      </c>
      <c r="BQ75" s="97">
        <f ca="1">ROUNDUP(IF(race="Gnome",1,(1-MIN(TblMili[[#This Row],[Smithies]]*smithy_bonus,smithy_bonus_cap) + tech_3_5*TblTech[[#This Row],[3-5]] + tech_5_3*TblTech[[#This Row],[5-3]] + tech_5_5*TblTech[[#This Row],[5-5]]))*elite2_ore,0)</f>
        <v>100</v>
      </c>
      <c r="BR75" s="97">
        <f ca="1">ROUNDUP((1-MIN(ROUND(fh_spy_cost_red*TblMili[[#This Row],[FH''s]],4),fh_spy_cost_cap)+ tech_1_9*TblTech[[#This Row],[1-9]] + tech_9_1*TblTech[[#This Row],[9-1]])*spy_plat,0)</f>
        <v>500</v>
      </c>
      <c r="BS75" s="97">
        <f ca="1">ROUNDUP((1-MIN(ROUND(fh_spy_cost_red*TblMili[[#This Row],[FH''s]],4),fh_spy_cost_cap)+ tech_1_9*TblTech[[#This Row],[1-9]] + tech_9_1*TblTech[[#This Row],[9-1]])*archspy_plat,0)</f>
        <v>1000</v>
      </c>
      <c r="BT75" s="97">
        <f ca="1">ROUNDUP((1-MIN(ROUND(wg_wiz_cost_bonus*TblMili[[#This Row],[WG''s]],4),wg_wiz_cost_cap) + tech_1_9_2*TblTech[[#This Row],[1-9]] + tech_9_1_2*TblTech[[#This Row],[9-1]])*wizard_plat,0)</f>
        <v>500</v>
      </c>
      <c r="BU75" s="97">
        <f ca="1">ROUNDUP((1-MIN(ROUND(wg_wiz_cost_bonus*TblMili[[#This Row],[WG''s]],4),wg_wiz_cost_cap) + tech_1_9_2*TblTech[[#This Row],[1-9]] + tech_9_1_2*TblTech[[#This Row],[9-1]])*archmage_plat,0)</f>
        <v>1000</v>
      </c>
      <c r="BV75" s="145"/>
      <c r="BW75" s="160">
        <f ca="1">TblConstr[[#This Row],[Homeland]]/TblConstr[[#This Row],[Land]]</f>
        <v>0.44</v>
      </c>
      <c r="BX75" s="160">
        <f ca="1">TblMili[[#This Row],[WG''s]]</f>
        <v>0</v>
      </c>
      <c r="BY75" s="266">
        <f ca="1">IF(mystic_cap="none",TblMili[[#This Row],[Hill]]/mystic_bonus,MIN(mystic_cap,TblMili[[#This Row],[Hill]]/mystic_bonus))</f>
        <v>2.1999999999999997</v>
      </c>
      <c r="BZ75" s="266">
        <f ca="1">IF(druid_op_cap="none",TblMili[[#This Row],[Hill]]/druid_op_bonus,MIN(druid_op_cap,TblMili[[#This Row],[Hill]]/druid_op_bonus))</f>
        <v>2.1999999999999997</v>
      </c>
      <c r="CA75" s="266">
        <f ca="1">IF(druid_dp_cap="none",TblMili[[#This Row],[Hill]]/druid_dp_bonus,MIN(druid_dp_cap,TblMili[[#This Row],[Hill]]/druid_dp_bonus))</f>
        <v>2.1999999999999997</v>
      </c>
      <c r="CB75" s="266">
        <f ca="1">MIN(dryad_cap,TblMili[[#This Row],[Hill]]/dryad_bonus)</f>
        <v>2.1999999999999997</v>
      </c>
      <c r="CC75" s="266">
        <f ca="1">MIN(rocka_cap,TblMili[[#This Row],[Hill]]/rocka_bonus)</f>
        <v>2</v>
      </c>
      <c r="CD75" s="266">
        <f ca="1">MIN(adept_op_cap,TblMili[[#This Row],[WG]]/adept_op_bonus)</f>
        <v>0</v>
      </c>
      <c r="CE75" s="266">
        <f ca="1">MIN(adept_dp_cap,TblMili[[#This Row],[WG]]/adept_dp_bonus)</f>
        <v>0</v>
      </c>
      <c r="CF75" s="97">
        <f ca="1">MIN(TblMili[[#This Row],[Unit 3]],TblMili[[#This Row],[Unit 2]])*2</f>
        <v>0</v>
      </c>
      <c r="CG75" s="97">
        <f ca="1">MIN(TblMili[[#This Row],[Unit 1]],TblMili[[#This Row],[Unit 4]])*2</f>
        <v>0</v>
      </c>
      <c r="CH75" s="266">
        <f ca="1">MIN(frost_mage_cap,TblMili[[#This Row],[Hill]]/frost_mage_bonus)</f>
        <v>2.1999999999999997</v>
      </c>
      <c r="CI75" s="45">
        <f ca="1">MIN(ice_elem_cap,TblMili[[#This Row],[Raw (2)]]*ice_elem_bonus)</f>
        <v>0.1</v>
      </c>
      <c r="CJ75" s="266">
        <f t="shared" si="3"/>
        <v>0.83333333333333337</v>
      </c>
      <c r="CK75" s="266">
        <f ca="1">MIN(nox_nightshade_cap,TblConstr[[#This Row],[Homeland]]/TblConstr[[#This Row],[Land]]/nox_nightshade_swamp_bonus)</f>
        <v>4</v>
      </c>
      <c r="CL75" s="267"/>
      <c r="CM75" s="267"/>
      <c r="CN75" s="267"/>
      <c r="CO75" s="266">
        <f ca="1">MIN(6,TblMili[[#This Row],[Mystic]]+Races!$F$19)*1.8 +  IF(TblMili[[#This Row],[Mystic]]+Races!$F$19&gt;6,(TblMili[[#This Row],[Mystic]]+Races!$F$19-6)*0.2,0) - Races!$I$19</f>
        <v>3.6399999999999997</v>
      </c>
      <c r="CP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5" s="97">
        <f ca="1">TblMili[[#This Row],[Mystic bonus]]*TblMili[[#This Row],[Unit 3]]+TblMili[[#This Row],[Druid bonus]]*TblMili[[#This Row],[Unit 4]]</f>
        <v>0</v>
      </c>
      <c r="CR75" s="158">
        <f ca="1">MIN(6,TblMili[[#This Row],[Dryad]]+Races!$F$35)*1.8 +  IF(TblMili[[#This Row],[Dryad]]+Races!$F$35&gt;6,(TblMili[[#This Row],[Dryad]]+Races!$F$35-6)*0.2,0) - Races!$I$19</f>
        <v>2.1599999999999993</v>
      </c>
      <c r="CS75" s="97">
        <f ca="1">sylvan*(TblMili[[#This Row],[Mystic bonus]]*TblMili[[#This Row],[Unit 3]])</f>
        <v>0</v>
      </c>
      <c r="CT75" s="158">
        <f ca="1">1.8 * MIN(MAX(Races!$E$27,TblMili[[#This Row],[Rockapult]]+Races!$F$27),6)  +  0.45 * MIN(MIN(Races!$E$27,TblMili[[#This Row],[Rockapult]]+Races!$F$27),6)  +  0.2 * ( MAX(Races!$E$27-6,0) + MAX(TblMili[[#This Row],[Rockapult]]+Races!$F$27-6,0) )  -  Races!$I$20</f>
        <v>5.8500000000000005</v>
      </c>
      <c r="CU75" s="97">
        <f ca="1">gnome*(TblMili[[#This Row],[Rockapult bonus]]*TblMili[[#This Row],[Unit 3]])</f>
        <v>0</v>
      </c>
      <c r="CV75" s="158">
        <f ca="1">1.8 * MIN(MAX(TblMili[[#This Row],[Spellblade]]+Races!$E$47,TblMili[[#This Row],[Adept-DP]]+Races!$F$47),6)  +  0.45 * MIN(MIN(TblMili[[#This Row],[Spellblade]]+Races!$E$47,TblMili[[#This Row],[Adept-DP]]+Races!$F$47),6)  +  0.2 * ( MAX(TblMili[[#This Row],[Spellblade]]+Races!$E$47-6,0) + MAX(TblMili[[#This Row],[Adept-DP]]+Races!$F$47-6,0) )  -  Races!$I$47</f>
        <v>0</v>
      </c>
      <c r="CW75" s="97">
        <f ca="1">dark_elf*(TblMili[[#This Row],[Adept bonus]]*TblMili[[#This Row],[Unit 3]])</f>
        <v>0</v>
      </c>
      <c r="CX75" s="158">
        <f ca="1">1.8 * MIN(MAX(TblMili[[#This Row],[Frost Mage]]+Races!$F$71,Races!$E$71),6)  +  0.45 * MIN(MIN(TblMili[[#This Row],[Frost Mage]]+Races!$F$71,Races!$E$71),6)  +  0.2 * ( MAX(TblMili[[#This Row],[Frost Mage]]+Races!$F$71-6,0) + MAX(Races!$E$71-6,0) )  -  Races!$I$71</f>
        <v>3.9599999999999991</v>
      </c>
      <c r="CY75" s="158">
        <f ca="1">1.8 * MIN(MAX(TblMili[[#This Row],[Ice Elemental]]+Races!$E$71,Races!$F$71),6)  +  0.45 * MIN(MIN(TblMili[[#This Row],[Ice Elemental]]+Races!$E$71,Races!$F$71),6)  +  0.2 * ( MAX(TblMili[[#This Row],[Ice Elemental]]+Races!$E$71-6,0) + MAX(Races!$F$71-6,0) )  -  Races!$I$71</f>
        <v>0.17999999999999972</v>
      </c>
      <c r="CZ75" s="97">
        <f ca="1">TblMili[[#This Row],[Frost Mage bonus]]*TblMili[[#This Row],[Unit 3]]+TblMili[[#This Row],[Ice Elemental bonus]]*TblMili[[#This Row],[Unit 4]]</f>
        <v>0</v>
      </c>
      <c r="DA75" s="268"/>
      <c r="DB75" s="146">
        <f ca="1">MIN(SUM(TblConstr[[#This Row],[Plain]:[Water]])/TblMili[[#This Row],[Land]]/favorable_terrain_bonus/100,favorable_terrain_max)</f>
        <v>0.1</v>
      </c>
      <c r="DC75" s="268"/>
      <c r="DD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5" s="145"/>
      <c r="DF75" s="269">
        <f ca="1">(TblMili[[#This Row],[Wizards]]+2*TblMili[[#This Row],[Archmages]])/TblConstr[[#This Row],[Land]]</f>
        <v>0.1</v>
      </c>
      <c r="DG75" s="269">
        <f ca="1">TblMili[[#This Row],[Raw (2)]]*(1+race_wizard_strength+IF(TblMili[[#This Row],[Hour]]&gt;72,tech_magical_weaponry_wiz*TblTech[[#This Row],[3-5]],0))</f>
        <v>0.1</v>
      </c>
    </row>
    <row r="76" spans="1:111"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 + OFFSET(TblMili[[#This Row],[DnD_Zombies]],-12,0)</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45460.999999999825</v>
      </c>
      <c r="AG76" s="207"/>
      <c r="AH76" s="161"/>
      <c r="AI76" s="182"/>
      <c r="AJ76" s="207"/>
      <c r="AK76" s="207"/>
      <c r="AL76" s="207"/>
      <c r="AM76" s="207"/>
      <c r="AN76" s="207"/>
      <c r="AO76" s="450">
        <f ca="1">IF(AND(TblMagic[[#This Row],[Active DnD]]&lt;12,TblMagic[[#This Row],[Active DnD]]&gt;5),OFFSET(TblPop[[#This Row],[Draft Growth]],-1,0)/2,0)</f>
        <v>0</v>
      </c>
      <c r="AP76" s="152"/>
      <c r="AQ76" s="210">
        <f ca="1">TblProd[[#This Row],[Platinum]]</f>
        <v>515870</v>
      </c>
      <c r="AR76" s="210">
        <f ca="1">INDEX(TblProd[[#Headers],[Lumber]]:TblProd[[#This Row],[Ore]],COUNTA(TblProd[[#Headers],[Lumber]]:TblProd[[#This Row],[Lumber]]),MATCH(Military!$AQ$2,TblProd[[#Headers],[Lumber]:[Ore]],0))</f>
        <v>0</v>
      </c>
      <c r="AS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10">
        <f ca="1">TblMili[[#This Row],[Train Unit 1]]*TblMili[[#This Row],[OP Ore]]+TblMili[[#This Row],[Train Unit 2]]*TblMili[[#This Row],[DP Ore]]+TblMili[[#This Row],[Train Unit 3]]*TblMili[[#This Row],[E1 Ore]]+TblMili[[#This Row],[Train Unit 4]]*TblMili[[#This Row],[E2 Ore]]</f>
        <v>0</v>
      </c>
      <c r="AU76" s="152">
        <f>TblMili[[#This Row],[Hour]]</f>
        <v>73</v>
      </c>
      <c r="AV76" s="163">
        <f ca="1">TblMili[[#This Row],[Time]]</f>
        <v>45460.999999999825</v>
      </c>
      <c r="AW76" s="210">
        <f ca="1">TblMili[[#This Row],[Draftees]]</f>
        <v>626</v>
      </c>
      <c r="AX76" s="169"/>
      <c r="AY76" s="207"/>
      <c r="AZ76" s="207"/>
      <c r="BA76" s="207"/>
      <c r="BB76" s="207"/>
      <c r="BC76" s="207"/>
      <c r="BD76" s="207"/>
      <c r="BE76" s="207"/>
      <c r="BF76" s="207"/>
      <c r="BG76" s="152"/>
      <c r="BH76" s="252">
        <f ca="1">TblConstr[[#This Row],[Tot WG]]/TblConstr[[#This Row],[Land]]</f>
        <v>0</v>
      </c>
      <c r="BI76" s="252">
        <f ca="1">TblConstr[[#This Row],[Tot Hav]]/TblConstr[[#This Row],[Land]]</f>
        <v>0</v>
      </c>
      <c r="BJ76" s="210">
        <f ca="1">ROUNDUP((1-MIN(TblMili[[#This Row],[Smithies]]*smithy_bonus,smithy_bonus_cap) + tech_3_5*TblTech[[#This Row],[3-5]] + tech_5_3*TblTech[[#This Row],[5-3]] + tech_5_5*TblTech[[#This Row],[5-5]])*spec_op_plat,0)</f>
        <v>275</v>
      </c>
      <c r="BK76" s="210">
        <f ca="1">ROUNDUP(IF(race="Gnome",1,(1-MIN(TblMili[[#This Row],[Smithies]]*smithy_bonus,smithy_bonus_cap) + tech_3_5*TblTech[[#This Row],[3-5]] + tech_5_3*TblTech[[#This Row],[5-3]] + tech_5_5*TblTech[[#This Row],[5-5]]))*spec_op_ore,0)</f>
        <v>25</v>
      </c>
      <c r="BL76" s="210">
        <f ca="1">ROUNDUP((1-MIN(TblMili[[#This Row],[Smithies]]*smithy_bonus,smithy_bonus_cap) + tech_3_5*TblTech[[#This Row],[3-5]] + tech_5_3*TblTech[[#This Row],[5-3]] + tech_5_5*TblTech[[#This Row],[5-5]])*spec_dp_plat,0)</f>
        <v>275</v>
      </c>
      <c r="BM76" s="210">
        <f ca="1">ROUNDUP(IF(race="Gnome",1,(1-MIN(TblMili[[#This Row],[Smithies]]*smithy_bonus,smithy_bonus_cap) + tech_3_5*TblTech[[#This Row],[3-5]] + tech_5_3*TblTech[[#This Row],[5-3]] + tech_5_5*TblTech[[#This Row],[5-5]]))*spec_dp_ore,0)</f>
        <v>15</v>
      </c>
      <c r="BN76" s="210">
        <f ca="1">ROUNDUP((1-MIN(TblMili[[#This Row],[Smithies]]*smithy_bonus,smithy_bonus_cap) + tech_3_5*TblTech[[#This Row],[3-5]] + tech_5_3*TblTech[[#This Row],[5-3]] + tech_5_5*TblTech[[#This Row],[5-5]])*elite1_plat,0)</f>
        <v>1000</v>
      </c>
      <c r="BO76" s="210">
        <f ca="1">ROUNDUP(IF(race="Gnome",1,(1-MIN(TblMili[[#This Row],[Smithies]]*smithy_bonus,smithy_bonus_cap) + tech_3_5*TblTech[[#This Row],[3-5]] + tech_5_3*TblTech[[#This Row],[5-3]] + tech_5_5*TblTech[[#This Row],[5-5]]))*elite1_ore,0)</f>
        <v>75</v>
      </c>
      <c r="BP76" s="210">
        <f ca="1">ROUNDUP((1-MIN(TblMili[[#This Row],[Smithies]]*smithy_bonus,smithy_bonus_cap) + tech_3_5*TblTech[[#This Row],[3-5]] + tech_5_3*TblTech[[#This Row],[5-3]] + tech_5_5*TblTech[[#This Row],[5-5]])*elite2_plat,0)</f>
        <v>1250</v>
      </c>
      <c r="BQ76" s="210">
        <f ca="1">ROUNDUP(IF(race="Gnome",1,(1-MIN(TblMili[[#This Row],[Smithies]]*smithy_bonus,smithy_bonus_cap) + tech_3_5*TblTech[[#This Row],[3-5]] + tech_5_3*TblTech[[#This Row],[5-3]] + tech_5_5*TblTech[[#This Row],[5-5]]))*elite2_ore,0)</f>
        <v>100</v>
      </c>
      <c r="BR76" s="210">
        <f ca="1">ROUNDUP((1-MIN(ROUND(fh_spy_cost_red*TblMili[[#This Row],[FH''s]],4),fh_spy_cost_cap)+ tech_1_9*TblTech[[#This Row],[1-9]] + tech_9_1*TblTech[[#This Row],[9-1]])*spy_plat,0)</f>
        <v>500</v>
      </c>
      <c r="BS76" s="210">
        <f ca="1">ROUNDUP((1-MIN(ROUND(fh_spy_cost_red*TblMili[[#This Row],[FH''s]],4),fh_spy_cost_cap)+ tech_1_9*TblTech[[#This Row],[1-9]] + tech_9_1*TblTech[[#This Row],[9-1]])*archspy_plat,0)</f>
        <v>1000</v>
      </c>
      <c r="BT76" s="210">
        <f ca="1">ROUNDUP((1-MIN(ROUND(wg_wiz_cost_bonus*TblMili[[#This Row],[WG''s]],4),wg_wiz_cost_cap) + tech_1_9_2*TblTech[[#This Row],[1-9]] + tech_9_1_2*TblTech[[#This Row],[9-1]])*wizard_plat,0)</f>
        <v>500</v>
      </c>
      <c r="BU76" s="210">
        <f ca="1">ROUNDUP((1-MIN(ROUND(wg_wiz_cost_bonus*TblMili[[#This Row],[WG''s]],4),wg_wiz_cost_cap) + tech_1_9_2*TblTech[[#This Row],[1-9]] + tech_9_1_2*TblTech[[#This Row],[9-1]])*archmage_plat,0)</f>
        <v>1000</v>
      </c>
      <c r="BV76" s="152"/>
      <c r="BW76" s="252">
        <f ca="1">TblConstr[[#This Row],[Homeland]]/TblConstr[[#This Row],[Land]]</f>
        <v>0.44</v>
      </c>
      <c r="BX76" s="252">
        <f ca="1">TblMili[[#This Row],[WG''s]]</f>
        <v>0</v>
      </c>
      <c r="BY76" s="279">
        <f ca="1">IF(mystic_cap="none",TblMili[[#This Row],[Hill]]/mystic_bonus,MIN(mystic_cap,TblMili[[#This Row],[Hill]]/mystic_bonus))</f>
        <v>2.1999999999999997</v>
      </c>
      <c r="BZ76" s="279">
        <f ca="1">IF(druid_op_cap="none",TblMili[[#This Row],[Hill]]/druid_op_bonus,MIN(druid_op_cap,TblMili[[#This Row],[Hill]]/druid_op_bonus))</f>
        <v>2.1999999999999997</v>
      </c>
      <c r="CA76" s="279">
        <f ca="1">IF(druid_dp_cap="none",TblMili[[#This Row],[Hill]]/druid_dp_bonus,MIN(druid_dp_cap,TblMili[[#This Row],[Hill]]/druid_dp_bonus))</f>
        <v>2.1999999999999997</v>
      </c>
      <c r="CB76" s="279">
        <f ca="1">MIN(dryad_cap,TblMili[[#This Row],[Hill]]/dryad_bonus)</f>
        <v>2.1999999999999997</v>
      </c>
      <c r="CC76" s="279">
        <f ca="1">MIN(rocka_cap,TblMili[[#This Row],[Hill]]/rocka_bonus)</f>
        <v>2</v>
      </c>
      <c r="CD76" s="279">
        <f ca="1">MIN(adept_op_cap,TblMili[[#This Row],[WG]]/adept_op_bonus)</f>
        <v>0</v>
      </c>
      <c r="CE76" s="279">
        <f ca="1">MIN(adept_dp_cap,TblMili[[#This Row],[WG]]/adept_dp_bonus)</f>
        <v>0</v>
      </c>
      <c r="CF76" s="210">
        <f ca="1">MIN(TblMili[[#This Row],[Unit 3]],TblMili[[#This Row],[Unit 2]])*2</f>
        <v>0</v>
      </c>
      <c r="CG76" s="210">
        <f ca="1">MIN(TblMili[[#This Row],[Unit 1]],TblMili[[#This Row],[Unit 4]])*2</f>
        <v>0</v>
      </c>
      <c r="CH76" s="279">
        <f ca="1">MIN(frost_mage_cap,TblMili[[#This Row],[Hill]]/frost_mage_bonus)</f>
        <v>2.1999999999999997</v>
      </c>
      <c r="CI76" s="211">
        <f ca="1">MIN(ice_elem_cap,TblMili[[#This Row],[Raw (2)]]*ice_elem_bonus)</f>
        <v>0.1</v>
      </c>
      <c r="CJ76" s="279">
        <f t="shared" si="3"/>
        <v>0.83333333333333337</v>
      </c>
      <c r="CK76" s="279">
        <f ca="1">MIN(nox_nightshade_cap,TblConstr[[#This Row],[Homeland]]/TblConstr[[#This Row],[Land]]/nox_nightshade_swamp_bonus)</f>
        <v>4</v>
      </c>
      <c r="CL76" s="280"/>
      <c r="CM76" s="280"/>
      <c r="CN76" s="280"/>
      <c r="CO76" s="279">
        <f ca="1">MIN(6,TblMili[[#This Row],[Mystic]]+Races!$F$19)*1.8 +  IF(TblMili[[#This Row],[Mystic]]+Races!$F$19&gt;6,(TblMili[[#This Row],[Mystic]]+Races!$F$19-6)*0.2,0) - Races!$I$19</f>
        <v>3.6399999999999997</v>
      </c>
      <c r="CP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Q76" s="210">
        <f ca="1">TblMili[[#This Row],[Mystic bonus]]*TblMili[[#This Row],[Unit 3]]+TblMili[[#This Row],[Druid bonus]]*TblMili[[#This Row],[Unit 4]]</f>
        <v>0</v>
      </c>
      <c r="CR76" s="281">
        <f ca="1">MIN(6,TblMili[[#This Row],[Dryad]]+Races!$F$35)*1.8 +  IF(TblMili[[#This Row],[Dryad]]+Races!$F$35&gt;6,(TblMili[[#This Row],[Dryad]]+Races!$F$35-6)*0.2,0) - Races!$I$19</f>
        <v>2.1599999999999993</v>
      </c>
      <c r="CS76" s="210">
        <f ca="1">sylvan*(TblMili[[#This Row],[Mystic bonus]]*TblMili[[#This Row],[Unit 3]])</f>
        <v>0</v>
      </c>
      <c r="CT76" s="281">
        <f ca="1">1.8 * MIN(MAX(Races!$E$27,TblMili[[#This Row],[Rockapult]]+Races!$F$27),6)  +  0.45 * MIN(MIN(Races!$E$27,TblMili[[#This Row],[Rockapult]]+Races!$F$27),6)  +  0.2 * ( MAX(Races!$E$27-6,0) + MAX(TblMili[[#This Row],[Rockapult]]+Races!$F$27-6,0) )  -  Races!$I$20</f>
        <v>5.8500000000000005</v>
      </c>
      <c r="CU76" s="210">
        <f ca="1">gnome*(TblMili[[#This Row],[Rockapult bonus]]*TblMili[[#This Row],[Unit 3]])</f>
        <v>0</v>
      </c>
      <c r="CV76" s="281">
        <f ca="1">1.8 * MIN(MAX(TblMili[[#This Row],[Spellblade]]+Races!$E$47,TblMili[[#This Row],[Adept-DP]]+Races!$F$47),6)  +  0.45 * MIN(MIN(TblMili[[#This Row],[Spellblade]]+Races!$E$47,TblMili[[#This Row],[Adept-DP]]+Races!$F$47),6)  +  0.2 * ( MAX(TblMili[[#This Row],[Spellblade]]+Races!$E$47-6,0) + MAX(TblMili[[#This Row],[Adept-DP]]+Races!$F$47-6,0) )  -  Races!$I$47</f>
        <v>0</v>
      </c>
      <c r="CW76" s="210">
        <f ca="1">dark_elf*(TblMili[[#This Row],[Adept bonus]]*TblMili[[#This Row],[Unit 3]])</f>
        <v>0</v>
      </c>
      <c r="CX76" s="281">
        <f ca="1">1.8 * MIN(MAX(TblMili[[#This Row],[Frost Mage]]+Races!$F$71,Races!$E$71),6)  +  0.45 * MIN(MIN(TblMili[[#This Row],[Frost Mage]]+Races!$F$71,Races!$E$71),6)  +  0.2 * ( MAX(TblMili[[#This Row],[Frost Mage]]+Races!$F$71-6,0) + MAX(Races!$E$71-6,0) )  -  Races!$I$71</f>
        <v>3.9599999999999991</v>
      </c>
      <c r="CY76" s="281">
        <f ca="1">1.8 * MIN(MAX(TblMili[[#This Row],[Ice Elemental]]+Races!$E$71,Races!$F$71),6)  +  0.45 * MIN(MIN(TblMili[[#This Row],[Ice Elemental]]+Races!$E$71,Races!$F$71),6)  +  0.2 * ( MAX(TblMili[[#This Row],[Ice Elemental]]+Races!$E$71-6,0) + MAX(Races!$F$71-6,0) )  -  Races!$I$71</f>
        <v>0.17999999999999972</v>
      </c>
      <c r="CZ76" s="210">
        <f ca="1">TblMili[[#This Row],[Frost Mage bonus]]*TblMili[[#This Row],[Unit 3]]+TblMili[[#This Row],[Ice Elemental bonus]]*TblMili[[#This Row],[Unit 4]]</f>
        <v>0</v>
      </c>
      <c r="DA76" s="282"/>
      <c r="DB76" s="153">
        <f ca="1">MIN(SUM(TblConstr[[#This Row],[Plain]:[Water]])/TblMili[[#This Row],[Land]]/favorable_terrain_bonus/100,favorable_terrain_max)</f>
        <v>0.1</v>
      </c>
      <c r="DC76" s="282"/>
      <c r="DD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6" s="152"/>
      <c r="DF76" s="283">
        <f ca="1">(TblMili[[#This Row],[Wizards]]+2*TblMili[[#This Row],[Archmages]])/TblConstr[[#This Row],[Land]]</f>
        <v>0.1</v>
      </c>
      <c r="DG76" s="283">
        <f ca="1">TblMili[[#This Row],[Raw (2)]]*(1+race_wizard_strength+IF(TblMili[[#This Row],[Hour]]&gt;72,tech_magical_weaponry_wiz*TblTech[[#This Row],[3-5]],0))</f>
        <v>0.1</v>
      </c>
    </row>
    <row r="77" spans="1:111"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45461.04166666649</v>
      </c>
      <c r="AG77" s="182"/>
      <c r="AH77" s="161"/>
      <c r="AI77" s="182"/>
      <c r="AJ77" s="182"/>
      <c r="AK77" s="182"/>
      <c r="AL77" s="182"/>
      <c r="AM77" s="182"/>
      <c r="AN77" s="182"/>
      <c r="AO77" s="449">
        <f ca="1">IF(AND(TblMagic[[#This Row],[Active DnD]]&lt;12,TblMagic[[#This Row],[Active DnD]]&gt;5),OFFSET(TblPop[[#This Row],[Draft Growth]],-1,0)/2,0)</f>
        <v>0</v>
      </c>
      <c r="AP77" s="145"/>
      <c r="AQ77" s="97">
        <f ca="1">TblProd[[#This Row],[Platinum]]</f>
        <v>521356</v>
      </c>
      <c r="AR77" s="97">
        <f ca="1">INDEX(TblProd[[#Headers],[Lumber]]:TblProd[[#This Row],[Ore]],COUNTA(TblProd[[#Headers],[Lumber]]:TblProd[[#This Row],[Lumber]]),MATCH(Military!$AQ$2,TblProd[[#Headers],[Lumber]:[Ore]],0))</f>
        <v>0</v>
      </c>
      <c r="AS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7">
        <f ca="1">TblMili[[#This Row],[Train Unit 1]]*TblMili[[#This Row],[OP Ore]]+TblMili[[#This Row],[Train Unit 2]]*TblMili[[#This Row],[DP Ore]]+TblMili[[#This Row],[Train Unit 3]]*TblMili[[#This Row],[E1 Ore]]+TblMili[[#This Row],[Train Unit 4]]*TblMili[[#This Row],[E2 Ore]]</f>
        <v>0</v>
      </c>
      <c r="AU77" s="145">
        <f>TblMili[[#This Row],[Hour]]</f>
        <v>74</v>
      </c>
      <c r="AV77" s="155">
        <f ca="1">TblMili[[#This Row],[Time]]</f>
        <v>45461.04166666649</v>
      </c>
      <c r="AW77" s="97">
        <f ca="1">TblMili[[#This Row],[Draftees]]</f>
        <v>626</v>
      </c>
      <c r="AX77" s="161"/>
      <c r="AY77" s="182"/>
      <c r="AZ77" s="182"/>
      <c r="BA77" s="182"/>
      <c r="BB77" s="182"/>
      <c r="BC77" s="182"/>
      <c r="BD77" s="182"/>
      <c r="BE77" s="182"/>
      <c r="BF77" s="182"/>
      <c r="BG77" s="145"/>
      <c r="BH77" s="160">
        <f ca="1">TblConstr[[#This Row],[Tot WG]]/TblConstr[[#This Row],[Land]]</f>
        <v>0</v>
      </c>
      <c r="BI77" s="160">
        <f ca="1">TblConstr[[#This Row],[Tot Hav]]/TblConstr[[#This Row],[Land]]</f>
        <v>0</v>
      </c>
      <c r="BJ77" s="97">
        <f ca="1">ROUNDUP((1-MIN(TblMili[[#This Row],[Smithies]]*smithy_bonus,smithy_bonus_cap) + tech_3_5*TblTech[[#This Row],[3-5]] + tech_5_3*TblTech[[#This Row],[5-3]] + tech_5_5*TblTech[[#This Row],[5-5]])*spec_op_plat,0)</f>
        <v>275</v>
      </c>
      <c r="BK77" s="97">
        <f ca="1">ROUNDUP(IF(race="Gnome",1,(1-MIN(TblMili[[#This Row],[Smithies]]*smithy_bonus,smithy_bonus_cap) + tech_3_5*TblTech[[#This Row],[3-5]] + tech_5_3*TblTech[[#This Row],[5-3]] + tech_5_5*TblTech[[#This Row],[5-5]]))*spec_op_ore,0)</f>
        <v>25</v>
      </c>
      <c r="BL77" s="97">
        <f ca="1">ROUNDUP((1-MIN(TblMili[[#This Row],[Smithies]]*smithy_bonus,smithy_bonus_cap) + tech_3_5*TblTech[[#This Row],[3-5]] + tech_5_3*TblTech[[#This Row],[5-3]] + tech_5_5*TblTech[[#This Row],[5-5]])*spec_dp_plat,0)</f>
        <v>275</v>
      </c>
      <c r="BM77" s="97">
        <f ca="1">ROUNDUP(IF(race="Gnome",1,(1-MIN(TblMili[[#This Row],[Smithies]]*smithy_bonus,smithy_bonus_cap) + tech_3_5*TblTech[[#This Row],[3-5]] + tech_5_3*TblTech[[#This Row],[5-3]] + tech_5_5*TblTech[[#This Row],[5-5]]))*spec_dp_ore,0)</f>
        <v>15</v>
      </c>
      <c r="BN77" s="97">
        <f ca="1">ROUNDUP((1-MIN(TblMili[[#This Row],[Smithies]]*smithy_bonus,smithy_bonus_cap) + tech_3_5*TblTech[[#This Row],[3-5]] + tech_5_3*TblTech[[#This Row],[5-3]] + tech_5_5*TblTech[[#This Row],[5-5]])*elite1_plat,0)</f>
        <v>1000</v>
      </c>
      <c r="BO77" s="97">
        <f ca="1">ROUNDUP(IF(race="Gnome",1,(1-MIN(TblMili[[#This Row],[Smithies]]*smithy_bonus,smithy_bonus_cap) + tech_3_5*TblTech[[#This Row],[3-5]] + tech_5_3*TblTech[[#This Row],[5-3]] + tech_5_5*TblTech[[#This Row],[5-5]]))*elite1_ore,0)</f>
        <v>75</v>
      </c>
      <c r="BP77" s="97">
        <f ca="1">ROUNDUP((1-MIN(TblMili[[#This Row],[Smithies]]*smithy_bonus,smithy_bonus_cap) + tech_3_5*TblTech[[#This Row],[3-5]] + tech_5_3*TblTech[[#This Row],[5-3]] + tech_5_5*TblTech[[#This Row],[5-5]])*elite2_plat,0)</f>
        <v>1250</v>
      </c>
      <c r="BQ77" s="97">
        <f ca="1">ROUNDUP(IF(race="Gnome",1,(1-MIN(TblMili[[#This Row],[Smithies]]*smithy_bonus,smithy_bonus_cap) + tech_3_5*TblTech[[#This Row],[3-5]] + tech_5_3*TblTech[[#This Row],[5-3]] + tech_5_5*TblTech[[#This Row],[5-5]]))*elite2_ore,0)</f>
        <v>100</v>
      </c>
      <c r="BR77" s="97">
        <f ca="1">ROUNDUP((1-MIN(ROUND(fh_spy_cost_red*TblMili[[#This Row],[FH''s]],4),fh_spy_cost_cap)+ tech_1_9*TblTech[[#This Row],[1-9]] + tech_9_1*TblTech[[#This Row],[9-1]])*spy_plat,0)</f>
        <v>500</v>
      </c>
      <c r="BS77" s="97">
        <f ca="1">ROUNDUP((1-MIN(ROUND(fh_spy_cost_red*TblMili[[#This Row],[FH''s]],4),fh_spy_cost_cap)+ tech_1_9*TblTech[[#This Row],[1-9]] + tech_9_1*TblTech[[#This Row],[9-1]])*archspy_plat,0)</f>
        <v>1000</v>
      </c>
      <c r="BT77" s="97">
        <f ca="1">ROUNDUP((1-MIN(ROUND(wg_wiz_cost_bonus*TblMili[[#This Row],[WG''s]],4),wg_wiz_cost_cap) + tech_1_9_2*TblTech[[#This Row],[1-9]] + tech_9_1_2*TblTech[[#This Row],[9-1]])*wizard_plat,0)</f>
        <v>500</v>
      </c>
      <c r="BU77" s="97">
        <f ca="1">ROUNDUP((1-MIN(ROUND(wg_wiz_cost_bonus*TblMili[[#This Row],[WG''s]],4),wg_wiz_cost_cap) + tech_1_9_2*TblTech[[#This Row],[1-9]] + tech_9_1_2*TblTech[[#This Row],[9-1]])*archmage_plat,0)</f>
        <v>1000</v>
      </c>
      <c r="BV77" s="145"/>
      <c r="BW77" s="160">
        <f ca="1">TblConstr[[#This Row],[Homeland]]/TblConstr[[#This Row],[Land]]</f>
        <v>0.44</v>
      </c>
      <c r="BX77" s="160">
        <f ca="1">TblMili[[#This Row],[WG''s]]</f>
        <v>0</v>
      </c>
      <c r="BY77" s="266">
        <f ca="1">IF(mystic_cap="none",TblMili[[#This Row],[Hill]]/mystic_bonus,MIN(mystic_cap,TblMili[[#This Row],[Hill]]/mystic_bonus))</f>
        <v>2.1999999999999997</v>
      </c>
      <c r="BZ77" s="266">
        <f ca="1">IF(druid_op_cap="none",TblMili[[#This Row],[Hill]]/druid_op_bonus,MIN(druid_op_cap,TblMili[[#This Row],[Hill]]/druid_op_bonus))</f>
        <v>2.1999999999999997</v>
      </c>
      <c r="CA77" s="266">
        <f ca="1">IF(druid_dp_cap="none",TblMili[[#This Row],[Hill]]/druid_dp_bonus,MIN(druid_dp_cap,TblMili[[#This Row],[Hill]]/druid_dp_bonus))</f>
        <v>2.1999999999999997</v>
      </c>
      <c r="CB77" s="266">
        <f ca="1">MIN(dryad_cap,TblMili[[#This Row],[Hill]]/dryad_bonus)</f>
        <v>2.1999999999999997</v>
      </c>
      <c r="CC77" s="266">
        <f ca="1">MIN(rocka_cap,TblMili[[#This Row],[Hill]]/rocka_bonus)</f>
        <v>2</v>
      </c>
      <c r="CD77" s="266">
        <f ca="1">MIN(adept_op_cap,TblMili[[#This Row],[WG]]/adept_op_bonus)</f>
        <v>0</v>
      </c>
      <c r="CE77" s="266">
        <f ca="1">MIN(adept_dp_cap,TblMili[[#This Row],[WG]]/adept_dp_bonus)</f>
        <v>0</v>
      </c>
      <c r="CF77" s="97">
        <f ca="1">MIN(TblMili[[#This Row],[Unit 3]],TblMili[[#This Row],[Unit 2]])*2</f>
        <v>0</v>
      </c>
      <c r="CG77" s="97">
        <f ca="1">MIN(TblMili[[#This Row],[Unit 1]],TblMili[[#This Row],[Unit 4]])*2</f>
        <v>0</v>
      </c>
      <c r="CH77" s="266">
        <f ca="1">MIN(frost_mage_cap,TblMili[[#This Row],[Hill]]/frost_mage_bonus)</f>
        <v>2.1999999999999997</v>
      </c>
      <c r="CI77" s="45">
        <f ca="1">MIN(ice_elem_cap,TblMili[[#This Row],[Raw (2)]]*ice_elem_bonus)</f>
        <v>0.1</v>
      </c>
      <c r="CJ77" s="266">
        <f t="shared" si="3"/>
        <v>0.83333333333333337</v>
      </c>
      <c r="CK77" s="266">
        <f ca="1">MIN(nox_nightshade_cap,TblConstr[[#This Row],[Homeland]]/TblConstr[[#This Row],[Land]]/nox_nightshade_swamp_bonus)</f>
        <v>4</v>
      </c>
      <c r="CL77" s="267"/>
      <c r="CM77" s="267"/>
      <c r="CN77" s="267"/>
      <c r="CO77" s="266">
        <f ca="1">MIN(6,TblMili[[#This Row],[Mystic]]+Races!$F$19)*1.8 +  IF(TblMili[[#This Row],[Mystic]]+Races!$F$19&gt;6,(TblMili[[#This Row],[Mystic]]+Races!$F$19-6)*0.2,0) - Races!$I$19</f>
        <v>3.6399999999999997</v>
      </c>
      <c r="CP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7" s="97">
        <f ca="1">TblMili[[#This Row],[Mystic bonus]]*TblMili[[#This Row],[Unit 3]]+TblMili[[#This Row],[Druid bonus]]*TblMili[[#This Row],[Unit 4]]</f>
        <v>0</v>
      </c>
      <c r="CR77" s="158">
        <f ca="1">MIN(6,TblMili[[#This Row],[Dryad]]+Races!$F$35)*1.8 +  IF(TblMili[[#This Row],[Dryad]]+Races!$F$35&gt;6,(TblMili[[#This Row],[Dryad]]+Races!$F$35-6)*0.2,0) - Races!$I$19</f>
        <v>2.1599999999999993</v>
      </c>
      <c r="CS77" s="97">
        <f ca="1">sylvan*(TblMili[[#This Row],[Mystic bonus]]*TblMili[[#This Row],[Unit 3]])</f>
        <v>0</v>
      </c>
      <c r="CT77" s="158">
        <f ca="1">1.8 * MIN(MAX(Races!$E$27,TblMili[[#This Row],[Rockapult]]+Races!$F$27),6)  +  0.45 * MIN(MIN(Races!$E$27,TblMili[[#This Row],[Rockapult]]+Races!$F$27),6)  +  0.2 * ( MAX(Races!$E$27-6,0) + MAX(TblMili[[#This Row],[Rockapult]]+Races!$F$27-6,0) )  -  Races!$I$20</f>
        <v>5.8500000000000005</v>
      </c>
      <c r="CU77" s="97">
        <f ca="1">gnome*(TblMili[[#This Row],[Rockapult bonus]]*TblMili[[#This Row],[Unit 3]])</f>
        <v>0</v>
      </c>
      <c r="CV77" s="158">
        <f ca="1">1.8 * MIN(MAX(TblMili[[#This Row],[Spellblade]]+Races!$E$47,TblMili[[#This Row],[Adept-DP]]+Races!$F$47),6)  +  0.45 * MIN(MIN(TblMili[[#This Row],[Spellblade]]+Races!$E$47,TblMili[[#This Row],[Adept-DP]]+Races!$F$47),6)  +  0.2 * ( MAX(TblMili[[#This Row],[Spellblade]]+Races!$E$47-6,0) + MAX(TblMili[[#This Row],[Adept-DP]]+Races!$F$47-6,0) )  -  Races!$I$47</f>
        <v>0</v>
      </c>
      <c r="CW77" s="97">
        <f ca="1">dark_elf*(TblMili[[#This Row],[Adept bonus]]*TblMili[[#This Row],[Unit 3]])</f>
        <v>0</v>
      </c>
      <c r="CX77" s="158">
        <f ca="1">1.8 * MIN(MAX(TblMili[[#This Row],[Frost Mage]]+Races!$F$71,Races!$E$71),6)  +  0.45 * MIN(MIN(TblMili[[#This Row],[Frost Mage]]+Races!$F$71,Races!$E$71),6)  +  0.2 * ( MAX(TblMili[[#This Row],[Frost Mage]]+Races!$F$71-6,0) + MAX(Races!$E$71-6,0) )  -  Races!$I$71</f>
        <v>3.9599999999999991</v>
      </c>
      <c r="CY77" s="158">
        <f ca="1">1.8 * MIN(MAX(TblMili[[#This Row],[Ice Elemental]]+Races!$E$71,Races!$F$71),6)  +  0.45 * MIN(MIN(TblMili[[#This Row],[Ice Elemental]]+Races!$E$71,Races!$F$71),6)  +  0.2 * ( MAX(TblMili[[#This Row],[Ice Elemental]]+Races!$E$71-6,0) + MAX(Races!$F$71-6,0) )  -  Races!$I$71</f>
        <v>0.17999999999999972</v>
      </c>
      <c r="CZ77" s="97">
        <f ca="1">TblMili[[#This Row],[Frost Mage bonus]]*TblMili[[#This Row],[Unit 3]]+TblMili[[#This Row],[Ice Elemental bonus]]*TblMili[[#This Row],[Unit 4]]</f>
        <v>0</v>
      </c>
      <c r="DA77" s="268"/>
      <c r="DB77" s="146">
        <f ca="1">MIN(SUM(TblConstr[[#This Row],[Plain]:[Water]])/TblMili[[#This Row],[Land]]/favorable_terrain_bonus/100,favorable_terrain_max)</f>
        <v>0.1</v>
      </c>
      <c r="DC77" s="268"/>
      <c r="DD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7" s="145"/>
      <c r="DF77" s="269">
        <f ca="1">(TblMili[[#This Row],[Wizards]]+2*TblMili[[#This Row],[Archmages]])/TblConstr[[#This Row],[Land]]</f>
        <v>0.1</v>
      </c>
      <c r="DG77" s="269">
        <f ca="1">TblMili[[#This Row],[Raw (2)]]*(1+race_wizard_strength+IF(TblMili[[#This Row],[Hour]]&gt;72,tech_magical_weaponry_wiz*TblTech[[#This Row],[3-5]],0))</f>
        <v>0.1</v>
      </c>
    </row>
    <row r="78" spans="1:111"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45461.083333333154</v>
      </c>
      <c r="AG78" s="182"/>
      <c r="AH78" s="161"/>
      <c r="AI78" s="182"/>
      <c r="AJ78" s="182"/>
      <c r="AK78" s="182"/>
      <c r="AL78" s="182"/>
      <c r="AM78" s="182"/>
      <c r="AN78" s="182"/>
      <c r="AO78" s="449">
        <f ca="1">IF(AND(TblMagic[[#This Row],[Active DnD]]&lt;12,TblMagic[[#This Row],[Active DnD]]&gt;5),OFFSET(TblPop[[#This Row],[Draft Growth]],-1,0)/2,0)</f>
        <v>0</v>
      </c>
      <c r="AP78" s="145"/>
      <c r="AQ78" s="97">
        <f ca="1">TblProd[[#This Row],[Platinum]]</f>
        <v>526842</v>
      </c>
      <c r="AR78" s="97">
        <f ca="1">INDEX(TblProd[[#Headers],[Lumber]]:TblProd[[#This Row],[Ore]],COUNTA(TblProd[[#Headers],[Lumber]]:TblProd[[#This Row],[Lumber]]),MATCH(Military!$AQ$2,TblProd[[#Headers],[Lumber]:[Ore]],0))</f>
        <v>0</v>
      </c>
      <c r="AS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7">
        <f ca="1">TblMili[[#This Row],[Train Unit 1]]*TblMili[[#This Row],[OP Ore]]+TblMili[[#This Row],[Train Unit 2]]*TblMili[[#This Row],[DP Ore]]+TblMili[[#This Row],[Train Unit 3]]*TblMili[[#This Row],[E1 Ore]]+TblMili[[#This Row],[Train Unit 4]]*TblMili[[#This Row],[E2 Ore]]</f>
        <v>0</v>
      </c>
      <c r="AU78" s="145">
        <f>TblMili[[#This Row],[Hour]]</f>
        <v>75</v>
      </c>
      <c r="AV78" s="155">
        <f ca="1">TblMili[[#This Row],[Time]]</f>
        <v>45461.083333333154</v>
      </c>
      <c r="AW78" s="97">
        <f ca="1">TblMili[[#This Row],[Draftees]]</f>
        <v>626</v>
      </c>
      <c r="AX78" s="182"/>
      <c r="AY78" s="182"/>
      <c r="AZ78" s="182"/>
      <c r="BA78" s="182"/>
      <c r="BB78" s="182"/>
      <c r="BC78" s="182"/>
      <c r="BD78" s="182"/>
      <c r="BE78" s="182"/>
      <c r="BF78" s="182"/>
      <c r="BG78" s="145"/>
      <c r="BH78" s="160">
        <f ca="1">TblConstr[[#This Row],[Tot WG]]/TblConstr[[#This Row],[Land]]</f>
        <v>0</v>
      </c>
      <c r="BI78" s="160">
        <f ca="1">TblConstr[[#This Row],[Tot Hav]]/TblConstr[[#This Row],[Land]]</f>
        <v>0</v>
      </c>
      <c r="BJ78" s="97">
        <f ca="1">ROUNDUP((1-MIN(TblMili[[#This Row],[Smithies]]*smithy_bonus,smithy_bonus_cap) + tech_3_5*TblTech[[#This Row],[3-5]] + tech_5_3*TblTech[[#This Row],[5-3]] + tech_5_5*TblTech[[#This Row],[5-5]])*spec_op_plat,0)</f>
        <v>275</v>
      </c>
      <c r="BK78" s="97">
        <f ca="1">ROUNDUP(IF(race="Gnome",1,(1-MIN(TblMili[[#This Row],[Smithies]]*smithy_bonus,smithy_bonus_cap) + tech_3_5*TblTech[[#This Row],[3-5]] + tech_5_3*TblTech[[#This Row],[5-3]] + tech_5_5*TblTech[[#This Row],[5-5]]))*spec_op_ore,0)</f>
        <v>25</v>
      </c>
      <c r="BL78" s="97">
        <f ca="1">ROUNDUP((1-MIN(TblMili[[#This Row],[Smithies]]*smithy_bonus,smithy_bonus_cap) + tech_3_5*TblTech[[#This Row],[3-5]] + tech_5_3*TblTech[[#This Row],[5-3]] + tech_5_5*TblTech[[#This Row],[5-5]])*spec_dp_plat,0)</f>
        <v>275</v>
      </c>
      <c r="BM78" s="97">
        <f ca="1">ROUNDUP(IF(race="Gnome",1,(1-MIN(TblMili[[#This Row],[Smithies]]*smithy_bonus,smithy_bonus_cap) + tech_3_5*TblTech[[#This Row],[3-5]] + tech_5_3*TblTech[[#This Row],[5-3]] + tech_5_5*TblTech[[#This Row],[5-5]]))*spec_dp_ore,0)</f>
        <v>15</v>
      </c>
      <c r="BN78" s="97">
        <f ca="1">ROUNDUP((1-MIN(TblMili[[#This Row],[Smithies]]*smithy_bonus,smithy_bonus_cap) + tech_3_5*TblTech[[#This Row],[3-5]] + tech_5_3*TblTech[[#This Row],[5-3]] + tech_5_5*TblTech[[#This Row],[5-5]])*elite1_plat,0)</f>
        <v>1000</v>
      </c>
      <c r="BO78" s="97">
        <f ca="1">ROUNDUP(IF(race="Gnome",1,(1-MIN(TblMili[[#This Row],[Smithies]]*smithy_bonus,smithy_bonus_cap) + tech_3_5*TblTech[[#This Row],[3-5]] + tech_5_3*TblTech[[#This Row],[5-3]] + tech_5_5*TblTech[[#This Row],[5-5]]))*elite1_ore,0)</f>
        <v>75</v>
      </c>
      <c r="BP78" s="97">
        <f ca="1">ROUNDUP((1-MIN(TblMili[[#This Row],[Smithies]]*smithy_bonus,smithy_bonus_cap) + tech_3_5*TblTech[[#This Row],[3-5]] + tech_5_3*TblTech[[#This Row],[5-3]] + tech_5_5*TblTech[[#This Row],[5-5]])*elite2_plat,0)</f>
        <v>1250</v>
      </c>
      <c r="BQ78" s="97">
        <f ca="1">ROUNDUP(IF(race="Gnome",1,(1-MIN(TblMili[[#This Row],[Smithies]]*smithy_bonus,smithy_bonus_cap) + tech_3_5*TblTech[[#This Row],[3-5]] + tech_5_3*TblTech[[#This Row],[5-3]] + tech_5_5*TblTech[[#This Row],[5-5]]))*elite2_ore,0)</f>
        <v>100</v>
      </c>
      <c r="BR78" s="97">
        <f ca="1">ROUNDUP((1-MIN(ROUND(fh_spy_cost_red*TblMili[[#This Row],[FH''s]],4),fh_spy_cost_cap)+ tech_1_9*TblTech[[#This Row],[1-9]] + tech_9_1*TblTech[[#This Row],[9-1]])*spy_plat,0)</f>
        <v>500</v>
      </c>
      <c r="BS78" s="97">
        <f ca="1">ROUNDUP((1-MIN(ROUND(fh_spy_cost_red*TblMili[[#This Row],[FH''s]],4),fh_spy_cost_cap)+ tech_1_9*TblTech[[#This Row],[1-9]] + tech_9_1*TblTech[[#This Row],[9-1]])*archspy_plat,0)</f>
        <v>1000</v>
      </c>
      <c r="BT78" s="97">
        <f ca="1">ROUNDUP((1-MIN(ROUND(wg_wiz_cost_bonus*TblMili[[#This Row],[WG''s]],4),wg_wiz_cost_cap) + tech_1_9_2*TblTech[[#This Row],[1-9]] + tech_9_1_2*TblTech[[#This Row],[9-1]])*wizard_plat,0)</f>
        <v>500</v>
      </c>
      <c r="BU78" s="97">
        <f ca="1">ROUNDUP((1-MIN(ROUND(wg_wiz_cost_bonus*TblMili[[#This Row],[WG''s]],4),wg_wiz_cost_cap) + tech_1_9_2*TblTech[[#This Row],[1-9]] + tech_9_1_2*TblTech[[#This Row],[9-1]])*archmage_plat,0)</f>
        <v>1000</v>
      </c>
      <c r="BV78" s="145"/>
      <c r="BW78" s="160">
        <f ca="1">TblConstr[[#This Row],[Homeland]]/TblConstr[[#This Row],[Land]]</f>
        <v>0.44</v>
      </c>
      <c r="BX78" s="160">
        <f ca="1">TblMili[[#This Row],[WG''s]]</f>
        <v>0</v>
      </c>
      <c r="BY78" s="266">
        <f ca="1">IF(mystic_cap="none",TblMili[[#This Row],[Hill]]/mystic_bonus,MIN(mystic_cap,TblMili[[#This Row],[Hill]]/mystic_bonus))</f>
        <v>2.1999999999999997</v>
      </c>
      <c r="BZ78" s="266">
        <f ca="1">IF(druid_op_cap="none",TblMili[[#This Row],[Hill]]/druid_op_bonus,MIN(druid_op_cap,TblMili[[#This Row],[Hill]]/druid_op_bonus))</f>
        <v>2.1999999999999997</v>
      </c>
      <c r="CA78" s="266">
        <f ca="1">IF(druid_dp_cap="none",TblMili[[#This Row],[Hill]]/druid_dp_bonus,MIN(druid_dp_cap,TblMili[[#This Row],[Hill]]/druid_dp_bonus))</f>
        <v>2.1999999999999997</v>
      </c>
      <c r="CB78" s="266">
        <f ca="1">MIN(dryad_cap,TblMili[[#This Row],[Hill]]/dryad_bonus)</f>
        <v>2.1999999999999997</v>
      </c>
      <c r="CC78" s="266">
        <f ca="1">MIN(rocka_cap,TblMili[[#This Row],[Hill]]/rocka_bonus)</f>
        <v>2</v>
      </c>
      <c r="CD78" s="266">
        <f ca="1">MIN(adept_op_cap,TblMili[[#This Row],[WG]]/adept_op_bonus)</f>
        <v>0</v>
      </c>
      <c r="CE78" s="266">
        <f ca="1">MIN(adept_dp_cap,TblMili[[#This Row],[WG]]/adept_dp_bonus)</f>
        <v>0</v>
      </c>
      <c r="CF78" s="97">
        <f ca="1">MIN(TblMili[[#This Row],[Unit 3]],TblMili[[#This Row],[Unit 2]])*2</f>
        <v>0</v>
      </c>
      <c r="CG78" s="97">
        <f ca="1">MIN(TblMili[[#This Row],[Unit 1]],TblMili[[#This Row],[Unit 4]])*2</f>
        <v>0</v>
      </c>
      <c r="CH78" s="266">
        <f ca="1">MIN(frost_mage_cap,TblMili[[#This Row],[Hill]]/frost_mage_bonus)</f>
        <v>2.1999999999999997</v>
      </c>
      <c r="CI78" s="45">
        <f ca="1">MIN(ice_elem_cap,TblMili[[#This Row],[Raw (2)]]*ice_elem_bonus)</f>
        <v>0.1</v>
      </c>
      <c r="CJ78" s="266">
        <f t="shared" si="3"/>
        <v>0.83333333333333337</v>
      </c>
      <c r="CK78" s="266">
        <f ca="1">MIN(nox_nightshade_cap,TblConstr[[#This Row],[Homeland]]/TblConstr[[#This Row],[Land]]/nox_nightshade_swamp_bonus)</f>
        <v>4</v>
      </c>
      <c r="CL78" s="267"/>
      <c r="CM78" s="267"/>
      <c r="CN78" s="267"/>
      <c r="CO78" s="266">
        <f ca="1">MIN(6,TblMili[[#This Row],[Mystic]]+Races!$F$19)*1.8 +  IF(TblMili[[#This Row],[Mystic]]+Races!$F$19&gt;6,(TblMili[[#This Row],[Mystic]]+Races!$F$19-6)*0.2,0) - Races!$I$19</f>
        <v>3.6399999999999997</v>
      </c>
      <c r="CP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8" s="97">
        <f ca="1">TblMili[[#This Row],[Mystic bonus]]*TblMili[[#This Row],[Unit 3]]+TblMili[[#This Row],[Druid bonus]]*TblMili[[#This Row],[Unit 4]]</f>
        <v>0</v>
      </c>
      <c r="CR78" s="158">
        <f ca="1">MIN(6,TblMili[[#This Row],[Dryad]]+Races!$F$35)*1.8 +  IF(TblMili[[#This Row],[Dryad]]+Races!$F$35&gt;6,(TblMili[[#This Row],[Dryad]]+Races!$F$35-6)*0.2,0) - Races!$I$19</f>
        <v>2.1599999999999993</v>
      </c>
      <c r="CS78" s="97">
        <f ca="1">sylvan*(TblMili[[#This Row],[Mystic bonus]]*TblMili[[#This Row],[Unit 3]])</f>
        <v>0</v>
      </c>
      <c r="CT78" s="158">
        <f ca="1">1.8 * MIN(MAX(Races!$E$27,TblMili[[#This Row],[Rockapult]]+Races!$F$27),6)  +  0.45 * MIN(MIN(Races!$E$27,TblMili[[#This Row],[Rockapult]]+Races!$F$27),6)  +  0.2 * ( MAX(Races!$E$27-6,0) + MAX(TblMili[[#This Row],[Rockapult]]+Races!$F$27-6,0) )  -  Races!$I$20</f>
        <v>5.8500000000000005</v>
      </c>
      <c r="CU78" s="97">
        <f ca="1">gnome*(TblMili[[#This Row],[Rockapult bonus]]*TblMili[[#This Row],[Unit 3]])</f>
        <v>0</v>
      </c>
      <c r="CV78" s="158">
        <f ca="1">1.8 * MIN(MAX(TblMili[[#This Row],[Spellblade]]+Races!$E$47,TblMili[[#This Row],[Adept-DP]]+Races!$F$47),6)  +  0.45 * MIN(MIN(TblMili[[#This Row],[Spellblade]]+Races!$E$47,TblMili[[#This Row],[Adept-DP]]+Races!$F$47),6)  +  0.2 * ( MAX(TblMili[[#This Row],[Spellblade]]+Races!$E$47-6,0) + MAX(TblMili[[#This Row],[Adept-DP]]+Races!$F$47-6,0) )  -  Races!$I$47</f>
        <v>0</v>
      </c>
      <c r="CW78" s="97">
        <f ca="1">dark_elf*(TblMili[[#This Row],[Adept bonus]]*TblMili[[#This Row],[Unit 3]])</f>
        <v>0</v>
      </c>
      <c r="CX78" s="158">
        <f ca="1">1.8 * MIN(MAX(TblMili[[#This Row],[Frost Mage]]+Races!$F$71,Races!$E$71),6)  +  0.45 * MIN(MIN(TblMili[[#This Row],[Frost Mage]]+Races!$F$71,Races!$E$71),6)  +  0.2 * ( MAX(TblMili[[#This Row],[Frost Mage]]+Races!$F$71-6,0) + MAX(Races!$E$71-6,0) )  -  Races!$I$71</f>
        <v>3.9599999999999991</v>
      </c>
      <c r="CY78" s="158">
        <f ca="1">1.8 * MIN(MAX(TblMili[[#This Row],[Ice Elemental]]+Races!$E$71,Races!$F$71),6)  +  0.45 * MIN(MIN(TblMili[[#This Row],[Ice Elemental]]+Races!$E$71,Races!$F$71),6)  +  0.2 * ( MAX(TblMili[[#This Row],[Ice Elemental]]+Races!$E$71-6,0) + MAX(Races!$F$71-6,0) )  -  Races!$I$71</f>
        <v>0.17999999999999972</v>
      </c>
      <c r="CZ78" s="97">
        <f ca="1">TblMili[[#This Row],[Frost Mage bonus]]*TblMili[[#This Row],[Unit 3]]+TblMili[[#This Row],[Ice Elemental bonus]]*TblMili[[#This Row],[Unit 4]]</f>
        <v>0</v>
      </c>
      <c r="DA78" s="268"/>
      <c r="DB78" s="146">
        <f ca="1">MIN(SUM(TblConstr[[#This Row],[Plain]:[Water]])/TblMili[[#This Row],[Land]]/favorable_terrain_bonus/100,favorable_terrain_max)</f>
        <v>0.1</v>
      </c>
      <c r="DC78" s="268"/>
      <c r="DD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8" s="145"/>
      <c r="DF78" s="269">
        <f ca="1">(TblMili[[#This Row],[Wizards]]+2*TblMili[[#This Row],[Archmages]])/TblConstr[[#This Row],[Land]]</f>
        <v>0.1</v>
      </c>
      <c r="DG78" s="269">
        <f ca="1">TblMili[[#This Row],[Raw (2)]]*(1+race_wizard_strength+IF(TblMili[[#This Row],[Hour]]&gt;72,tech_magical_weaponry_wiz*TblTech[[#This Row],[3-5]],0))</f>
        <v>0.1</v>
      </c>
    </row>
    <row r="79" spans="1:111"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45461.124999999818</v>
      </c>
      <c r="AG79" s="182"/>
      <c r="AH79" s="182"/>
      <c r="AI79" s="182"/>
      <c r="AJ79" s="182"/>
      <c r="AK79" s="182"/>
      <c r="AL79" s="182"/>
      <c r="AM79" s="182"/>
      <c r="AN79" s="182"/>
      <c r="AO79" s="449">
        <f ca="1">IF(AND(TblMagic[[#This Row],[Active DnD]]&lt;12,TblMagic[[#This Row],[Active DnD]]&gt;5),OFFSET(TblPop[[#This Row],[Draft Growth]],-1,0)/2,0)</f>
        <v>0</v>
      </c>
      <c r="AP79" s="145"/>
      <c r="AQ79" s="97">
        <f ca="1">TblProd[[#This Row],[Platinum]]</f>
        <v>532328</v>
      </c>
      <c r="AR79" s="97">
        <f ca="1">INDEX(TblProd[[#Headers],[Lumber]]:TblProd[[#This Row],[Ore]],COUNTA(TblProd[[#Headers],[Lumber]]:TblProd[[#This Row],[Lumber]]),MATCH(Military!$AQ$2,TblProd[[#Headers],[Lumber]:[Ore]],0))</f>
        <v>0</v>
      </c>
      <c r="AS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7">
        <f ca="1">TblMili[[#This Row],[Train Unit 1]]*TblMili[[#This Row],[OP Ore]]+TblMili[[#This Row],[Train Unit 2]]*TblMili[[#This Row],[DP Ore]]+TblMili[[#This Row],[Train Unit 3]]*TblMili[[#This Row],[E1 Ore]]+TblMili[[#This Row],[Train Unit 4]]*TblMili[[#This Row],[E2 Ore]]</f>
        <v>0</v>
      </c>
      <c r="AU79" s="145">
        <f>TblMili[[#This Row],[Hour]]</f>
        <v>76</v>
      </c>
      <c r="AV79" s="155">
        <f ca="1">TblMili[[#This Row],[Time]]</f>
        <v>45461.124999999818</v>
      </c>
      <c r="AW79" s="97">
        <f ca="1">TblMili[[#This Row],[Draftees]]</f>
        <v>626</v>
      </c>
      <c r="AX79" s="161"/>
      <c r="AY79" s="182"/>
      <c r="AZ79" s="182"/>
      <c r="BA79" s="182"/>
      <c r="BB79" s="182"/>
      <c r="BC79" s="182"/>
      <c r="BD79" s="182"/>
      <c r="BE79" s="182"/>
      <c r="BF79" s="182"/>
      <c r="BG79" s="145"/>
      <c r="BH79" s="160">
        <f ca="1">TblConstr[[#This Row],[Tot WG]]/TblConstr[[#This Row],[Land]]</f>
        <v>0</v>
      </c>
      <c r="BI79" s="160">
        <f ca="1">TblConstr[[#This Row],[Tot Hav]]/TblConstr[[#This Row],[Land]]</f>
        <v>0</v>
      </c>
      <c r="BJ79" s="97">
        <f ca="1">ROUNDUP((1-MIN(TblMili[[#This Row],[Smithies]]*smithy_bonus,smithy_bonus_cap) + tech_3_5*TblTech[[#This Row],[3-5]] + tech_5_3*TblTech[[#This Row],[5-3]] + tech_5_5*TblTech[[#This Row],[5-5]])*spec_op_plat,0)</f>
        <v>275</v>
      </c>
      <c r="BK79" s="97">
        <f ca="1">ROUNDUP(IF(race="Gnome",1,(1-MIN(TblMili[[#This Row],[Smithies]]*smithy_bonus,smithy_bonus_cap) + tech_3_5*TblTech[[#This Row],[3-5]] + tech_5_3*TblTech[[#This Row],[5-3]] + tech_5_5*TblTech[[#This Row],[5-5]]))*spec_op_ore,0)</f>
        <v>25</v>
      </c>
      <c r="BL79" s="97">
        <f ca="1">ROUNDUP((1-MIN(TblMili[[#This Row],[Smithies]]*smithy_bonus,smithy_bonus_cap) + tech_3_5*TblTech[[#This Row],[3-5]] + tech_5_3*TblTech[[#This Row],[5-3]] + tech_5_5*TblTech[[#This Row],[5-5]])*spec_dp_plat,0)</f>
        <v>275</v>
      </c>
      <c r="BM79" s="97">
        <f ca="1">ROUNDUP(IF(race="Gnome",1,(1-MIN(TblMili[[#This Row],[Smithies]]*smithy_bonus,smithy_bonus_cap) + tech_3_5*TblTech[[#This Row],[3-5]] + tech_5_3*TblTech[[#This Row],[5-3]] + tech_5_5*TblTech[[#This Row],[5-5]]))*spec_dp_ore,0)</f>
        <v>15</v>
      </c>
      <c r="BN79" s="97">
        <f ca="1">ROUNDUP((1-MIN(TblMili[[#This Row],[Smithies]]*smithy_bonus,smithy_bonus_cap) + tech_3_5*TblTech[[#This Row],[3-5]] + tech_5_3*TblTech[[#This Row],[5-3]] + tech_5_5*TblTech[[#This Row],[5-5]])*elite1_plat,0)</f>
        <v>1000</v>
      </c>
      <c r="BO79" s="97">
        <f ca="1">ROUNDUP(IF(race="Gnome",1,(1-MIN(TblMili[[#This Row],[Smithies]]*smithy_bonus,smithy_bonus_cap) + tech_3_5*TblTech[[#This Row],[3-5]] + tech_5_3*TblTech[[#This Row],[5-3]] + tech_5_5*TblTech[[#This Row],[5-5]]))*elite1_ore,0)</f>
        <v>75</v>
      </c>
      <c r="BP79" s="97">
        <f ca="1">ROUNDUP((1-MIN(TblMili[[#This Row],[Smithies]]*smithy_bonus,smithy_bonus_cap) + tech_3_5*TblTech[[#This Row],[3-5]] + tech_5_3*TblTech[[#This Row],[5-3]] + tech_5_5*TblTech[[#This Row],[5-5]])*elite2_plat,0)</f>
        <v>1250</v>
      </c>
      <c r="BQ79" s="97">
        <f ca="1">ROUNDUP(IF(race="Gnome",1,(1-MIN(TblMili[[#This Row],[Smithies]]*smithy_bonus,smithy_bonus_cap) + tech_3_5*TblTech[[#This Row],[3-5]] + tech_5_3*TblTech[[#This Row],[5-3]] + tech_5_5*TblTech[[#This Row],[5-5]]))*elite2_ore,0)</f>
        <v>100</v>
      </c>
      <c r="BR79" s="97">
        <f ca="1">ROUNDUP((1-MIN(ROUND(fh_spy_cost_red*TblMili[[#This Row],[FH''s]],4),fh_spy_cost_cap)+ tech_1_9*TblTech[[#This Row],[1-9]] + tech_9_1*TblTech[[#This Row],[9-1]])*spy_plat,0)</f>
        <v>500</v>
      </c>
      <c r="BS79" s="97">
        <f ca="1">ROUNDUP((1-MIN(ROUND(fh_spy_cost_red*TblMili[[#This Row],[FH''s]],4),fh_spy_cost_cap)+ tech_1_9*TblTech[[#This Row],[1-9]] + tech_9_1*TblTech[[#This Row],[9-1]])*archspy_plat,0)</f>
        <v>1000</v>
      </c>
      <c r="BT79" s="97">
        <f ca="1">ROUNDUP((1-MIN(ROUND(wg_wiz_cost_bonus*TblMili[[#This Row],[WG''s]],4),wg_wiz_cost_cap) + tech_1_9_2*TblTech[[#This Row],[1-9]] + tech_9_1_2*TblTech[[#This Row],[9-1]])*wizard_plat,0)</f>
        <v>500</v>
      </c>
      <c r="BU79" s="97">
        <f ca="1">ROUNDUP((1-MIN(ROUND(wg_wiz_cost_bonus*TblMili[[#This Row],[WG''s]],4),wg_wiz_cost_cap) + tech_1_9_2*TblTech[[#This Row],[1-9]] + tech_9_1_2*TblTech[[#This Row],[9-1]])*archmage_plat,0)</f>
        <v>1000</v>
      </c>
      <c r="BV79" s="145"/>
      <c r="BW79" s="160">
        <f ca="1">TblConstr[[#This Row],[Homeland]]/TblConstr[[#This Row],[Land]]</f>
        <v>0.44</v>
      </c>
      <c r="BX79" s="160">
        <f ca="1">TblMili[[#This Row],[WG''s]]</f>
        <v>0</v>
      </c>
      <c r="BY79" s="266">
        <f ca="1">IF(mystic_cap="none",TblMili[[#This Row],[Hill]]/mystic_bonus,MIN(mystic_cap,TblMili[[#This Row],[Hill]]/mystic_bonus))</f>
        <v>2.1999999999999997</v>
      </c>
      <c r="BZ79" s="266">
        <f ca="1">IF(druid_op_cap="none",TblMili[[#This Row],[Hill]]/druid_op_bonus,MIN(druid_op_cap,TblMili[[#This Row],[Hill]]/druid_op_bonus))</f>
        <v>2.1999999999999997</v>
      </c>
      <c r="CA79" s="266">
        <f ca="1">IF(druid_dp_cap="none",TblMili[[#This Row],[Hill]]/druid_dp_bonus,MIN(druid_dp_cap,TblMili[[#This Row],[Hill]]/druid_dp_bonus))</f>
        <v>2.1999999999999997</v>
      </c>
      <c r="CB79" s="266">
        <f ca="1">MIN(dryad_cap,TblMili[[#This Row],[Hill]]/dryad_bonus)</f>
        <v>2.1999999999999997</v>
      </c>
      <c r="CC79" s="266">
        <f ca="1">MIN(rocka_cap,TblMili[[#This Row],[Hill]]/rocka_bonus)</f>
        <v>2</v>
      </c>
      <c r="CD79" s="266">
        <f ca="1">MIN(adept_op_cap,TblMili[[#This Row],[WG]]/adept_op_bonus)</f>
        <v>0</v>
      </c>
      <c r="CE79" s="266">
        <f ca="1">MIN(adept_dp_cap,TblMili[[#This Row],[WG]]/adept_dp_bonus)</f>
        <v>0</v>
      </c>
      <c r="CF79" s="97">
        <f ca="1">MIN(TblMili[[#This Row],[Unit 3]],TblMili[[#This Row],[Unit 2]])*2</f>
        <v>0</v>
      </c>
      <c r="CG79" s="97">
        <f ca="1">MIN(TblMili[[#This Row],[Unit 1]],TblMili[[#This Row],[Unit 4]])*2</f>
        <v>0</v>
      </c>
      <c r="CH79" s="266">
        <f ca="1">MIN(frost_mage_cap,TblMili[[#This Row],[Hill]]/frost_mage_bonus)</f>
        <v>2.1999999999999997</v>
      </c>
      <c r="CI79" s="45">
        <f ca="1">MIN(ice_elem_cap,TblMili[[#This Row],[Raw (2)]]*ice_elem_bonus)</f>
        <v>0.1</v>
      </c>
      <c r="CJ79" s="266">
        <f t="shared" si="3"/>
        <v>0.83333333333333337</v>
      </c>
      <c r="CK79" s="266">
        <f ca="1">MIN(nox_nightshade_cap,TblConstr[[#This Row],[Homeland]]/TblConstr[[#This Row],[Land]]/nox_nightshade_swamp_bonus)</f>
        <v>4</v>
      </c>
      <c r="CL79" s="267"/>
      <c r="CM79" s="267"/>
      <c r="CN79" s="267"/>
      <c r="CO79" s="266">
        <f ca="1">MIN(6,TblMili[[#This Row],[Mystic]]+Races!$F$19)*1.8 +  IF(TblMili[[#This Row],[Mystic]]+Races!$F$19&gt;6,(TblMili[[#This Row],[Mystic]]+Races!$F$19-6)*0.2,0) - Races!$I$19</f>
        <v>3.6399999999999997</v>
      </c>
      <c r="CP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9" s="97">
        <f ca="1">TblMili[[#This Row],[Mystic bonus]]*TblMili[[#This Row],[Unit 3]]+TblMili[[#This Row],[Druid bonus]]*TblMili[[#This Row],[Unit 4]]</f>
        <v>0</v>
      </c>
      <c r="CR79" s="158">
        <f ca="1">MIN(6,TblMili[[#This Row],[Dryad]]+Races!$F$35)*1.8 +  IF(TblMili[[#This Row],[Dryad]]+Races!$F$35&gt;6,(TblMili[[#This Row],[Dryad]]+Races!$F$35-6)*0.2,0) - Races!$I$19</f>
        <v>2.1599999999999993</v>
      </c>
      <c r="CS79" s="97">
        <f ca="1">sylvan*(TblMili[[#This Row],[Mystic bonus]]*TblMili[[#This Row],[Unit 3]])</f>
        <v>0</v>
      </c>
      <c r="CT79" s="158">
        <f ca="1">1.8 * MIN(MAX(Races!$E$27,TblMili[[#This Row],[Rockapult]]+Races!$F$27),6)  +  0.45 * MIN(MIN(Races!$E$27,TblMili[[#This Row],[Rockapult]]+Races!$F$27),6)  +  0.2 * ( MAX(Races!$E$27-6,0) + MAX(TblMili[[#This Row],[Rockapult]]+Races!$F$27-6,0) )  -  Races!$I$20</f>
        <v>5.8500000000000005</v>
      </c>
      <c r="CU79" s="97">
        <f ca="1">gnome*(TblMili[[#This Row],[Rockapult bonus]]*TblMili[[#This Row],[Unit 3]])</f>
        <v>0</v>
      </c>
      <c r="CV79" s="158">
        <f ca="1">1.8 * MIN(MAX(TblMili[[#This Row],[Spellblade]]+Races!$E$47,TblMili[[#This Row],[Adept-DP]]+Races!$F$47),6)  +  0.45 * MIN(MIN(TblMili[[#This Row],[Spellblade]]+Races!$E$47,TblMili[[#This Row],[Adept-DP]]+Races!$F$47),6)  +  0.2 * ( MAX(TblMili[[#This Row],[Spellblade]]+Races!$E$47-6,0) + MAX(TblMili[[#This Row],[Adept-DP]]+Races!$F$47-6,0) )  -  Races!$I$47</f>
        <v>0</v>
      </c>
      <c r="CW79" s="97">
        <f ca="1">dark_elf*(TblMili[[#This Row],[Adept bonus]]*TblMili[[#This Row],[Unit 3]])</f>
        <v>0</v>
      </c>
      <c r="CX79" s="158">
        <f ca="1">1.8 * MIN(MAX(TblMili[[#This Row],[Frost Mage]]+Races!$F$71,Races!$E$71),6)  +  0.45 * MIN(MIN(TblMili[[#This Row],[Frost Mage]]+Races!$F$71,Races!$E$71),6)  +  0.2 * ( MAX(TblMili[[#This Row],[Frost Mage]]+Races!$F$71-6,0) + MAX(Races!$E$71-6,0) )  -  Races!$I$71</f>
        <v>3.9599999999999991</v>
      </c>
      <c r="CY79" s="158">
        <f ca="1">1.8 * MIN(MAX(TblMili[[#This Row],[Ice Elemental]]+Races!$E$71,Races!$F$71),6)  +  0.45 * MIN(MIN(TblMili[[#This Row],[Ice Elemental]]+Races!$E$71,Races!$F$71),6)  +  0.2 * ( MAX(TblMili[[#This Row],[Ice Elemental]]+Races!$E$71-6,0) + MAX(Races!$F$71-6,0) )  -  Races!$I$71</f>
        <v>0.17999999999999972</v>
      </c>
      <c r="CZ79" s="97">
        <f ca="1">TblMili[[#This Row],[Frost Mage bonus]]*TblMili[[#This Row],[Unit 3]]+TblMili[[#This Row],[Ice Elemental bonus]]*TblMili[[#This Row],[Unit 4]]</f>
        <v>0</v>
      </c>
      <c r="DA79" s="268"/>
      <c r="DB79" s="146">
        <f ca="1">MIN(SUM(TblConstr[[#This Row],[Plain]:[Water]])/TblMili[[#This Row],[Land]]/favorable_terrain_bonus/100,favorable_terrain_max)</f>
        <v>0.1</v>
      </c>
      <c r="DC79" s="268"/>
      <c r="DD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9" s="145"/>
      <c r="DF79" s="269">
        <f ca="1">(TblMili[[#This Row],[Wizards]]+2*TblMili[[#This Row],[Archmages]])/TblConstr[[#This Row],[Land]]</f>
        <v>0.1</v>
      </c>
      <c r="DG79" s="269">
        <f ca="1">TblMili[[#This Row],[Raw (2)]]*(1+race_wizard_strength+IF(TblMili[[#This Row],[Hour]]&gt;72,tech_magical_weaponry_wiz*TblTech[[#This Row],[3-5]],0))</f>
        <v>0.1</v>
      </c>
    </row>
    <row r="80" spans="1:111"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45461.166666666482</v>
      </c>
      <c r="AG80" s="182"/>
      <c r="AH80" s="182"/>
      <c r="AI80" s="182"/>
      <c r="AJ80" s="182"/>
      <c r="AK80" s="182"/>
      <c r="AL80" s="182"/>
      <c r="AM80" s="182"/>
      <c r="AN80" s="182"/>
      <c r="AO80" s="449">
        <f ca="1">IF(AND(TblMagic[[#This Row],[Active DnD]]&lt;12,TblMagic[[#This Row],[Active DnD]]&gt;5),OFFSET(TblPop[[#This Row],[Draft Growth]],-1,0)/2,0)</f>
        <v>0</v>
      </c>
      <c r="AP80" s="145"/>
      <c r="AQ80" s="97">
        <f ca="1">TblProd[[#This Row],[Platinum]]</f>
        <v>537814</v>
      </c>
      <c r="AR80" s="97">
        <f ca="1">INDEX(TblProd[[#Headers],[Lumber]]:TblProd[[#This Row],[Ore]],COUNTA(TblProd[[#Headers],[Lumber]]:TblProd[[#This Row],[Lumber]]),MATCH(Military!$AQ$2,TblProd[[#Headers],[Lumber]:[Ore]],0))</f>
        <v>0</v>
      </c>
      <c r="AS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7">
        <f ca="1">TblMili[[#This Row],[Train Unit 1]]*TblMili[[#This Row],[OP Ore]]+TblMili[[#This Row],[Train Unit 2]]*TblMili[[#This Row],[DP Ore]]+TblMili[[#This Row],[Train Unit 3]]*TblMili[[#This Row],[E1 Ore]]+TblMili[[#This Row],[Train Unit 4]]*TblMili[[#This Row],[E2 Ore]]</f>
        <v>0</v>
      </c>
      <c r="AU80" s="145">
        <f>TblMili[[#This Row],[Hour]]</f>
        <v>77</v>
      </c>
      <c r="AV80" s="155">
        <f ca="1">TblMili[[#This Row],[Time]]</f>
        <v>45461.166666666482</v>
      </c>
      <c r="AW80" s="97">
        <f ca="1">TblMili[[#This Row],[Draftees]]</f>
        <v>626</v>
      </c>
      <c r="AX80" s="161"/>
      <c r="AY80" s="182"/>
      <c r="AZ80" s="182"/>
      <c r="BA80" s="182"/>
      <c r="BB80" s="182"/>
      <c r="BC80" s="182"/>
      <c r="BD80" s="182"/>
      <c r="BE80" s="182"/>
      <c r="BF80" s="182"/>
      <c r="BG80" s="145"/>
      <c r="BH80" s="160">
        <f ca="1">TblConstr[[#This Row],[Tot WG]]/TblConstr[[#This Row],[Land]]</f>
        <v>0</v>
      </c>
      <c r="BI80" s="160">
        <f ca="1">TblConstr[[#This Row],[Tot Hav]]/TblConstr[[#This Row],[Land]]</f>
        <v>0</v>
      </c>
      <c r="BJ80" s="97">
        <f ca="1">ROUNDUP((1-MIN(TblMili[[#This Row],[Smithies]]*smithy_bonus,smithy_bonus_cap) + tech_3_5*TblTech[[#This Row],[3-5]] + tech_5_3*TblTech[[#This Row],[5-3]] + tech_5_5*TblTech[[#This Row],[5-5]])*spec_op_plat,0)</f>
        <v>275</v>
      </c>
      <c r="BK80" s="97">
        <f ca="1">ROUNDUP(IF(race="Gnome",1,(1-MIN(TblMili[[#This Row],[Smithies]]*smithy_bonus,smithy_bonus_cap) + tech_3_5*TblTech[[#This Row],[3-5]] + tech_5_3*TblTech[[#This Row],[5-3]] + tech_5_5*TblTech[[#This Row],[5-5]]))*spec_op_ore,0)</f>
        <v>25</v>
      </c>
      <c r="BL80" s="97">
        <f ca="1">ROUNDUP((1-MIN(TblMili[[#This Row],[Smithies]]*smithy_bonus,smithy_bonus_cap) + tech_3_5*TblTech[[#This Row],[3-5]] + tech_5_3*TblTech[[#This Row],[5-3]] + tech_5_5*TblTech[[#This Row],[5-5]])*spec_dp_plat,0)</f>
        <v>275</v>
      </c>
      <c r="BM80" s="97">
        <f ca="1">ROUNDUP(IF(race="Gnome",1,(1-MIN(TblMili[[#This Row],[Smithies]]*smithy_bonus,smithy_bonus_cap) + tech_3_5*TblTech[[#This Row],[3-5]] + tech_5_3*TblTech[[#This Row],[5-3]] + tech_5_5*TblTech[[#This Row],[5-5]]))*spec_dp_ore,0)</f>
        <v>15</v>
      </c>
      <c r="BN80" s="97">
        <f ca="1">ROUNDUP((1-MIN(TblMili[[#This Row],[Smithies]]*smithy_bonus,smithy_bonus_cap) + tech_3_5*TblTech[[#This Row],[3-5]] + tech_5_3*TblTech[[#This Row],[5-3]] + tech_5_5*TblTech[[#This Row],[5-5]])*elite1_plat,0)</f>
        <v>1000</v>
      </c>
      <c r="BO80" s="97">
        <f ca="1">ROUNDUP(IF(race="Gnome",1,(1-MIN(TblMili[[#This Row],[Smithies]]*smithy_bonus,smithy_bonus_cap) + tech_3_5*TblTech[[#This Row],[3-5]] + tech_5_3*TblTech[[#This Row],[5-3]] + tech_5_5*TblTech[[#This Row],[5-5]]))*elite1_ore,0)</f>
        <v>75</v>
      </c>
      <c r="BP80" s="97">
        <f ca="1">ROUNDUP((1-MIN(TblMili[[#This Row],[Smithies]]*smithy_bonus,smithy_bonus_cap) + tech_3_5*TblTech[[#This Row],[3-5]] + tech_5_3*TblTech[[#This Row],[5-3]] + tech_5_5*TblTech[[#This Row],[5-5]])*elite2_plat,0)</f>
        <v>1250</v>
      </c>
      <c r="BQ80" s="97">
        <f ca="1">ROUNDUP(IF(race="Gnome",1,(1-MIN(TblMili[[#This Row],[Smithies]]*smithy_bonus,smithy_bonus_cap) + tech_3_5*TblTech[[#This Row],[3-5]] + tech_5_3*TblTech[[#This Row],[5-3]] + tech_5_5*TblTech[[#This Row],[5-5]]))*elite2_ore,0)</f>
        <v>100</v>
      </c>
      <c r="BR80" s="97">
        <f ca="1">ROUNDUP((1-MIN(ROUND(fh_spy_cost_red*TblMili[[#This Row],[FH''s]],4),fh_spy_cost_cap)+ tech_1_9*TblTech[[#This Row],[1-9]] + tech_9_1*TblTech[[#This Row],[9-1]])*spy_plat,0)</f>
        <v>500</v>
      </c>
      <c r="BS80" s="97">
        <f ca="1">ROUNDUP((1-MIN(ROUND(fh_spy_cost_red*TblMili[[#This Row],[FH''s]],4),fh_spy_cost_cap)+ tech_1_9*TblTech[[#This Row],[1-9]] + tech_9_1*TblTech[[#This Row],[9-1]])*archspy_plat,0)</f>
        <v>1000</v>
      </c>
      <c r="BT80" s="97">
        <f ca="1">ROUNDUP((1-MIN(ROUND(wg_wiz_cost_bonus*TblMili[[#This Row],[WG''s]],4),wg_wiz_cost_cap) + tech_1_9_2*TblTech[[#This Row],[1-9]] + tech_9_1_2*TblTech[[#This Row],[9-1]])*wizard_plat,0)</f>
        <v>500</v>
      </c>
      <c r="BU80" s="97">
        <f ca="1">ROUNDUP((1-MIN(ROUND(wg_wiz_cost_bonus*TblMili[[#This Row],[WG''s]],4),wg_wiz_cost_cap) + tech_1_9_2*TblTech[[#This Row],[1-9]] + tech_9_1_2*TblTech[[#This Row],[9-1]])*archmage_plat,0)</f>
        <v>1000</v>
      </c>
      <c r="BV80" s="145"/>
      <c r="BW80" s="160">
        <f ca="1">TblConstr[[#This Row],[Homeland]]/TblConstr[[#This Row],[Land]]</f>
        <v>0.44</v>
      </c>
      <c r="BX80" s="160">
        <f ca="1">TblMili[[#This Row],[WG''s]]</f>
        <v>0</v>
      </c>
      <c r="BY80" s="266">
        <f ca="1">IF(mystic_cap="none",TblMili[[#This Row],[Hill]]/mystic_bonus,MIN(mystic_cap,TblMili[[#This Row],[Hill]]/mystic_bonus))</f>
        <v>2.1999999999999997</v>
      </c>
      <c r="BZ80" s="266">
        <f ca="1">IF(druid_op_cap="none",TblMili[[#This Row],[Hill]]/druid_op_bonus,MIN(druid_op_cap,TblMili[[#This Row],[Hill]]/druid_op_bonus))</f>
        <v>2.1999999999999997</v>
      </c>
      <c r="CA80" s="266">
        <f ca="1">IF(druid_dp_cap="none",TblMili[[#This Row],[Hill]]/druid_dp_bonus,MIN(druid_dp_cap,TblMili[[#This Row],[Hill]]/druid_dp_bonus))</f>
        <v>2.1999999999999997</v>
      </c>
      <c r="CB80" s="266">
        <f ca="1">MIN(dryad_cap,TblMili[[#This Row],[Hill]]/dryad_bonus)</f>
        <v>2.1999999999999997</v>
      </c>
      <c r="CC80" s="266">
        <f ca="1">MIN(rocka_cap,TblMili[[#This Row],[Hill]]/rocka_bonus)</f>
        <v>2</v>
      </c>
      <c r="CD80" s="266">
        <f ca="1">MIN(adept_op_cap,TblMili[[#This Row],[WG]]/adept_op_bonus)</f>
        <v>0</v>
      </c>
      <c r="CE80" s="266">
        <f ca="1">MIN(adept_dp_cap,TblMili[[#This Row],[WG]]/adept_dp_bonus)</f>
        <v>0</v>
      </c>
      <c r="CF80" s="97">
        <f ca="1">MIN(TblMili[[#This Row],[Unit 3]],TblMili[[#This Row],[Unit 2]])*2</f>
        <v>0</v>
      </c>
      <c r="CG80" s="97">
        <f ca="1">MIN(TblMili[[#This Row],[Unit 1]],TblMili[[#This Row],[Unit 4]])*2</f>
        <v>0</v>
      </c>
      <c r="CH80" s="266">
        <f ca="1">MIN(frost_mage_cap,TblMili[[#This Row],[Hill]]/frost_mage_bonus)</f>
        <v>2.1999999999999997</v>
      </c>
      <c r="CI80" s="45">
        <f ca="1">MIN(ice_elem_cap,TblMili[[#This Row],[Raw (2)]]*ice_elem_bonus)</f>
        <v>0.1</v>
      </c>
      <c r="CJ80" s="266">
        <f t="shared" si="3"/>
        <v>0.83333333333333337</v>
      </c>
      <c r="CK80" s="266">
        <f ca="1">MIN(nox_nightshade_cap,TblConstr[[#This Row],[Homeland]]/TblConstr[[#This Row],[Land]]/nox_nightshade_swamp_bonus)</f>
        <v>4</v>
      </c>
      <c r="CL80" s="267"/>
      <c r="CM80" s="267"/>
      <c r="CN80" s="267"/>
      <c r="CO80" s="266">
        <f ca="1">MIN(6,TblMili[[#This Row],[Mystic]]+Races!$F$19)*1.8 +  IF(TblMili[[#This Row],[Mystic]]+Races!$F$19&gt;6,(TblMili[[#This Row],[Mystic]]+Races!$F$19-6)*0.2,0) - Races!$I$19</f>
        <v>3.6399999999999997</v>
      </c>
      <c r="CP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0" s="97">
        <f ca="1">TblMili[[#This Row],[Mystic bonus]]*TblMili[[#This Row],[Unit 3]]+TblMili[[#This Row],[Druid bonus]]*TblMili[[#This Row],[Unit 4]]</f>
        <v>0</v>
      </c>
      <c r="CR80" s="158">
        <f ca="1">MIN(6,TblMili[[#This Row],[Dryad]]+Races!$F$35)*1.8 +  IF(TblMili[[#This Row],[Dryad]]+Races!$F$35&gt;6,(TblMili[[#This Row],[Dryad]]+Races!$F$35-6)*0.2,0) - Races!$I$19</f>
        <v>2.1599999999999993</v>
      </c>
      <c r="CS80" s="97">
        <f ca="1">sylvan*(TblMili[[#This Row],[Mystic bonus]]*TblMili[[#This Row],[Unit 3]])</f>
        <v>0</v>
      </c>
      <c r="CT80" s="158">
        <f ca="1">1.8 * MIN(MAX(Races!$E$27,TblMili[[#This Row],[Rockapult]]+Races!$F$27),6)  +  0.45 * MIN(MIN(Races!$E$27,TblMili[[#This Row],[Rockapult]]+Races!$F$27),6)  +  0.2 * ( MAX(Races!$E$27-6,0) + MAX(TblMili[[#This Row],[Rockapult]]+Races!$F$27-6,0) )  -  Races!$I$20</f>
        <v>5.8500000000000005</v>
      </c>
      <c r="CU80" s="97">
        <f ca="1">gnome*(TblMili[[#This Row],[Rockapult bonus]]*TblMili[[#This Row],[Unit 3]])</f>
        <v>0</v>
      </c>
      <c r="CV80" s="158">
        <f ca="1">1.8 * MIN(MAX(TblMili[[#This Row],[Spellblade]]+Races!$E$47,TblMili[[#This Row],[Adept-DP]]+Races!$F$47),6)  +  0.45 * MIN(MIN(TblMili[[#This Row],[Spellblade]]+Races!$E$47,TblMili[[#This Row],[Adept-DP]]+Races!$F$47),6)  +  0.2 * ( MAX(TblMili[[#This Row],[Spellblade]]+Races!$E$47-6,0) + MAX(TblMili[[#This Row],[Adept-DP]]+Races!$F$47-6,0) )  -  Races!$I$47</f>
        <v>0</v>
      </c>
      <c r="CW80" s="97">
        <f ca="1">dark_elf*(TblMili[[#This Row],[Adept bonus]]*TblMili[[#This Row],[Unit 3]])</f>
        <v>0</v>
      </c>
      <c r="CX80" s="158">
        <f ca="1">1.8 * MIN(MAX(TblMili[[#This Row],[Frost Mage]]+Races!$F$71,Races!$E$71),6)  +  0.45 * MIN(MIN(TblMili[[#This Row],[Frost Mage]]+Races!$F$71,Races!$E$71),6)  +  0.2 * ( MAX(TblMili[[#This Row],[Frost Mage]]+Races!$F$71-6,0) + MAX(Races!$E$71-6,0) )  -  Races!$I$71</f>
        <v>3.9599999999999991</v>
      </c>
      <c r="CY80" s="158">
        <f ca="1">1.8 * MIN(MAX(TblMili[[#This Row],[Ice Elemental]]+Races!$E$71,Races!$F$71),6)  +  0.45 * MIN(MIN(TblMili[[#This Row],[Ice Elemental]]+Races!$E$71,Races!$F$71),6)  +  0.2 * ( MAX(TblMili[[#This Row],[Ice Elemental]]+Races!$E$71-6,0) + MAX(Races!$F$71-6,0) )  -  Races!$I$71</f>
        <v>0.17999999999999972</v>
      </c>
      <c r="CZ80" s="97">
        <f ca="1">TblMili[[#This Row],[Frost Mage bonus]]*TblMili[[#This Row],[Unit 3]]+TblMili[[#This Row],[Ice Elemental bonus]]*TblMili[[#This Row],[Unit 4]]</f>
        <v>0</v>
      </c>
      <c r="DA80" s="268"/>
      <c r="DB80" s="146">
        <f ca="1">MIN(SUM(TblConstr[[#This Row],[Plain]:[Water]])/TblMili[[#This Row],[Land]]/favorable_terrain_bonus/100,favorable_terrain_max)</f>
        <v>0.1</v>
      </c>
      <c r="DC80" s="268"/>
      <c r="DD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0" s="145"/>
      <c r="DF80" s="269">
        <f ca="1">(TblMili[[#This Row],[Wizards]]+2*TblMili[[#This Row],[Archmages]])/TblConstr[[#This Row],[Land]]</f>
        <v>0.1</v>
      </c>
      <c r="DG80" s="269">
        <f ca="1">TblMili[[#This Row],[Raw (2)]]*(1+race_wizard_strength+IF(TblMili[[#This Row],[Hour]]&gt;72,tech_magical_weaponry_wiz*TblTech[[#This Row],[3-5]],0))</f>
        <v>0.1</v>
      </c>
    </row>
    <row r="81" spans="1:111"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45461.208333333147</v>
      </c>
      <c r="AG81" s="182"/>
      <c r="AH81" s="182"/>
      <c r="AI81" s="182"/>
      <c r="AJ81" s="182"/>
      <c r="AK81" s="182"/>
      <c r="AL81" s="182"/>
      <c r="AM81" s="182"/>
      <c r="AN81" s="182"/>
      <c r="AO81" s="449">
        <f ca="1">IF(AND(TblMagic[[#This Row],[Active DnD]]&lt;12,TblMagic[[#This Row],[Active DnD]]&gt;5),OFFSET(TblPop[[#This Row],[Draft Growth]],-1,0)/2,0)</f>
        <v>0</v>
      </c>
      <c r="AP81" s="145"/>
      <c r="AQ81" s="97">
        <f ca="1">TblProd[[#This Row],[Platinum]]</f>
        <v>543300</v>
      </c>
      <c r="AR81" s="97">
        <f ca="1">INDEX(TblProd[[#Headers],[Lumber]]:TblProd[[#This Row],[Ore]],COUNTA(TblProd[[#Headers],[Lumber]]:TblProd[[#This Row],[Lumber]]),MATCH(Military!$AQ$2,TblProd[[#Headers],[Lumber]:[Ore]],0))</f>
        <v>0</v>
      </c>
      <c r="AS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7">
        <f ca="1">TblMili[[#This Row],[Train Unit 1]]*TblMili[[#This Row],[OP Ore]]+TblMili[[#This Row],[Train Unit 2]]*TblMili[[#This Row],[DP Ore]]+TblMili[[#This Row],[Train Unit 3]]*TblMili[[#This Row],[E1 Ore]]+TblMili[[#This Row],[Train Unit 4]]*TblMili[[#This Row],[E2 Ore]]</f>
        <v>0</v>
      </c>
      <c r="AU81" s="145">
        <f>TblMili[[#This Row],[Hour]]</f>
        <v>78</v>
      </c>
      <c r="AV81" s="155">
        <f ca="1">TblMili[[#This Row],[Time]]</f>
        <v>45461.208333333147</v>
      </c>
      <c r="AW81" s="97">
        <f ca="1">TblMili[[#This Row],[Draftees]]</f>
        <v>626</v>
      </c>
      <c r="AX81" s="161"/>
      <c r="AY81" s="182"/>
      <c r="AZ81" s="182"/>
      <c r="BA81" s="182"/>
      <c r="BB81" s="182"/>
      <c r="BC81" s="182"/>
      <c r="BD81" s="182"/>
      <c r="BE81" s="182"/>
      <c r="BF81" s="182"/>
      <c r="BG81" s="145"/>
      <c r="BH81" s="160">
        <f ca="1">TblConstr[[#This Row],[Tot WG]]/TblConstr[[#This Row],[Land]]</f>
        <v>0</v>
      </c>
      <c r="BI81" s="160">
        <f ca="1">TblConstr[[#This Row],[Tot Hav]]/TblConstr[[#This Row],[Land]]</f>
        <v>0</v>
      </c>
      <c r="BJ81" s="97">
        <f ca="1">ROUNDUP((1-MIN(TblMili[[#This Row],[Smithies]]*smithy_bonus,smithy_bonus_cap) + tech_3_5*TblTech[[#This Row],[3-5]] + tech_5_3*TblTech[[#This Row],[5-3]] + tech_5_5*TblTech[[#This Row],[5-5]])*spec_op_plat,0)</f>
        <v>275</v>
      </c>
      <c r="BK81" s="97">
        <f ca="1">ROUNDUP(IF(race="Gnome",1,(1-MIN(TblMili[[#This Row],[Smithies]]*smithy_bonus,smithy_bonus_cap) + tech_3_5*TblTech[[#This Row],[3-5]] + tech_5_3*TblTech[[#This Row],[5-3]] + tech_5_5*TblTech[[#This Row],[5-5]]))*spec_op_ore,0)</f>
        <v>25</v>
      </c>
      <c r="BL81" s="97">
        <f ca="1">ROUNDUP((1-MIN(TblMili[[#This Row],[Smithies]]*smithy_bonus,smithy_bonus_cap) + tech_3_5*TblTech[[#This Row],[3-5]] + tech_5_3*TblTech[[#This Row],[5-3]] + tech_5_5*TblTech[[#This Row],[5-5]])*spec_dp_plat,0)</f>
        <v>275</v>
      </c>
      <c r="BM81" s="97">
        <f ca="1">ROUNDUP(IF(race="Gnome",1,(1-MIN(TblMili[[#This Row],[Smithies]]*smithy_bonus,smithy_bonus_cap) + tech_3_5*TblTech[[#This Row],[3-5]] + tech_5_3*TblTech[[#This Row],[5-3]] + tech_5_5*TblTech[[#This Row],[5-5]]))*spec_dp_ore,0)</f>
        <v>15</v>
      </c>
      <c r="BN81" s="97">
        <f ca="1">ROUNDUP((1-MIN(TblMili[[#This Row],[Smithies]]*smithy_bonus,smithy_bonus_cap) + tech_3_5*TblTech[[#This Row],[3-5]] + tech_5_3*TblTech[[#This Row],[5-3]] + tech_5_5*TblTech[[#This Row],[5-5]])*elite1_plat,0)</f>
        <v>1000</v>
      </c>
      <c r="BO81" s="97">
        <f ca="1">ROUNDUP(IF(race="Gnome",1,(1-MIN(TblMili[[#This Row],[Smithies]]*smithy_bonus,smithy_bonus_cap) + tech_3_5*TblTech[[#This Row],[3-5]] + tech_5_3*TblTech[[#This Row],[5-3]] + tech_5_5*TblTech[[#This Row],[5-5]]))*elite1_ore,0)</f>
        <v>75</v>
      </c>
      <c r="BP81" s="97">
        <f ca="1">ROUNDUP((1-MIN(TblMili[[#This Row],[Smithies]]*smithy_bonus,smithy_bonus_cap) + tech_3_5*TblTech[[#This Row],[3-5]] + tech_5_3*TblTech[[#This Row],[5-3]] + tech_5_5*TblTech[[#This Row],[5-5]])*elite2_plat,0)</f>
        <v>1250</v>
      </c>
      <c r="BQ81" s="97">
        <f ca="1">ROUNDUP(IF(race="Gnome",1,(1-MIN(TblMili[[#This Row],[Smithies]]*smithy_bonus,smithy_bonus_cap) + tech_3_5*TblTech[[#This Row],[3-5]] + tech_5_3*TblTech[[#This Row],[5-3]] + tech_5_5*TblTech[[#This Row],[5-5]]))*elite2_ore,0)</f>
        <v>100</v>
      </c>
      <c r="BR81" s="97">
        <f ca="1">ROUNDUP((1-MIN(ROUND(fh_spy_cost_red*TblMili[[#This Row],[FH''s]],4),fh_spy_cost_cap)+ tech_1_9*TblTech[[#This Row],[1-9]] + tech_9_1*TblTech[[#This Row],[9-1]])*spy_plat,0)</f>
        <v>500</v>
      </c>
      <c r="BS81" s="97">
        <f ca="1">ROUNDUP((1-MIN(ROUND(fh_spy_cost_red*TblMili[[#This Row],[FH''s]],4),fh_spy_cost_cap)+ tech_1_9*TblTech[[#This Row],[1-9]] + tech_9_1*TblTech[[#This Row],[9-1]])*archspy_plat,0)</f>
        <v>1000</v>
      </c>
      <c r="BT81" s="97">
        <f ca="1">ROUNDUP((1-MIN(ROUND(wg_wiz_cost_bonus*TblMili[[#This Row],[WG''s]],4),wg_wiz_cost_cap) + tech_1_9_2*TblTech[[#This Row],[1-9]] + tech_9_1_2*TblTech[[#This Row],[9-1]])*wizard_plat,0)</f>
        <v>500</v>
      </c>
      <c r="BU81" s="97">
        <f ca="1">ROUNDUP((1-MIN(ROUND(wg_wiz_cost_bonus*TblMili[[#This Row],[WG''s]],4),wg_wiz_cost_cap) + tech_1_9_2*TblTech[[#This Row],[1-9]] + tech_9_1_2*TblTech[[#This Row],[9-1]])*archmage_plat,0)</f>
        <v>1000</v>
      </c>
      <c r="BV81" s="145"/>
      <c r="BW81" s="160">
        <f ca="1">TblConstr[[#This Row],[Homeland]]/TblConstr[[#This Row],[Land]]</f>
        <v>0.44</v>
      </c>
      <c r="BX81" s="160">
        <f ca="1">TblMili[[#This Row],[WG''s]]</f>
        <v>0</v>
      </c>
      <c r="BY81" s="266">
        <f ca="1">IF(mystic_cap="none",TblMili[[#This Row],[Hill]]/mystic_bonus,MIN(mystic_cap,TblMili[[#This Row],[Hill]]/mystic_bonus))</f>
        <v>2.1999999999999997</v>
      </c>
      <c r="BZ81" s="266">
        <f ca="1">IF(druid_op_cap="none",TblMili[[#This Row],[Hill]]/druid_op_bonus,MIN(druid_op_cap,TblMili[[#This Row],[Hill]]/druid_op_bonus))</f>
        <v>2.1999999999999997</v>
      </c>
      <c r="CA81" s="266">
        <f ca="1">IF(druid_dp_cap="none",TblMili[[#This Row],[Hill]]/druid_dp_bonus,MIN(druid_dp_cap,TblMili[[#This Row],[Hill]]/druid_dp_bonus))</f>
        <v>2.1999999999999997</v>
      </c>
      <c r="CB81" s="266">
        <f ca="1">MIN(dryad_cap,TblMili[[#This Row],[Hill]]/dryad_bonus)</f>
        <v>2.1999999999999997</v>
      </c>
      <c r="CC81" s="266">
        <f ca="1">MIN(rocka_cap,TblMili[[#This Row],[Hill]]/rocka_bonus)</f>
        <v>2</v>
      </c>
      <c r="CD81" s="266">
        <f ca="1">MIN(adept_op_cap,TblMili[[#This Row],[WG]]/adept_op_bonus)</f>
        <v>0</v>
      </c>
      <c r="CE81" s="266">
        <f ca="1">MIN(adept_dp_cap,TblMili[[#This Row],[WG]]/adept_dp_bonus)</f>
        <v>0</v>
      </c>
      <c r="CF81" s="97">
        <f ca="1">MIN(TblMili[[#This Row],[Unit 3]],TblMili[[#This Row],[Unit 2]])*2</f>
        <v>0</v>
      </c>
      <c r="CG81" s="97">
        <f ca="1">MIN(TblMili[[#This Row],[Unit 1]],TblMili[[#This Row],[Unit 4]])*2</f>
        <v>0</v>
      </c>
      <c r="CH81" s="266">
        <f ca="1">MIN(frost_mage_cap,TblMili[[#This Row],[Hill]]/frost_mage_bonus)</f>
        <v>2.1999999999999997</v>
      </c>
      <c r="CI81" s="45">
        <f ca="1">MIN(ice_elem_cap,TblMili[[#This Row],[Raw (2)]]*ice_elem_bonus)</f>
        <v>0.1</v>
      </c>
      <c r="CJ81" s="266">
        <f t="shared" si="3"/>
        <v>0.83333333333333337</v>
      </c>
      <c r="CK81" s="266">
        <f ca="1">MIN(nox_nightshade_cap,TblConstr[[#This Row],[Homeland]]/TblConstr[[#This Row],[Land]]/nox_nightshade_swamp_bonus)</f>
        <v>4</v>
      </c>
      <c r="CL81" s="267"/>
      <c r="CM81" s="267"/>
      <c r="CN81" s="267"/>
      <c r="CO81" s="266">
        <f ca="1">MIN(6,TblMili[[#This Row],[Mystic]]+Races!$F$19)*1.8 +  IF(TblMili[[#This Row],[Mystic]]+Races!$F$19&gt;6,(TblMili[[#This Row],[Mystic]]+Races!$F$19-6)*0.2,0) - Races!$I$19</f>
        <v>3.6399999999999997</v>
      </c>
      <c r="CP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1" s="97">
        <f ca="1">TblMili[[#This Row],[Mystic bonus]]*TblMili[[#This Row],[Unit 3]]+TblMili[[#This Row],[Druid bonus]]*TblMili[[#This Row],[Unit 4]]</f>
        <v>0</v>
      </c>
      <c r="CR81" s="158">
        <f ca="1">MIN(6,TblMili[[#This Row],[Dryad]]+Races!$F$35)*1.8 +  IF(TblMili[[#This Row],[Dryad]]+Races!$F$35&gt;6,(TblMili[[#This Row],[Dryad]]+Races!$F$35-6)*0.2,0) - Races!$I$19</f>
        <v>2.1599999999999993</v>
      </c>
      <c r="CS81" s="97">
        <f ca="1">sylvan*(TblMili[[#This Row],[Mystic bonus]]*TblMili[[#This Row],[Unit 3]])</f>
        <v>0</v>
      </c>
      <c r="CT81" s="158">
        <f ca="1">1.8 * MIN(MAX(Races!$E$27,TblMili[[#This Row],[Rockapult]]+Races!$F$27),6)  +  0.45 * MIN(MIN(Races!$E$27,TblMili[[#This Row],[Rockapult]]+Races!$F$27),6)  +  0.2 * ( MAX(Races!$E$27-6,0) + MAX(TblMili[[#This Row],[Rockapult]]+Races!$F$27-6,0) )  -  Races!$I$20</f>
        <v>5.8500000000000005</v>
      </c>
      <c r="CU81" s="97">
        <f ca="1">gnome*(TblMili[[#This Row],[Rockapult bonus]]*TblMili[[#This Row],[Unit 3]])</f>
        <v>0</v>
      </c>
      <c r="CV81" s="158">
        <f ca="1">1.8 * MIN(MAX(TblMili[[#This Row],[Spellblade]]+Races!$E$47,TblMili[[#This Row],[Adept-DP]]+Races!$F$47),6)  +  0.45 * MIN(MIN(TblMili[[#This Row],[Spellblade]]+Races!$E$47,TblMili[[#This Row],[Adept-DP]]+Races!$F$47),6)  +  0.2 * ( MAX(TblMili[[#This Row],[Spellblade]]+Races!$E$47-6,0) + MAX(TblMili[[#This Row],[Adept-DP]]+Races!$F$47-6,0) )  -  Races!$I$47</f>
        <v>0</v>
      </c>
      <c r="CW81" s="97">
        <f ca="1">dark_elf*(TblMili[[#This Row],[Adept bonus]]*TblMili[[#This Row],[Unit 3]])</f>
        <v>0</v>
      </c>
      <c r="CX81" s="158">
        <f ca="1">1.8 * MIN(MAX(TblMili[[#This Row],[Frost Mage]]+Races!$F$71,Races!$E$71),6)  +  0.45 * MIN(MIN(TblMili[[#This Row],[Frost Mage]]+Races!$F$71,Races!$E$71),6)  +  0.2 * ( MAX(TblMili[[#This Row],[Frost Mage]]+Races!$F$71-6,0) + MAX(Races!$E$71-6,0) )  -  Races!$I$71</f>
        <v>3.9599999999999991</v>
      </c>
      <c r="CY81" s="158">
        <f ca="1">1.8 * MIN(MAX(TblMili[[#This Row],[Ice Elemental]]+Races!$E$71,Races!$F$71),6)  +  0.45 * MIN(MIN(TblMili[[#This Row],[Ice Elemental]]+Races!$E$71,Races!$F$71),6)  +  0.2 * ( MAX(TblMili[[#This Row],[Ice Elemental]]+Races!$E$71-6,0) + MAX(Races!$F$71-6,0) )  -  Races!$I$71</f>
        <v>0.17999999999999972</v>
      </c>
      <c r="CZ81" s="97">
        <f ca="1">TblMili[[#This Row],[Frost Mage bonus]]*TblMili[[#This Row],[Unit 3]]+TblMili[[#This Row],[Ice Elemental bonus]]*TblMili[[#This Row],[Unit 4]]</f>
        <v>0</v>
      </c>
      <c r="DA81" s="268"/>
      <c r="DB81" s="146">
        <f ca="1">MIN(SUM(TblConstr[[#This Row],[Plain]:[Water]])/TblMili[[#This Row],[Land]]/favorable_terrain_bonus/100,favorable_terrain_max)</f>
        <v>0.1</v>
      </c>
      <c r="DC81" s="268"/>
      <c r="DD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1" s="145"/>
      <c r="DF81" s="269">
        <f ca="1">(TblMili[[#This Row],[Wizards]]+2*TblMili[[#This Row],[Archmages]])/TblConstr[[#This Row],[Land]]</f>
        <v>0.1</v>
      </c>
      <c r="DG81" s="269">
        <f ca="1">TblMili[[#This Row],[Raw (2)]]*(1+race_wizard_strength+IF(TblMili[[#This Row],[Hour]]&gt;72,tech_magical_weaponry_wiz*TblTech[[#This Row],[3-5]],0))</f>
        <v>0.1</v>
      </c>
    </row>
    <row r="82" spans="1:111"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45461.249999999811</v>
      </c>
      <c r="AG82" s="182"/>
      <c r="AH82" s="182"/>
      <c r="AI82" s="182"/>
      <c r="AJ82" s="182"/>
      <c r="AK82" s="182"/>
      <c r="AL82" s="182"/>
      <c r="AM82" s="182"/>
      <c r="AN82" s="182"/>
      <c r="AO82" s="449">
        <f ca="1">IF(AND(TblMagic[[#This Row],[Active DnD]]&lt;12,TblMagic[[#This Row],[Active DnD]]&gt;5),OFFSET(TblPop[[#This Row],[Draft Growth]],-1,0)/2,0)</f>
        <v>0</v>
      </c>
      <c r="AP82" s="145"/>
      <c r="AQ82" s="97">
        <f ca="1">TblProd[[#This Row],[Platinum]]</f>
        <v>548786</v>
      </c>
      <c r="AR82" s="97">
        <f ca="1">INDEX(TblProd[[#Headers],[Lumber]]:TblProd[[#This Row],[Ore]],COUNTA(TblProd[[#Headers],[Lumber]]:TblProd[[#This Row],[Lumber]]),MATCH(Military!$AQ$2,TblProd[[#Headers],[Lumber]:[Ore]],0))</f>
        <v>0</v>
      </c>
      <c r="AS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7">
        <f ca="1">TblMili[[#This Row],[Train Unit 1]]*TblMili[[#This Row],[OP Ore]]+TblMili[[#This Row],[Train Unit 2]]*TblMili[[#This Row],[DP Ore]]+TblMili[[#This Row],[Train Unit 3]]*TblMili[[#This Row],[E1 Ore]]+TblMili[[#This Row],[Train Unit 4]]*TblMili[[#This Row],[E2 Ore]]</f>
        <v>0</v>
      </c>
      <c r="AU82" s="145">
        <f>TblMili[[#This Row],[Hour]]</f>
        <v>79</v>
      </c>
      <c r="AV82" s="155">
        <f ca="1">TblMili[[#This Row],[Time]]</f>
        <v>45461.249999999811</v>
      </c>
      <c r="AW82" s="97">
        <f ca="1">TblMili[[#This Row],[Draftees]]</f>
        <v>626</v>
      </c>
      <c r="AX82" s="161"/>
      <c r="AY82" s="182"/>
      <c r="AZ82" s="182"/>
      <c r="BA82" s="182"/>
      <c r="BB82" s="182"/>
      <c r="BC82" s="182"/>
      <c r="BD82" s="182"/>
      <c r="BE82" s="182"/>
      <c r="BF82" s="182"/>
      <c r="BG82" s="145"/>
      <c r="BH82" s="160">
        <f ca="1">TblConstr[[#This Row],[Tot WG]]/TblConstr[[#This Row],[Land]]</f>
        <v>0</v>
      </c>
      <c r="BI82" s="160">
        <f ca="1">TblConstr[[#This Row],[Tot Hav]]/TblConstr[[#This Row],[Land]]</f>
        <v>0</v>
      </c>
      <c r="BJ82" s="97">
        <f ca="1">ROUNDUP((1-MIN(TblMili[[#This Row],[Smithies]]*smithy_bonus,smithy_bonus_cap) + tech_3_5*TblTech[[#This Row],[3-5]] + tech_5_3*TblTech[[#This Row],[5-3]] + tech_5_5*TblTech[[#This Row],[5-5]])*spec_op_plat,0)</f>
        <v>275</v>
      </c>
      <c r="BK82" s="97">
        <f ca="1">ROUNDUP(IF(race="Gnome",1,(1-MIN(TblMili[[#This Row],[Smithies]]*smithy_bonus,smithy_bonus_cap) + tech_3_5*TblTech[[#This Row],[3-5]] + tech_5_3*TblTech[[#This Row],[5-3]] + tech_5_5*TblTech[[#This Row],[5-5]]))*spec_op_ore,0)</f>
        <v>25</v>
      </c>
      <c r="BL82" s="97">
        <f ca="1">ROUNDUP((1-MIN(TblMili[[#This Row],[Smithies]]*smithy_bonus,smithy_bonus_cap) + tech_3_5*TblTech[[#This Row],[3-5]] + tech_5_3*TblTech[[#This Row],[5-3]] + tech_5_5*TblTech[[#This Row],[5-5]])*spec_dp_plat,0)</f>
        <v>275</v>
      </c>
      <c r="BM82" s="97">
        <f ca="1">ROUNDUP(IF(race="Gnome",1,(1-MIN(TblMili[[#This Row],[Smithies]]*smithy_bonus,smithy_bonus_cap) + tech_3_5*TblTech[[#This Row],[3-5]] + tech_5_3*TblTech[[#This Row],[5-3]] + tech_5_5*TblTech[[#This Row],[5-5]]))*spec_dp_ore,0)</f>
        <v>15</v>
      </c>
      <c r="BN82" s="97">
        <f ca="1">ROUNDUP((1-MIN(TblMili[[#This Row],[Smithies]]*smithy_bonus,smithy_bonus_cap) + tech_3_5*TblTech[[#This Row],[3-5]] + tech_5_3*TblTech[[#This Row],[5-3]] + tech_5_5*TblTech[[#This Row],[5-5]])*elite1_plat,0)</f>
        <v>1000</v>
      </c>
      <c r="BO82" s="97">
        <f ca="1">ROUNDUP(IF(race="Gnome",1,(1-MIN(TblMili[[#This Row],[Smithies]]*smithy_bonus,smithy_bonus_cap) + tech_3_5*TblTech[[#This Row],[3-5]] + tech_5_3*TblTech[[#This Row],[5-3]] + tech_5_5*TblTech[[#This Row],[5-5]]))*elite1_ore,0)</f>
        <v>75</v>
      </c>
      <c r="BP82" s="97">
        <f ca="1">ROUNDUP((1-MIN(TblMili[[#This Row],[Smithies]]*smithy_bonus,smithy_bonus_cap) + tech_3_5*TblTech[[#This Row],[3-5]] + tech_5_3*TblTech[[#This Row],[5-3]] + tech_5_5*TblTech[[#This Row],[5-5]])*elite2_plat,0)</f>
        <v>1250</v>
      </c>
      <c r="BQ82" s="97">
        <f ca="1">ROUNDUP(IF(race="Gnome",1,(1-MIN(TblMili[[#This Row],[Smithies]]*smithy_bonus,smithy_bonus_cap) + tech_3_5*TblTech[[#This Row],[3-5]] + tech_5_3*TblTech[[#This Row],[5-3]] + tech_5_5*TblTech[[#This Row],[5-5]]))*elite2_ore,0)</f>
        <v>100</v>
      </c>
      <c r="BR82" s="97">
        <f ca="1">ROUNDUP((1-MIN(ROUND(fh_spy_cost_red*TblMili[[#This Row],[FH''s]],4),fh_spy_cost_cap)+ tech_1_9*TblTech[[#This Row],[1-9]] + tech_9_1*TblTech[[#This Row],[9-1]])*spy_plat,0)</f>
        <v>500</v>
      </c>
      <c r="BS82" s="97">
        <f ca="1">ROUNDUP((1-MIN(ROUND(fh_spy_cost_red*TblMili[[#This Row],[FH''s]],4),fh_spy_cost_cap)+ tech_1_9*TblTech[[#This Row],[1-9]] + tech_9_1*TblTech[[#This Row],[9-1]])*archspy_plat,0)</f>
        <v>1000</v>
      </c>
      <c r="BT82" s="97">
        <f ca="1">ROUNDUP((1-MIN(ROUND(wg_wiz_cost_bonus*TblMili[[#This Row],[WG''s]],4),wg_wiz_cost_cap) + tech_1_9_2*TblTech[[#This Row],[1-9]] + tech_9_1_2*TblTech[[#This Row],[9-1]])*wizard_plat,0)</f>
        <v>500</v>
      </c>
      <c r="BU82" s="97">
        <f ca="1">ROUNDUP((1-MIN(ROUND(wg_wiz_cost_bonus*TblMili[[#This Row],[WG''s]],4),wg_wiz_cost_cap) + tech_1_9_2*TblTech[[#This Row],[1-9]] + tech_9_1_2*TblTech[[#This Row],[9-1]])*archmage_plat,0)</f>
        <v>1000</v>
      </c>
      <c r="BV82" s="145"/>
      <c r="BW82" s="160">
        <f ca="1">TblConstr[[#This Row],[Homeland]]/TblConstr[[#This Row],[Land]]</f>
        <v>0.44</v>
      </c>
      <c r="BX82" s="160">
        <f ca="1">TblMili[[#This Row],[WG''s]]</f>
        <v>0</v>
      </c>
      <c r="BY82" s="266">
        <f ca="1">IF(mystic_cap="none",TblMili[[#This Row],[Hill]]/mystic_bonus,MIN(mystic_cap,TblMili[[#This Row],[Hill]]/mystic_bonus))</f>
        <v>2.1999999999999997</v>
      </c>
      <c r="BZ82" s="266">
        <f ca="1">IF(druid_op_cap="none",TblMili[[#This Row],[Hill]]/druid_op_bonus,MIN(druid_op_cap,TblMili[[#This Row],[Hill]]/druid_op_bonus))</f>
        <v>2.1999999999999997</v>
      </c>
      <c r="CA82" s="266">
        <f ca="1">IF(druid_dp_cap="none",TblMili[[#This Row],[Hill]]/druid_dp_bonus,MIN(druid_dp_cap,TblMili[[#This Row],[Hill]]/druid_dp_bonus))</f>
        <v>2.1999999999999997</v>
      </c>
      <c r="CB82" s="266">
        <f ca="1">MIN(dryad_cap,TblMili[[#This Row],[Hill]]/dryad_bonus)</f>
        <v>2.1999999999999997</v>
      </c>
      <c r="CC82" s="266">
        <f ca="1">MIN(rocka_cap,TblMili[[#This Row],[Hill]]/rocka_bonus)</f>
        <v>2</v>
      </c>
      <c r="CD82" s="266">
        <f ca="1">MIN(adept_op_cap,TblMili[[#This Row],[WG]]/adept_op_bonus)</f>
        <v>0</v>
      </c>
      <c r="CE82" s="266">
        <f ca="1">MIN(adept_dp_cap,TblMili[[#This Row],[WG]]/adept_dp_bonus)</f>
        <v>0</v>
      </c>
      <c r="CF82" s="97">
        <f ca="1">MIN(TblMili[[#This Row],[Unit 3]],TblMili[[#This Row],[Unit 2]])*2</f>
        <v>0</v>
      </c>
      <c r="CG82" s="97">
        <f ca="1">MIN(TblMili[[#This Row],[Unit 1]],TblMili[[#This Row],[Unit 4]])*2</f>
        <v>0</v>
      </c>
      <c r="CH82" s="266">
        <f ca="1">MIN(frost_mage_cap,TblMili[[#This Row],[Hill]]/frost_mage_bonus)</f>
        <v>2.1999999999999997</v>
      </c>
      <c r="CI82" s="45">
        <f ca="1">MIN(ice_elem_cap,TblMili[[#This Row],[Raw (2)]]*ice_elem_bonus)</f>
        <v>0.1</v>
      </c>
      <c r="CJ82" s="266">
        <f t="shared" si="3"/>
        <v>0.83333333333333337</v>
      </c>
      <c r="CK82" s="266">
        <f ca="1">MIN(nox_nightshade_cap,TblConstr[[#This Row],[Homeland]]/TblConstr[[#This Row],[Land]]/nox_nightshade_swamp_bonus)</f>
        <v>4</v>
      </c>
      <c r="CL82" s="267"/>
      <c r="CM82" s="267"/>
      <c r="CN82" s="267"/>
      <c r="CO82" s="266">
        <f ca="1">MIN(6,TblMili[[#This Row],[Mystic]]+Races!$F$19)*1.8 +  IF(TblMili[[#This Row],[Mystic]]+Races!$F$19&gt;6,(TblMili[[#This Row],[Mystic]]+Races!$F$19-6)*0.2,0) - Races!$I$19</f>
        <v>3.6399999999999997</v>
      </c>
      <c r="CP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2" s="97">
        <f ca="1">TblMili[[#This Row],[Mystic bonus]]*TblMili[[#This Row],[Unit 3]]+TblMili[[#This Row],[Druid bonus]]*TblMili[[#This Row],[Unit 4]]</f>
        <v>0</v>
      </c>
      <c r="CR82" s="158">
        <f ca="1">MIN(6,TblMili[[#This Row],[Dryad]]+Races!$F$35)*1.8 +  IF(TblMili[[#This Row],[Dryad]]+Races!$F$35&gt;6,(TblMili[[#This Row],[Dryad]]+Races!$F$35-6)*0.2,0) - Races!$I$19</f>
        <v>2.1599999999999993</v>
      </c>
      <c r="CS82" s="97">
        <f ca="1">sylvan*(TblMili[[#This Row],[Mystic bonus]]*TblMili[[#This Row],[Unit 3]])</f>
        <v>0</v>
      </c>
      <c r="CT82" s="158">
        <f ca="1">1.8 * MIN(MAX(Races!$E$27,TblMili[[#This Row],[Rockapult]]+Races!$F$27),6)  +  0.45 * MIN(MIN(Races!$E$27,TblMili[[#This Row],[Rockapult]]+Races!$F$27),6)  +  0.2 * ( MAX(Races!$E$27-6,0) + MAX(TblMili[[#This Row],[Rockapult]]+Races!$F$27-6,0) )  -  Races!$I$20</f>
        <v>5.8500000000000005</v>
      </c>
      <c r="CU82" s="97">
        <f ca="1">gnome*(TblMili[[#This Row],[Rockapult bonus]]*TblMili[[#This Row],[Unit 3]])</f>
        <v>0</v>
      </c>
      <c r="CV82" s="158">
        <f ca="1">1.8 * MIN(MAX(TblMili[[#This Row],[Spellblade]]+Races!$E$47,TblMili[[#This Row],[Adept-DP]]+Races!$F$47),6)  +  0.45 * MIN(MIN(TblMili[[#This Row],[Spellblade]]+Races!$E$47,TblMili[[#This Row],[Adept-DP]]+Races!$F$47),6)  +  0.2 * ( MAX(TblMili[[#This Row],[Spellblade]]+Races!$E$47-6,0) + MAX(TblMili[[#This Row],[Adept-DP]]+Races!$F$47-6,0) )  -  Races!$I$47</f>
        <v>0</v>
      </c>
      <c r="CW82" s="97">
        <f ca="1">dark_elf*(TblMili[[#This Row],[Adept bonus]]*TblMili[[#This Row],[Unit 3]])</f>
        <v>0</v>
      </c>
      <c r="CX82" s="158">
        <f ca="1">1.8 * MIN(MAX(TblMili[[#This Row],[Frost Mage]]+Races!$F$71,Races!$E$71),6)  +  0.45 * MIN(MIN(TblMili[[#This Row],[Frost Mage]]+Races!$F$71,Races!$E$71),6)  +  0.2 * ( MAX(TblMili[[#This Row],[Frost Mage]]+Races!$F$71-6,0) + MAX(Races!$E$71-6,0) )  -  Races!$I$71</f>
        <v>3.9599999999999991</v>
      </c>
      <c r="CY82" s="158">
        <f ca="1">1.8 * MIN(MAX(TblMili[[#This Row],[Ice Elemental]]+Races!$E$71,Races!$F$71),6)  +  0.45 * MIN(MIN(TblMili[[#This Row],[Ice Elemental]]+Races!$E$71,Races!$F$71),6)  +  0.2 * ( MAX(TblMili[[#This Row],[Ice Elemental]]+Races!$E$71-6,0) + MAX(Races!$F$71-6,0) )  -  Races!$I$71</f>
        <v>0.17999999999999972</v>
      </c>
      <c r="CZ82" s="97">
        <f ca="1">TblMili[[#This Row],[Frost Mage bonus]]*TblMili[[#This Row],[Unit 3]]+TblMili[[#This Row],[Ice Elemental bonus]]*TblMili[[#This Row],[Unit 4]]</f>
        <v>0</v>
      </c>
      <c r="DA82" s="268"/>
      <c r="DB82" s="146">
        <f ca="1">MIN(SUM(TblConstr[[#This Row],[Plain]:[Water]])/TblMili[[#This Row],[Land]]/favorable_terrain_bonus/100,favorable_terrain_max)</f>
        <v>0.1</v>
      </c>
      <c r="DC82" s="268"/>
      <c r="DD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2" s="145"/>
      <c r="DF82" s="269">
        <f ca="1">(TblMili[[#This Row],[Wizards]]+2*TblMili[[#This Row],[Archmages]])/TblConstr[[#This Row],[Land]]</f>
        <v>0.1</v>
      </c>
      <c r="DG82" s="269">
        <f ca="1">TblMili[[#This Row],[Raw (2)]]*(1+race_wizard_strength+IF(TblMili[[#This Row],[Hour]]&gt;72,tech_magical_weaponry_wiz*TblTech[[#This Row],[3-5]],0))</f>
        <v>0.1</v>
      </c>
    </row>
    <row r="83" spans="1:111"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45461.291666666475</v>
      </c>
      <c r="AG83" s="182"/>
      <c r="AH83" s="182"/>
      <c r="AI83" s="182"/>
      <c r="AJ83" s="182"/>
      <c r="AK83" s="182"/>
      <c r="AL83" s="182"/>
      <c r="AM83" s="182"/>
      <c r="AN83" s="182"/>
      <c r="AO83" s="449">
        <f ca="1">IF(AND(TblMagic[[#This Row],[Active DnD]]&lt;12,TblMagic[[#This Row],[Active DnD]]&gt;5),OFFSET(TblPop[[#This Row],[Draft Growth]],-1,0)/2,0)</f>
        <v>0</v>
      </c>
      <c r="AP83" s="145"/>
      <c r="AQ83" s="97">
        <f ca="1">TblProd[[#This Row],[Platinum]]</f>
        <v>554272</v>
      </c>
      <c r="AR83" s="97">
        <f ca="1">INDEX(TblProd[[#Headers],[Lumber]]:TblProd[[#This Row],[Ore]],COUNTA(TblProd[[#Headers],[Lumber]]:TblProd[[#This Row],[Lumber]]),MATCH(Military!$AQ$2,TblProd[[#Headers],[Lumber]:[Ore]],0))</f>
        <v>0</v>
      </c>
      <c r="AS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7">
        <f ca="1">TblMili[[#This Row],[Train Unit 1]]*TblMili[[#This Row],[OP Ore]]+TblMili[[#This Row],[Train Unit 2]]*TblMili[[#This Row],[DP Ore]]+TblMili[[#This Row],[Train Unit 3]]*TblMili[[#This Row],[E1 Ore]]+TblMili[[#This Row],[Train Unit 4]]*TblMili[[#This Row],[E2 Ore]]</f>
        <v>0</v>
      </c>
      <c r="AU83" s="145">
        <f>TblMili[[#This Row],[Hour]]</f>
        <v>80</v>
      </c>
      <c r="AV83" s="155">
        <f ca="1">TblMili[[#This Row],[Time]]</f>
        <v>45461.291666666475</v>
      </c>
      <c r="AW83" s="97">
        <f ca="1">TblMili[[#This Row],[Draftees]]</f>
        <v>626</v>
      </c>
      <c r="AX83" s="161"/>
      <c r="AY83" s="182"/>
      <c r="AZ83" s="182"/>
      <c r="BA83" s="182"/>
      <c r="BB83" s="182"/>
      <c r="BC83" s="182"/>
      <c r="BD83" s="182"/>
      <c r="BE83" s="182"/>
      <c r="BF83" s="182"/>
      <c r="BG83" s="145"/>
      <c r="BH83" s="160">
        <f ca="1">TblConstr[[#This Row],[Tot WG]]/TblConstr[[#This Row],[Land]]</f>
        <v>0</v>
      </c>
      <c r="BI83" s="160">
        <f ca="1">TblConstr[[#This Row],[Tot Hav]]/TblConstr[[#This Row],[Land]]</f>
        <v>0</v>
      </c>
      <c r="BJ83" s="97">
        <f ca="1">ROUNDUP((1-MIN(TblMili[[#This Row],[Smithies]]*smithy_bonus,smithy_bonus_cap) + tech_3_5*TblTech[[#This Row],[3-5]] + tech_5_3*TblTech[[#This Row],[5-3]] + tech_5_5*TblTech[[#This Row],[5-5]])*spec_op_plat,0)</f>
        <v>275</v>
      </c>
      <c r="BK83" s="97">
        <f ca="1">ROUNDUP(IF(race="Gnome",1,(1-MIN(TblMili[[#This Row],[Smithies]]*smithy_bonus,smithy_bonus_cap) + tech_3_5*TblTech[[#This Row],[3-5]] + tech_5_3*TblTech[[#This Row],[5-3]] + tech_5_5*TblTech[[#This Row],[5-5]]))*spec_op_ore,0)</f>
        <v>25</v>
      </c>
      <c r="BL83" s="97">
        <f ca="1">ROUNDUP((1-MIN(TblMili[[#This Row],[Smithies]]*smithy_bonus,smithy_bonus_cap) + tech_3_5*TblTech[[#This Row],[3-5]] + tech_5_3*TblTech[[#This Row],[5-3]] + tech_5_5*TblTech[[#This Row],[5-5]])*spec_dp_plat,0)</f>
        <v>275</v>
      </c>
      <c r="BM83" s="97">
        <f ca="1">ROUNDUP(IF(race="Gnome",1,(1-MIN(TblMili[[#This Row],[Smithies]]*smithy_bonus,smithy_bonus_cap) + tech_3_5*TblTech[[#This Row],[3-5]] + tech_5_3*TblTech[[#This Row],[5-3]] + tech_5_5*TblTech[[#This Row],[5-5]]))*spec_dp_ore,0)</f>
        <v>15</v>
      </c>
      <c r="BN83" s="97">
        <f ca="1">ROUNDUP((1-MIN(TblMili[[#This Row],[Smithies]]*smithy_bonus,smithy_bonus_cap) + tech_3_5*TblTech[[#This Row],[3-5]] + tech_5_3*TblTech[[#This Row],[5-3]] + tech_5_5*TblTech[[#This Row],[5-5]])*elite1_plat,0)</f>
        <v>1000</v>
      </c>
      <c r="BO83" s="97">
        <f ca="1">ROUNDUP(IF(race="Gnome",1,(1-MIN(TblMili[[#This Row],[Smithies]]*smithy_bonus,smithy_bonus_cap) + tech_3_5*TblTech[[#This Row],[3-5]] + tech_5_3*TblTech[[#This Row],[5-3]] + tech_5_5*TblTech[[#This Row],[5-5]]))*elite1_ore,0)</f>
        <v>75</v>
      </c>
      <c r="BP83" s="97">
        <f ca="1">ROUNDUP((1-MIN(TblMili[[#This Row],[Smithies]]*smithy_bonus,smithy_bonus_cap) + tech_3_5*TblTech[[#This Row],[3-5]] + tech_5_3*TblTech[[#This Row],[5-3]] + tech_5_5*TblTech[[#This Row],[5-5]])*elite2_plat,0)</f>
        <v>1250</v>
      </c>
      <c r="BQ83" s="97">
        <f ca="1">ROUNDUP(IF(race="Gnome",1,(1-MIN(TblMili[[#This Row],[Smithies]]*smithy_bonus,smithy_bonus_cap) + tech_3_5*TblTech[[#This Row],[3-5]] + tech_5_3*TblTech[[#This Row],[5-3]] + tech_5_5*TblTech[[#This Row],[5-5]]))*elite2_ore,0)</f>
        <v>100</v>
      </c>
      <c r="BR83" s="97">
        <f ca="1">ROUNDUP((1-MIN(ROUND(fh_spy_cost_red*TblMili[[#This Row],[FH''s]],4),fh_spy_cost_cap)+ tech_1_9*TblTech[[#This Row],[1-9]] + tech_9_1*TblTech[[#This Row],[9-1]])*spy_plat,0)</f>
        <v>500</v>
      </c>
      <c r="BS83" s="97">
        <f ca="1">ROUNDUP((1-MIN(ROUND(fh_spy_cost_red*TblMili[[#This Row],[FH''s]],4),fh_spy_cost_cap)+ tech_1_9*TblTech[[#This Row],[1-9]] + tech_9_1*TblTech[[#This Row],[9-1]])*archspy_plat,0)</f>
        <v>1000</v>
      </c>
      <c r="BT83" s="97">
        <f ca="1">ROUNDUP((1-MIN(ROUND(wg_wiz_cost_bonus*TblMili[[#This Row],[WG''s]],4),wg_wiz_cost_cap) + tech_1_9_2*TblTech[[#This Row],[1-9]] + tech_9_1_2*TblTech[[#This Row],[9-1]])*wizard_plat,0)</f>
        <v>500</v>
      </c>
      <c r="BU83" s="97">
        <f ca="1">ROUNDUP((1-MIN(ROUND(wg_wiz_cost_bonus*TblMili[[#This Row],[WG''s]],4),wg_wiz_cost_cap) + tech_1_9_2*TblTech[[#This Row],[1-9]] + tech_9_1_2*TblTech[[#This Row],[9-1]])*archmage_plat,0)</f>
        <v>1000</v>
      </c>
      <c r="BV83" s="145"/>
      <c r="BW83" s="160">
        <f ca="1">TblConstr[[#This Row],[Homeland]]/TblConstr[[#This Row],[Land]]</f>
        <v>0.44</v>
      </c>
      <c r="BX83" s="160">
        <f ca="1">TblMili[[#This Row],[WG''s]]</f>
        <v>0</v>
      </c>
      <c r="BY83" s="266">
        <f ca="1">IF(mystic_cap="none",TblMili[[#This Row],[Hill]]/mystic_bonus,MIN(mystic_cap,TblMili[[#This Row],[Hill]]/mystic_bonus))</f>
        <v>2.1999999999999997</v>
      </c>
      <c r="BZ83" s="266">
        <f ca="1">IF(druid_op_cap="none",TblMili[[#This Row],[Hill]]/druid_op_bonus,MIN(druid_op_cap,TblMili[[#This Row],[Hill]]/druid_op_bonus))</f>
        <v>2.1999999999999997</v>
      </c>
      <c r="CA83" s="266">
        <f ca="1">IF(druid_dp_cap="none",TblMili[[#This Row],[Hill]]/druid_dp_bonus,MIN(druid_dp_cap,TblMili[[#This Row],[Hill]]/druid_dp_bonus))</f>
        <v>2.1999999999999997</v>
      </c>
      <c r="CB83" s="266">
        <f ca="1">MIN(dryad_cap,TblMili[[#This Row],[Hill]]/dryad_bonus)</f>
        <v>2.1999999999999997</v>
      </c>
      <c r="CC83" s="266">
        <f ca="1">MIN(rocka_cap,TblMili[[#This Row],[Hill]]/rocka_bonus)</f>
        <v>2</v>
      </c>
      <c r="CD83" s="266">
        <f ca="1">MIN(adept_op_cap,TblMili[[#This Row],[WG]]/adept_op_bonus)</f>
        <v>0</v>
      </c>
      <c r="CE83" s="266">
        <f ca="1">MIN(adept_dp_cap,TblMili[[#This Row],[WG]]/adept_dp_bonus)</f>
        <v>0</v>
      </c>
      <c r="CF83" s="97">
        <f ca="1">MIN(TblMili[[#This Row],[Unit 3]],TblMili[[#This Row],[Unit 2]])*2</f>
        <v>0</v>
      </c>
      <c r="CG83" s="97">
        <f ca="1">MIN(TblMili[[#This Row],[Unit 1]],TblMili[[#This Row],[Unit 4]])*2</f>
        <v>0</v>
      </c>
      <c r="CH83" s="266">
        <f ca="1">MIN(frost_mage_cap,TblMili[[#This Row],[Hill]]/frost_mage_bonus)</f>
        <v>2.1999999999999997</v>
      </c>
      <c r="CI83" s="45">
        <f ca="1">MIN(ice_elem_cap,TblMili[[#This Row],[Raw (2)]]*ice_elem_bonus)</f>
        <v>0.1</v>
      </c>
      <c r="CJ83" s="266">
        <f t="shared" si="3"/>
        <v>0.83333333333333337</v>
      </c>
      <c r="CK83" s="266">
        <f ca="1">MIN(nox_nightshade_cap,TblConstr[[#This Row],[Homeland]]/TblConstr[[#This Row],[Land]]/nox_nightshade_swamp_bonus)</f>
        <v>4</v>
      </c>
      <c r="CL83" s="267"/>
      <c r="CM83" s="267"/>
      <c r="CN83" s="267"/>
      <c r="CO83" s="266">
        <f ca="1">MIN(6,TblMili[[#This Row],[Mystic]]+Races!$F$19)*1.8 +  IF(TblMili[[#This Row],[Mystic]]+Races!$F$19&gt;6,(TblMili[[#This Row],[Mystic]]+Races!$F$19-6)*0.2,0) - Races!$I$19</f>
        <v>3.6399999999999997</v>
      </c>
      <c r="CP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3" s="97">
        <f ca="1">TblMili[[#This Row],[Mystic bonus]]*TblMili[[#This Row],[Unit 3]]+TblMili[[#This Row],[Druid bonus]]*TblMili[[#This Row],[Unit 4]]</f>
        <v>0</v>
      </c>
      <c r="CR83" s="158">
        <f ca="1">MIN(6,TblMili[[#This Row],[Dryad]]+Races!$F$35)*1.8 +  IF(TblMili[[#This Row],[Dryad]]+Races!$F$35&gt;6,(TblMili[[#This Row],[Dryad]]+Races!$F$35-6)*0.2,0) - Races!$I$19</f>
        <v>2.1599999999999993</v>
      </c>
      <c r="CS83" s="97">
        <f ca="1">sylvan*(TblMili[[#This Row],[Mystic bonus]]*TblMili[[#This Row],[Unit 3]])</f>
        <v>0</v>
      </c>
      <c r="CT83" s="158">
        <f ca="1">1.8 * MIN(MAX(Races!$E$27,TblMili[[#This Row],[Rockapult]]+Races!$F$27),6)  +  0.45 * MIN(MIN(Races!$E$27,TblMili[[#This Row],[Rockapult]]+Races!$F$27),6)  +  0.2 * ( MAX(Races!$E$27-6,0) + MAX(TblMili[[#This Row],[Rockapult]]+Races!$F$27-6,0) )  -  Races!$I$20</f>
        <v>5.8500000000000005</v>
      </c>
      <c r="CU83" s="97">
        <f ca="1">gnome*(TblMili[[#This Row],[Rockapult bonus]]*TblMili[[#This Row],[Unit 3]])</f>
        <v>0</v>
      </c>
      <c r="CV83" s="158">
        <f ca="1">1.8 * MIN(MAX(TblMili[[#This Row],[Spellblade]]+Races!$E$47,TblMili[[#This Row],[Adept-DP]]+Races!$F$47),6)  +  0.45 * MIN(MIN(TblMili[[#This Row],[Spellblade]]+Races!$E$47,TblMili[[#This Row],[Adept-DP]]+Races!$F$47),6)  +  0.2 * ( MAX(TblMili[[#This Row],[Spellblade]]+Races!$E$47-6,0) + MAX(TblMili[[#This Row],[Adept-DP]]+Races!$F$47-6,0) )  -  Races!$I$47</f>
        <v>0</v>
      </c>
      <c r="CW83" s="97">
        <f ca="1">dark_elf*(TblMili[[#This Row],[Adept bonus]]*TblMili[[#This Row],[Unit 3]])</f>
        <v>0</v>
      </c>
      <c r="CX83" s="158">
        <f ca="1">1.8 * MIN(MAX(TblMili[[#This Row],[Frost Mage]]+Races!$F$71,Races!$E$71),6)  +  0.45 * MIN(MIN(TblMili[[#This Row],[Frost Mage]]+Races!$F$71,Races!$E$71),6)  +  0.2 * ( MAX(TblMili[[#This Row],[Frost Mage]]+Races!$F$71-6,0) + MAX(Races!$E$71-6,0) )  -  Races!$I$71</f>
        <v>3.9599999999999991</v>
      </c>
      <c r="CY83" s="158">
        <f ca="1">1.8 * MIN(MAX(TblMili[[#This Row],[Ice Elemental]]+Races!$E$71,Races!$F$71),6)  +  0.45 * MIN(MIN(TblMili[[#This Row],[Ice Elemental]]+Races!$E$71,Races!$F$71),6)  +  0.2 * ( MAX(TblMili[[#This Row],[Ice Elemental]]+Races!$E$71-6,0) + MAX(Races!$F$71-6,0) )  -  Races!$I$71</f>
        <v>0.17999999999999972</v>
      </c>
      <c r="CZ83" s="97">
        <f ca="1">TblMili[[#This Row],[Frost Mage bonus]]*TblMili[[#This Row],[Unit 3]]+TblMili[[#This Row],[Ice Elemental bonus]]*TblMili[[#This Row],[Unit 4]]</f>
        <v>0</v>
      </c>
      <c r="DA83" s="268"/>
      <c r="DB83" s="146">
        <f ca="1">MIN(SUM(TblConstr[[#This Row],[Plain]:[Water]])/TblMili[[#This Row],[Land]]/favorable_terrain_bonus/100,favorable_terrain_max)</f>
        <v>0.1</v>
      </c>
      <c r="DC83" s="268"/>
      <c r="DD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3" s="145"/>
      <c r="DF83" s="269">
        <f ca="1">(TblMili[[#This Row],[Wizards]]+2*TblMili[[#This Row],[Archmages]])/TblConstr[[#This Row],[Land]]</f>
        <v>0.1</v>
      </c>
      <c r="DG83" s="269">
        <f ca="1">TblMili[[#This Row],[Raw (2)]]*(1+race_wizard_strength+IF(TblMili[[#This Row],[Hour]]&gt;72,tech_magical_weaponry_wiz*TblTech[[#This Row],[3-5]],0))</f>
        <v>0.1</v>
      </c>
    </row>
    <row r="84" spans="1:111"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45461.333333333139</v>
      </c>
      <c r="AG84" s="182"/>
      <c r="AH84" s="182"/>
      <c r="AI84" s="182"/>
      <c r="AJ84" s="182"/>
      <c r="AK84" s="182"/>
      <c r="AL84" s="182"/>
      <c r="AM84" s="182"/>
      <c r="AN84" s="182"/>
      <c r="AO84" s="449">
        <f ca="1">IF(AND(TblMagic[[#This Row],[Active DnD]]&lt;12,TblMagic[[#This Row],[Active DnD]]&gt;5),OFFSET(TblPop[[#This Row],[Draft Growth]],-1,0)/2,0)</f>
        <v>0</v>
      </c>
      <c r="AP84" s="145"/>
      <c r="AQ84" s="97">
        <f ca="1">TblProd[[#This Row],[Platinum]]</f>
        <v>559758</v>
      </c>
      <c r="AR84" s="97">
        <f ca="1">INDEX(TblProd[[#Headers],[Lumber]]:TblProd[[#This Row],[Ore]],COUNTA(TblProd[[#Headers],[Lumber]]:TblProd[[#This Row],[Lumber]]),MATCH(Military!$AQ$2,TblProd[[#Headers],[Lumber]:[Ore]],0))</f>
        <v>0</v>
      </c>
      <c r="AS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7">
        <f ca="1">TblMili[[#This Row],[Train Unit 1]]*TblMili[[#This Row],[OP Ore]]+TblMili[[#This Row],[Train Unit 2]]*TblMili[[#This Row],[DP Ore]]+TblMili[[#This Row],[Train Unit 3]]*TblMili[[#This Row],[E1 Ore]]+TblMili[[#This Row],[Train Unit 4]]*TblMili[[#This Row],[E2 Ore]]</f>
        <v>0</v>
      </c>
      <c r="AU84" s="145">
        <f>TblMili[[#This Row],[Hour]]</f>
        <v>81</v>
      </c>
      <c r="AV84" s="155">
        <f ca="1">TblMili[[#This Row],[Time]]</f>
        <v>45461.333333333139</v>
      </c>
      <c r="AW84" s="97">
        <f ca="1">TblMili[[#This Row],[Draftees]]</f>
        <v>626</v>
      </c>
      <c r="AX84" s="161"/>
      <c r="AY84" s="182"/>
      <c r="AZ84" s="182"/>
      <c r="BA84" s="182"/>
      <c r="BB84" s="182"/>
      <c r="BC84" s="182"/>
      <c r="BD84" s="182"/>
      <c r="BE84" s="182"/>
      <c r="BF84" s="182"/>
      <c r="BG84" s="145"/>
      <c r="BH84" s="160">
        <f ca="1">TblConstr[[#This Row],[Tot WG]]/TblConstr[[#This Row],[Land]]</f>
        <v>0</v>
      </c>
      <c r="BI84" s="160">
        <f ca="1">TblConstr[[#This Row],[Tot Hav]]/TblConstr[[#This Row],[Land]]</f>
        <v>0</v>
      </c>
      <c r="BJ84" s="97">
        <f ca="1">ROUNDUP((1-MIN(TblMili[[#This Row],[Smithies]]*smithy_bonus,smithy_bonus_cap) + tech_3_5*TblTech[[#This Row],[3-5]] + tech_5_3*TblTech[[#This Row],[5-3]] + tech_5_5*TblTech[[#This Row],[5-5]])*spec_op_plat,0)</f>
        <v>275</v>
      </c>
      <c r="BK84" s="97">
        <f ca="1">ROUNDUP(IF(race="Gnome",1,(1-MIN(TblMili[[#This Row],[Smithies]]*smithy_bonus,smithy_bonus_cap) + tech_3_5*TblTech[[#This Row],[3-5]] + tech_5_3*TblTech[[#This Row],[5-3]] + tech_5_5*TblTech[[#This Row],[5-5]]))*spec_op_ore,0)</f>
        <v>25</v>
      </c>
      <c r="BL84" s="97">
        <f ca="1">ROUNDUP((1-MIN(TblMili[[#This Row],[Smithies]]*smithy_bonus,smithy_bonus_cap) + tech_3_5*TblTech[[#This Row],[3-5]] + tech_5_3*TblTech[[#This Row],[5-3]] + tech_5_5*TblTech[[#This Row],[5-5]])*spec_dp_plat,0)</f>
        <v>275</v>
      </c>
      <c r="BM84" s="97">
        <f ca="1">ROUNDUP(IF(race="Gnome",1,(1-MIN(TblMili[[#This Row],[Smithies]]*smithy_bonus,smithy_bonus_cap) + tech_3_5*TblTech[[#This Row],[3-5]] + tech_5_3*TblTech[[#This Row],[5-3]] + tech_5_5*TblTech[[#This Row],[5-5]]))*spec_dp_ore,0)</f>
        <v>15</v>
      </c>
      <c r="BN84" s="97">
        <f ca="1">ROUNDUP((1-MIN(TblMili[[#This Row],[Smithies]]*smithy_bonus,smithy_bonus_cap) + tech_3_5*TblTech[[#This Row],[3-5]] + tech_5_3*TblTech[[#This Row],[5-3]] + tech_5_5*TblTech[[#This Row],[5-5]])*elite1_plat,0)</f>
        <v>1000</v>
      </c>
      <c r="BO84" s="97">
        <f ca="1">ROUNDUP(IF(race="Gnome",1,(1-MIN(TblMili[[#This Row],[Smithies]]*smithy_bonus,smithy_bonus_cap) + tech_3_5*TblTech[[#This Row],[3-5]] + tech_5_3*TblTech[[#This Row],[5-3]] + tech_5_5*TblTech[[#This Row],[5-5]]))*elite1_ore,0)</f>
        <v>75</v>
      </c>
      <c r="BP84" s="97">
        <f ca="1">ROUNDUP((1-MIN(TblMili[[#This Row],[Smithies]]*smithy_bonus,smithy_bonus_cap) + tech_3_5*TblTech[[#This Row],[3-5]] + tech_5_3*TblTech[[#This Row],[5-3]] + tech_5_5*TblTech[[#This Row],[5-5]])*elite2_plat,0)</f>
        <v>1250</v>
      </c>
      <c r="BQ84" s="97">
        <f ca="1">ROUNDUP(IF(race="Gnome",1,(1-MIN(TblMili[[#This Row],[Smithies]]*smithy_bonus,smithy_bonus_cap) + tech_3_5*TblTech[[#This Row],[3-5]] + tech_5_3*TblTech[[#This Row],[5-3]] + tech_5_5*TblTech[[#This Row],[5-5]]))*elite2_ore,0)</f>
        <v>100</v>
      </c>
      <c r="BR84" s="97">
        <f ca="1">ROUNDUP((1-MIN(ROUND(fh_spy_cost_red*TblMili[[#This Row],[FH''s]],4),fh_spy_cost_cap)+ tech_1_9*TblTech[[#This Row],[1-9]] + tech_9_1*TblTech[[#This Row],[9-1]])*spy_plat,0)</f>
        <v>500</v>
      </c>
      <c r="BS84" s="97">
        <f ca="1">ROUNDUP((1-MIN(ROUND(fh_spy_cost_red*TblMili[[#This Row],[FH''s]],4),fh_spy_cost_cap)+ tech_1_9*TblTech[[#This Row],[1-9]] + tech_9_1*TblTech[[#This Row],[9-1]])*archspy_plat,0)</f>
        <v>1000</v>
      </c>
      <c r="BT84" s="97">
        <f ca="1">ROUNDUP((1-MIN(ROUND(wg_wiz_cost_bonus*TblMili[[#This Row],[WG''s]],4),wg_wiz_cost_cap) + tech_1_9_2*TblTech[[#This Row],[1-9]] + tech_9_1_2*TblTech[[#This Row],[9-1]])*wizard_plat,0)</f>
        <v>500</v>
      </c>
      <c r="BU84" s="97">
        <f ca="1">ROUNDUP((1-MIN(ROUND(wg_wiz_cost_bonus*TblMili[[#This Row],[WG''s]],4),wg_wiz_cost_cap) + tech_1_9_2*TblTech[[#This Row],[1-9]] + tech_9_1_2*TblTech[[#This Row],[9-1]])*archmage_plat,0)</f>
        <v>1000</v>
      </c>
      <c r="BV84" s="145"/>
      <c r="BW84" s="160">
        <f ca="1">TblConstr[[#This Row],[Homeland]]/TblConstr[[#This Row],[Land]]</f>
        <v>0.44</v>
      </c>
      <c r="BX84" s="160">
        <f ca="1">TblMili[[#This Row],[WG''s]]</f>
        <v>0</v>
      </c>
      <c r="BY84" s="266">
        <f ca="1">IF(mystic_cap="none",TblMili[[#This Row],[Hill]]/mystic_bonus,MIN(mystic_cap,TblMili[[#This Row],[Hill]]/mystic_bonus))</f>
        <v>2.1999999999999997</v>
      </c>
      <c r="BZ84" s="266">
        <f ca="1">IF(druid_op_cap="none",TblMili[[#This Row],[Hill]]/druid_op_bonus,MIN(druid_op_cap,TblMili[[#This Row],[Hill]]/druid_op_bonus))</f>
        <v>2.1999999999999997</v>
      </c>
      <c r="CA84" s="266">
        <f ca="1">IF(druid_dp_cap="none",TblMili[[#This Row],[Hill]]/druid_dp_bonus,MIN(druid_dp_cap,TblMili[[#This Row],[Hill]]/druid_dp_bonus))</f>
        <v>2.1999999999999997</v>
      </c>
      <c r="CB84" s="266">
        <f ca="1">MIN(dryad_cap,TblMili[[#This Row],[Hill]]/dryad_bonus)</f>
        <v>2.1999999999999997</v>
      </c>
      <c r="CC84" s="266">
        <f ca="1">MIN(rocka_cap,TblMili[[#This Row],[Hill]]/rocka_bonus)</f>
        <v>2</v>
      </c>
      <c r="CD84" s="266">
        <f ca="1">MIN(adept_op_cap,TblMili[[#This Row],[WG]]/adept_op_bonus)</f>
        <v>0</v>
      </c>
      <c r="CE84" s="266">
        <f ca="1">MIN(adept_dp_cap,TblMili[[#This Row],[WG]]/adept_dp_bonus)</f>
        <v>0</v>
      </c>
      <c r="CF84" s="97">
        <f ca="1">MIN(TblMili[[#This Row],[Unit 3]],TblMili[[#This Row],[Unit 2]])*2</f>
        <v>0</v>
      </c>
      <c r="CG84" s="97">
        <f ca="1">MIN(TblMili[[#This Row],[Unit 1]],TblMili[[#This Row],[Unit 4]])*2</f>
        <v>0</v>
      </c>
      <c r="CH84" s="266">
        <f ca="1">MIN(frost_mage_cap,TblMili[[#This Row],[Hill]]/frost_mage_bonus)</f>
        <v>2.1999999999999997</v>
      </c>
      <c r="CI84" s="45">
        <f ca="1">MIN(ice_elem_cap,TblMili[[#This Row],[Raw (2)]]*ice_elem_bonus)</f>
        <v>0.1</v>
      </c>
      <c r="CJ84" s="266">
        <f t="shared" si="3"/>
        <v>0.83333333333333337</v>
      </c>
      <c r="CK84" s="266">
        <f ca="1">MIN(nox_nightshade_cap,TblConstr[[#This Row],[Homeland]]/TblConstr[[#This Row],[Land]]/nox_nightshade_swamp_bonus)</f>
        <v>4</v>
      </c>
      <c r="CL84" s="267"/>
      <c r="CM84" s="267"/>
      <c r="CN84" s="267"/>
      <c r="CO84" s="266">
        <f ca="1">MIN(6,TblMili[[#This Row],[Mystic]]+Races!$F$19)*1.8 +  IF(TblMili[[#This Row],[Mystic]]+Races!$F$19&gt;6,(TblMili[[#This Row],[Mystic]]+Races!$F$19-6)*0.2,0) - Races!$I$19</f>
        <v>3.6399999999999997</v>
      </c>
      <c r="CP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4" s="97">
        <f ca="1">TblMili[[#This Row],[Mystic bonus]]*TblMili[[#This Row],[Unit 3]]+TblMili[[#This Row],[Druid bonus]]*TblMili[[#This Row],[Unit 4]]</f>
        <v>0</v>
      </c>
      <c r="CR84" s="158">
        <f ca="1">MIN(6,TblMili[[#This Row],[Dryad]]+Races!$F$35)*1.8 +  IF(TblMili[[#This Row],[Dryad]]+Races!$F$35&gt;6,(TblMili[[#This Row],[Dryad]]+Races!$F$35-6)*0.2,0) - Races!$I$19</f>
        <v>2.1599999999999993</v>
      </c>
      <c r="CS84" s="97">
        <f ca="1">sylvan*(TblMili[[#This Row],[Mystic bonus]]*TblMili[[#This Row],[Unit 3]])</f>
        <v>0</v>
      </c>
      <c r="CT84" s="158">
        <f ca="1">1.8 * MIN(MAX(Races!$E$27,TblMili[[#This Row],[Rockapult]]+Races!$F$27),6)  +  0.45 * MIN(MIN(Races!$E$27,TblMili[[#This Row],[Rockapult]]+Races!$F$27),6)  +  0.2 * ( MAX(Races!$E$27-6,0) + MAX(TblMili[[#This Row],[Rockapult]]+Races!$F$27-6,0) )  -  Races!$I$20</f>
        <v>5.8500000000000005</v>
      </c>
      <c r="CU84" s="97">
        <f ca="1">gnome*(TblMili[[#This Row],[Rockapult bonus]]*TblMili[[#This Row],[Unit 3]])</f>
        <v>0</v>
      </c>
      <c r="CV84" s="158">
        <f ca="1">1.8 * MIN(MAX(TblMili[[#This Row],[Spellblade]]+Races!$E$47,TblMili[[#This Row],[Adept-DP]]+Races!$F$47),6)  +  0.45 * MIN(MIN(TblMili[[#This Row],[Spellblade]]+Races!$E$47,TblMili[[#This Row],[Adept-DP]]+Races!$F$47),6)  +  0.2 * ( MAX(TblMili[[#This Row],[Spellblade]]+Races!$E$47-6,0) + MAX(TblMili[[#This Row],[Adept-DP]]+Races!$F$47-6,0) )  -  Races!$I$47</f>
        <v>0</v>
      </c>
      <c r="CW84" s="97">
        <f ca="1">dark_elf*(TblMili[[#This Row],[Adept bonus]]*TblMili[[#This Row],[Unit 3]])</f>
        <v>0</v>
      </c>
      <c r="CX84" s="158">
        <f ca="1">1.8 * MIN(MAX(TblMili[[#This Row],[Frost Mage]]+Races!$F$71,Races!$E$71),6)  +  0.45 * MIN(MIN(TblMili[[#This Row],[Frost Mage]]+Races!$F$71,Races!$E$71),6)  +  0.2 * ( MAX(TblMili[[#This Row],[Frost Mage]]+Races!$F$71-6,0) + MAX(Races!$E$71-6,0) )  -  Races!$I$71</f>
        <v>3.9599999999999991</v>
      </c>
      <c r="CY84" s="158">
        <f ca="1">1.8 * MIN(MAX(TblMili[[#This Row],[Ice Elemental]]+Races!$E$71,Races!$F$71),6)  +  0.45 * MIN(MIN(TblMili[[#This Row],[Ice Elemental]]+Races!$E$71,Races!$F$71),6)  +  0.2 * ( MAX(TblMili[[#This Row],[Ice Elemental]]+Races!$E$71-6,0) + MAX(Races!$F$71-6,0) )  -  Races!$I$71</f>
        <v>0.17999999999999972</v>
      </c>
      <c r="CZ84" s="97">
        <f ca="1">TblMili[[#This Row],[Frost Mage bonus]]*TblMili[[#This Row],[Unit 3]]+TblMili[[#This Row],[Ice Elemental bonus]]*TblMili[[#This Row],[Unit 4]]</f>
        <v>0</v>
      </c>
      <c r="DA84" s="268"/>
      <c r="DB84" s="146">
        <f ca="1">MIN(SUM(TblConstr[[#This Row],[Plain]:[Water]])/TblMili[[#This Row],[Land]]/favorable_terrain_bonus/100,favorable_terrain_max)</f>
        <v>0.1</v>
      </c>
      <c r="DC84" s="268"/>
      <c r="DD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4" s="145"/>
      <c r="DF84" s="269">
        <f ca="1">(TblMili[[#This Row],[Wizards]]+2*TblMili[[#This Row],[Archmages]])/TblConstr[[#This Row],[Land]]</f>
        <v>0.1</v>
      </c>
      <c r="DG84" s="269">
        <f ca="1">TblMili[[#This Row],[Raw (2)]]*(1+race_wizard_strength+IF(TblMili[[#This Row],[Hour]]&gt;72,tech_magical_weaponry_wiz*TblTech[[#This Row],[3-5]],0))</f>
        <v>0.1</v>
      </c>
    </row>
    <row r="85" spans="1:111"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45461.374999999804</v>
      </c>
      <c r="AG85" s="182"/>
      <c r="AH85" s="182"/>
      <c r="AI85" s="182"/>
      <c r="AJ85" s="182"/>
      <c r="AK85" s="182"/>
      <c r="AL85" s="182"/>
      <c r="AM85" s="182"/>
      <c r="AN85" s="182"/>
      <c r="AO85" s="449">
        <f ca="1">IF(AND(TblMagic[[#This Row],[Active DnD]]&lt;12,TblMagic[[#This Row],[Active DnD]]&gt;5),OFFSET(TblPop[[#This Row],[Draft Growth]],-1,0)/2,0)</f>
        <v>0</v>
      </c>
      <c r="AP85" s="145"/>
      <c r="AQ85" s="97">
        <f ca="1">TblProd[[#This Row],[Platinum]]</f>
        <v>565244</v>
      </c>
      <c r="AR85" s="97">
        <f ca="1">INDEX(TblProd[[#Headers],[Lumber]]:TblProd[[#This Row],[Ore]],COUNTA(TblProd[[#Headers],[Lumber]]:TblProd[[#This Row],[Lumber]]),MATCH(Military!$AQ$2,TblProd[[#Headers],[Lumber]:[Ore]],0))</f>
        <v>0</v>
      </c>
      <c r="AS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7">
        <f ca="1">TblMili[[#This Row],[Train Unit 1]]*TblMili[[#This Row],[OP Ore]]+TblMili[[#This Row],[Train Unit 2]]*TblMili[[#This Row],[DP Ore]]+TblMili[[#This Row],[Train Unit 3]]*TblMili[[#This Row],[E1 Ore]]+TblMili[[#This Row],[Train Unit 4]]*TblMili[[#This Row],[E2 Ore]]</f>
        <v>0</v>
      </c>
      <c r="AU85" s="145">
        <f>TblMili[[#This Row],[Hour]]</f>
        <v>82</v>
      </c>
      <c r="AV85" s="155">
        <f ca="1">TblMili[[#This Row],[Time]]</f>
        <v>45461.374999999804</v>
      </c>
      <c r="AW85" s="97">
        <f ca="1">TblMili[[#This Row],[Draftees]]</f>
        <v>626</v>
      </c>
      <c r="AX85" s="161"/>
      <c r="AY85" s="182"/>
      <c r="AZ85" s="182"/>
      <c r="BA85" s="182"/>
      <c r="BB85" s="182"/>
      <c r="BC85" s="182"/>
      <c r="BD85" s="182"/>
      <c r="BE85" s="182"/>
      <c r="BF85" s="182"/>
      <c r="BG85" s="145"/>
      <c r="BH85" s="160">
        <f ca="1">TblConstr[[#This Row],[Tot WG]]/TblConstr[[#This Row],[Land]]</f>
        <v>0</v>
      </c>
      <c r="BI85" s="160">
        <f ca="1">TblConstr[[#This Row],[Tot Hav]]/TblConstr[[#This Row],[Land]]</f>
        <v>0</v>
      </c>
      <c r="BJ85" s="97">
        <f ca="1">ROUNDUP((1-MIN(TblMili[[#This Row],[Smithies]]*smithy_bonus,smithy_bonus_cap) + tech_3_5*TblTech[[#This Row],[3-5]] + tech_5_3*TblTech[[#This Row],[5-3]] + tech_5_5*TblTech[[#This Row],[5-5]])*spec_op_plat,0)</f>
        <v>275</v>
      </c>
      <c r="BK85" s="97">
        <f ca="1">ROUNDUP(IF(race="Gnome",1,(1-MIN(TblMili[[#This Row],[Smithies]]*smithy_bonus,smithy_bonus_cap) + tech_3_5*TblTech[[#This Row],[3-5]] + tech_5_3*TblTech[[#This Row],[5-3]] + tech_5_5*TblTech[[#This Row],[5-5]]))*spec_op_ore,0)</f>
        <v>25</v>
      </c>
      <c r="BL85" s="97">
        <f ca="1">ROUNDUP((1-MIN(TblMili[[#This Row],[Smithies]]*smithy_bonus,smithy_bonus_cap) + tech_3_5*TblTech[[#This Row],[3-5]] + tech_5_3*TblTech[[#This Row],[5-3]] + tech_5_5*TblTech[[#This Row],[5-5]])*spec_dp_plat,0)</f>
        <v>275</v>
      </c>
      <c r="BM85" s="97">
        <f ca="1">ROUNDUP(IF(race="Gnome",1,(1-MIN(TblMili[[#This Row],[Smithies]]*smithy_bonus,smithy_bonus_cap) + tech_3_5*TblTech[[#This Row],[3-5]] + tech_5_3*TblTech[[#This Row],[5-3]] + tech_5_5*TblTech[[#This Row],[5-5]]))*spec_dp_ore,0)</f>
        <v>15</v>
      </c>
      <c r="BN85" s="97">
        <f ca="1">ROUNDUP((1-MIN(TblMili[[#This Row],[Smithies]]*smithy_bonus,smithy_bonus_cap) + tech_3_5*TblTech[[#This Row],[3-5]] + tech_5_3*TblTech[[#This Row],[5-3]] + tech_5_5*TblTech[[#This Row],[5-5]])*elite1_plat,0)</f>
        <v>1000</v>
      </c>
      <c r="BO85" s="97">
        <f ca="1">ROUNDUP(IF(race="Gnome",1,(1-MIN(TblMili[[#This Row],[Smithies]]*smithy_bonus,smithy_bonus_cap) + tech_3_5*TblTech[[#This Row],[3-5]] + tech_5_3*TblTech[[#This Row],[5-3]] + tech_5_5*TblTech[[#This Row],[5-5]]))*elite1_ore,0)</f>
        <v>75</v>
      </c>
      <c r="BP85" s="97">
        <f ca="1">ROUNDUP((1-MIN(TblMili[[#This Row],[Smithies]]*smithy_bonus,smithy_bonus_cap) + tech_3_5*TblTech[[#This Row],[3-5]] + tech_5_3*TblTech[[#This Row],[5-3]] + tech_5_5*TblTech[[#This Row],[5-5]])*elite2_plat,0)</f>
        <v>1250</v>
      </c>
      <c r="BQ85" s="97">
        <f ca="1">ROUNDUP(IF(race="Gnome",1,(1-MIN(TblMili[[#This Row],[Smithies]]*smithy_bonus,smithy_bonus_cap) + tech_3_5*TblTech[[#This Row],[3-5]] + tech_5_3*TblTech[[#This Row],[5-3]] + tech_5_5*TblTech[[#This Row],[5-5]]))*elite2_ore,0)</f>
        <v>100</v>
      </c>
      <c r="BR85" s="97">
        <f ca="1">ROUNDUP((1-MIN(ROUND(fh_spy_cost_red*TblMili[[#This Row],[FH''s]],4),fh_spy_cost_cap)+ tech_1_9*TblTech[[#This Row],[1-9]] + tech_9_1*TblTech[[#This Row],[9-1]])*spy_plat,0)</f>
        <v>500</v>
      </c>
      <c r="BS85" s="97">
        <f ca="1">ROUNDUP((1-MIN(ROUND(fh_spy_cost_red*TblMili[[#This Row],[FH''s]],4),fh_spy_cost_cap)+ tech_1_9*TblTech[[#This Row],[1-9]] + tech_9_1*TblTech[[#This Row],[9-1]])*archspy_plat,0)</f>
        <v>1000</v>
      </c>
      <c r="BT85" s="97">
        <f ca="1">ROUNDUP((1-MIN(ROUND(wg_wiz_cost_bonus*TblMili[[#This Row],[WG''s]],4),wg_wiz_cost_cap) + tech_1_9_2*TblTech[[#This Row],[1-9]] + tech_9_1_2*TblTech[[#This Row],[9-1]])*wizard_plat,0)</f>
        <v>500</v>
      </c>
      <c r="BU85" s="97">
        <f ca="1">ROUNDUP((1-MIN(ROUND(wg_wiz_cost_bonus*TblMili[[#This Row],[WG''s]],4),wg_wiz_cost_cap) + tech_1_9_2*TblTech[[#This Row],[1-9]] + tech_9_1_2*TblTech[[#This Row],[9-1]])*archmage_plat,0)</f>
        <v>1000</v>
      </c>
      <c r="BV85" s="145"/>
      <c r="BW85" s="160">
        <f ca="1">TblConstr[[#This Row],[Homeland]]/TblConstr[[#This Row],[Land]]</f>
        <v>0.44</v>
      </c>
      <c r="BX85" s="160">
        <f ca="1">TblMili[[#This Row],[WG''s]]</f>
        <v>0</v>
      </c>
      <c r="BY85" s="266">
        <f ca="1">IF(mystic_cap="none",TblMili[[#This Row],[Hill]]/mystic_bonus,MIN(mystic_cap,TblMili[[#This Row],[Hill]]/mystic_bonus))</f>
        <v>2.1999999999999997</v>
      </c>
      <c r="BZ85" s="266">
        <f ca="1">IF(druid_op_cap="none",TblMili[[#This Row],[Hill]]/druid_op_bonus,MIN(druid_op_cap,TblMili[[#This Row],[Hill]]/druid_op_bonus))</f>
        <v>2.1999999999999997</v>
      </c>
      <c r="CA85" s="266">
        <f ca="1">IF(druid_dp_cap="none",TblMili[[#This Row],[Hill]]/druid_dp_bonus,MIN(druid_dp_cap,TblMili[[#This Row],[Hill]]/druid_dp_bonus))</f>
        <v>2.1999999999999997</v>
      </c>
      <c r="CB85" s="266">
        <f ca="1">MIN(dryad_cap,TblMili[[#This Row],[Hill]]/dryad_bonus)</f>
        <v>2.1999999999999997</v>
      </c>
      <c r="CC85" s="266">
        <f ca="1">MIN(rocka_cap,TblMili[[#This Row],[Hill]]/rocka_bonus)</f>
        <v>2</v>
      </c>
      <c r="CD85" s="266">
        <f ca="1">MIN(adept_op_cap,TblMili[[#This Row],[WG]]/adept_op_bonus)</f>
        <v>0</v>
      </c>
      <c r="CE85" s="266">
        <f ca="1">MIN(adept_dp_cap,TblMili[[#This Row],[WG]]/adept_dp_bonus)</f>
        <v>0</v>
      </c>
      <c r="CF85" s="97">
        <f ca="1">MIN(TblMili[[#This Row],[Unit 3]],TblMili[[#This Row],[Unit 2]])*2</f>
        <v>0</v>
      </c>
      <c r="CG85" s="97">
        <f ca="1">MIN(TblMili[[#This Row],[Unit 1]],TblMili[[#This Row],[Unit 4]])*2</f>
        <v>0</v>
      </c>
      <c r="CH85" s="266">
        <f ca="1">MIN(frost_mage_cap,TblMili[[#This Row],[Hill]]/frost_mage_bonus)</f>
        <v>2.1999999999999997</v>
      </c>
      <c r="CI85" s="45">
        <f ca="1">MIN(ice_elem_cap,TblMili[[#This Row],[Raw (2)]]*ice_elem_bonus)</f>
        <v>0.1</v>
      </c>
      <c r="CJ85" s="266">
        <f t="shared" si="3"/>
        <v>0.83333333333333337</v>
      </c>
      <c r="CK85" s="266">
        <f ca="1">MIN(nox_nightshade_cap,TblConstr[[#This Row],[Homeland]]/TblConstr[[#This Row],[Land]]/nox_nightshade_swamp_bonus)</f>
        <v>4</v>
      </c>
      <c r="CL85" s="267"/>
      <c r="CM85" s="267"/>
      <c r="CN85" s="267"/>
      <c r="CO85" s="266">
        <f ca="1">MIN(6,TblMili[[#This Row],[Mystic]]+Races!$F$19)*1.8 +  IF(TblMili[[#This Row],[Mystic]]+Races!$F$19&gt;6,(TblMili[[#This Row],[Mystic]]+Races!$F$19-6)*0.2,0) - Races!$I$19</f>
        <v>3.6399999999999997</v>
      </c>
      <c r="CP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5" s="97">
        <f ca="1">TblMili[[#This Row],[Mystic bonus]]*TblMili[[#This Row],[Unit 3]]+TblMili[[#This Row],[Druid bonus]]*TblMili[[#This Row],[Unit 4]]</f>
        <v>0</v>
      </c>
      <c r="CR85" s="158">
        <f ca="1">MIN(6,TblMili[[#This Row],[Dryad]]+Races!$F$35)*1.8 +  IF(TblMili[[#This Row],[Dryad]]+Races!$F$35&gt;6,(TblMili[[#This Row],[Dryad]]+Races!$F$35-6)*0.2,0) - Races!$I$19</f>
        <v>2.1599999999999993</v>
      </c>
      <c r="CS85" s="97">
        <f ca="1">sylvan*(TblMili[[#This Row],[Mystic bonus]]*TblMili[[#This Row],[Unit 3]])</f>
        <v>0</v>
      </c>
      <c r="CT85" s="158">
        <f ca="1">1.8 * MIN(MAX(Races!$E$27,TblMili[[#This Row],[Rockapult]]+Races!$F$27),6)  +  0.45 * MIN(MIN(Races!$E$27,TblMili[[#This Row],[Rockapult]]+Races!$F$27),6)  +  0.2 * ( MAX(Races!$E$27-6,0) + MAX(TblMili[[#This Row],[Rockapult]]+Races!$F$27-6,0) )  -  Races!$I$20</f>
        <v>5.8500000000000005</v>
      </c>
      <c r="CU85" s="97">
        <f ca="1">gnome*(TblMili[[#This Row],[Rockapult bonus]]*TblMili[[#This Row],[Unit 3]])</f>
        <v>0</v>
      </c>
      <c r="CV85" s="158">
        <f ca="1">1.8 * MIN(MAX(TblMili[[#This Row],[Spellblade]]+Races!$E$47,TblMili[[#This Row],[Adept-DP]]+Races!$F$47),6)  +  0.45 * MIN(MIN(TblMili[[#This Row],[Spellblade]]+Races!$E$47,TblMili[[#This Row],[Adept-DP]]+Races!$F$47),6)  +  0.2 * ( MAX(TblMili[[#This Row],[Spellblade]]+Races!$E$47-6,0) + MAX(TblMili[[#This Row],[Adept-DP]]+Races!$F$47-6,0) )  -  Races!$I$47</f>
        <v>0</v>
      </c>
      <c r="CW85" s="97">
        <f ca="1">dark_elf*(TblMili[[#This Row],[Adept bonus]]*TblMili[[#This Row],[Unit 3]])</f>
        <v>0</v>
      </c>
      <c r="CX85" s="158">
        <f ca="1">1.8 * MIN(MAX(TblMili[[#This Row],[Frost Mage]]+Races!$F$71,Races!$E$71),6)  +  0.45 * MIN(MIN(TblMili[[#This Row],[Frost Mage]]+Races!$F$71,Races!$E$71),6)  +  0.2 * ( MAX(TblMili[[#This Row],[Frost Mage]]+Races!$F$71-6,0) + MAX(Races!$E$71-6,0) )  -  Races!$I$71</f>
        <v>3.9599999999999991</v>
      </c>
      <c r="CY85" s="158">
        <f ca="1">1.8 * MIN(MAX(TblMili[[#This Row],[Ice Elemental]]+Races!$E$71,Races!$F$71),6)  +  0.45 * MIN(MIN(TblMili[[#This Row],[Ice Elemental]]+Races!$E$71,Races!$F$71),6)  +  0.2 * ( MAX(TblMili[[#This Row],[Ice Elemental]]+Races!$E$71-6,0) + MAX(Races!$F$71-6,0) )  -  Races!$I$71</f>
        <v>0.17999999999999972</v>
      </c>
      <c r="CZ85" s="97">
        <f ca="1">TblMili[[#This Row],[Frost Mage bonus]]*TblMili[[#This Row],[Unit 3]]+TblMili[[#This Row],[Ice Elemental bonus]]*TblMili[[#This Row],[Unit 4]]</f>
        <v>0</v>
      </c>
      <c r="DA85" s="268"/>
      <c r="DB85" s="146">
        <f ca="1">MIN(SUM(TblConstr[[#This Row],[Plain]:[Water]])/TblMili[[#This Row],[Land]]/favorable_terrain_bonus/100,favorable_terrain_max)</f>
        <v>0.1</v>
      </c>
      <c r="DC85" s="268"/>
      <c r="DD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5" s="145"/>
      <c r="DF85" s="269">
        <f ca="1">(TblMili[[#This Row],[Wizards]]+2*TblMili[[#This Row],[Archmages]])/TblConstr[[#This Row],[Land]]</f>
        <v>0.1</v>
      </c>
      <c r="DG85" s="269">
        <f ca="1">TblMili[[#This Row],[Raw (2)]]*(1+race_wizard_strength+IF(TblMili[[#This Row],[Hour]]&gt;72,tech_magical_weaponry_wiz*TblTech[[#This Row],[3-5]],0))</f>
        <v>0.1</v>
      </c>
    </row>
    <row r="86" spans="1:111"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45461.416666666468</v>
      </c>
      <c r="AG86" s="182"/>
      <c r="AH86" s="182"/>
      <c r="AI86" s="182"/>
      <c r="AJ86" s="182"/>
      <c r="AK86" s="182"/>
      <c r="AL86" s="182"/>
      <c r="AM86" s="182"/>
      <c r="AN86" s="182"/>
      <c r="AO86" s="449">
        <f ca="1">IF(AND(TblMagic[[#This Row],[Active DnD]]&lt;12,TblMagic[[#This Row],[Active DnD]]&gt;5),OFFSET(TblPop[[#This Row],[Draft Growth]],-1,0)/2,0)</f>
        <v>0</v>
      </c>
      <c r="AP86" s="145"/>
      <c r="AQ86" s="97">
        <f ca="1">TblProd[[#This Row],[Platinum]]</f>
        <v>570730</v>
      </c>
      <c r="AR86" s="97">
        <f ca="1">INDEX(TblProd[[#Headers],[Lumber]]:TblProd[[#This Row],[Ore]],COUNTA(TblProd[[#Headers],[Lumber]]:TblProd[[#This Row],[Lumber]]),MATCH(Military!$AQ$2,TblProd[[#Headers],[Lumber]:[Ore]],0))</f>
        <v>0</v>
      </c>
      <c r="AS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7">
        <f ca="1">TblMili[[#This Row],[Train Unit 1]]*TblMili[[#This Row],[OP Ore]]+TblMili[[#This Row],[Train Unit 2]]*TblMili[[#This Row],[DP Ore]]+TblMili[[#This Row],[Train Unit 3]]*TblMili[[#This Row],[E1 Ore]]+TblMili[[#This Row],[Train Unit 4]]*TblMili[[#This Row],[E2 Ore]]</f>
        <v>0</v>
      </c>
      <c r="AU86" s="145">
        <f>TblMili[[#This Row],[Hour]]</f>
        <v>83</v>
      </c>
      <c r="AV86" s="155">
        <f ca="1">TblMili[[#This Row],[Time]]</f>
        <v>45461.416666666468</v>
      </c>
      <c r="AW86" s="97">
        <f ca="1">TblMili[[#This Row],[Draftees]]</f>
        <v>626</v>
      </c>
      <c r="AX86" s="161"/>
      <c r="AY86" s="182"/>
      <c r="AZ86" s="182"/>
      <c r="BA86" s="182"/>
      <c r="BB86" s="182"/>
      <c r="BC86" s="182"/>
      <c r="BD86" s="182"/>
      <c r="BE86" s="182"/>
      <c r="BF86" s="182"/>
      <c r="BG86" s="145"/>
      <c r="BH86" s="160">
        <f ca="1">TblConstr[[#This Row],[Tot WG]]/TblConstr[[#This Row],[Land]]</f>
        <v>0</v>
      </c>
      <c r="BI86" s="160">
        <f ca="1">TblConstr[[#This Row],[Tot Hav]]/TblConstr[[#This Row],[Land]]</f>
        <v>0</v>
      </c>
      <c r="BJ86" s="97">
        <f ca="1">ROUNDUP((1-MIN(TblMili[[#This Row],[Smithies]]*smithy_bonus,smithy_bonus_cap) + tech_3_5*TblTech[[#This Row],[3-5]] + tech_5_3*TblTech[[#This Row],[5-3]] + tech_5_5*TblTech[[#This Row],[5-5]])*spec_op_plat,0)</f>
        <v>275</v>
      </c>
      <c r="BK86" s="97">
        <f ca="1">ROUNDUP(IF(race="Gnome",1,(1-MIN(TblMili[[#This Row],[Smithies]]*smithy_bonus,smithy_bonus_cap) + tech_3_5*TblTech[[#This Row],[3-5]] + tech_5_3*TblTech[[#This Row],[5-3]] + tech_5_5*TblTech[[#This Row],[5-5]]))*spec_op_ore,0)</f>
        <v>25</v>
      </c>
      <c r="BL86" s="97">
        <f ca="1">ROUNDUP((1-MIN(TblMili[[#This Row],[Smithies]]*smithy_bonus,smithy_bonus_cap) + tech_3_5*TblTech[[#This Row],[3-5]] + tech_5_3*TblTech[[#This Row],[5-3]] + tech_5_5*TblTech[[#This Row],[5-5]])*spec_dp_plat,0)</f>
        <v>275</v>
      </c>
      <c r="BM86" s="97">
        <f ca="1">ROUNDUP(IF(race="Gnome",1,(1-MIN(TblMili[[#This Row],[Smithies]]*smithy_bonus,smithy_bonus_cap) + tech_3_5*TblTech[[#This Row],[3-5]] + tech_5_3*TblTech[[#This Row],[5-3]] + tech_5_5*TblTech[[#This Row],[5-5]]))*spec_dp_ore,0)</f>
        <v>15</v>
      </c>
      <c r="BN86" s="97">
        <f ca="1">ROUNDUP((1-MIN(TblMili[[#This Row],[Smithies]]*smithy_bonus,smithy_bonus_cap) + tech_3_5*TblTech[[#This Row],[3-5]] + tech_5_3*TblTech[[#This Row],[5-3]] + tech_5_5*TblTech[[#This Row],[5-5]])*elite1_plat,0)</f>
        <v>1000</v>
      </c>
      <c r="BO86" s="97">
        <f ca="1">ROUNDUP(IF(race="Gnome",1,(1-MIN(TblMili[[#This Row],[Smithies]]*smithy_bonus,smithy_bonus_cap) + tech_3_5*TblTech[[#This Row],[3-5]] + tech_5_3*TblTech[[#This Row],[5-3]] + tech_5_5*TblTech[[#This Row],[5-5]]))*elite1_ore,0)</f>
        <v>75</v>
      </c>
      <c r="BP86" s="97">
        <f ca="1">ROUNDUP((1-MIN(TblMili[[#This Row],[Smithies]]*smithy_bonus,smithy_bonus_cap) + tech_3_5*TblTech[[#This Row],[3-5]] + tech_5_3*TblTech[[#This Row],[5-3]] + tech_5_5*TblTech[[#This Row],[5-5]])*elite2_plat,0)</f>
        <v>1250</v>
      </c>
      <c r="BQ86" s="97">
        <f ca="1">ROUNDUP(IF(race="Gnome",1,(1-MIN(TblMili[[#This Row],[Smithies]]*smithy_bonus,smithy_bonus_cap) + tech_3_5*TblTech[[#This Row],[3-5]] + tech_5_3*TblTech[[#This Row],[5-3]] + tech_5_5*TblTech[[#This Row],[5-5]]))*elite2_ore,0)</f>
        <v>100</v>
      </c>
      <c r="BR86" s="97">
        <f ca="1">ROUNDUP((1-MIN(ROUND(fh_spy_cost_red*TblMili[[#This Row],[FH''s]],4),fh_spy_cost_cap)+ tech_1_9*TblTech[[#This Row],[1-9]] + tech_9_1*TblTech[[#This Row],[9-1]])*spy_plat,0)</f>
        <v>500</v>
      </c>
      <c r="BS86" s="97">
        <f ca="1">ROUNDUP((1-MIN(ROUND(fh_spy_cost_red*TblMili[[#This Row],[FH''s]],4),fh_spy_cost_cap)+ tech_1_9*TblTech[[#This Row],[1-9]] + tech_9_1*TblTech[[#This Row],[9-1]])*archspy_plat,0)</f>
        <v>1000</v>
      </c>
      <c r="BT86" s="97">
        <f ca="1">ROUNDUP((1-MIN(ROUND(wg_wiz_cost_bonus*TblMili[[#This Row],[WG''s]],4),wg_wiz_cost_cap) + tech_1_9_2*TblTech[[#This Row],[1-9]] + tech_9_1_2*TblTech[[#This Row],[9-1]])*wizard_plat,0)</f>
        <v>500</v>
      </c>
      <c r="BU86" s="97">
        <f ca="1">ROUNDUP((1-MIN(ROUND(wg_wiz_cost_bonus*TblMili[[#This Row],[WG''s]],4),wg_wiz_cost_cap) + tech_1_9_2*TblTech[[#This Row],[1-9]] + tech_9_1_2*TblTech[[#This Row],[9-1]])*archmage_plat,0)</f>
        <v>1000</v>
      </c>
      <c r="BV86" s="145"/>
      <c r="BW86" s="160">
        <f ca="1">TblConstr[[#This Row],[Homeland]]/TblConstr[[#This Row],[Land]]</f>
        <v>0.44</v>
      </c>
      <c r="BX86" s="160">
        <f ca="1">TblMili[[#This Row],[WG''s]]</f>
        <v>0</v>
      </c>
      <c r="BY86" s="266">
        <f ca="1">IF(mystic_cap="none",TblMili[[#This Row],[Hill]]/mystic_bonus,MIN(mystic_cap,TblMili[[#This Row],[Hill]]/mystic_bonus))</f>
        <v>2.1999999999999997</v>
      </c>
      <c r="BZ86" s="266">
        <f ca="1">IF(druid_op_cap="none",TblMili[[#This Row],[Hill]]/druid_op_bonus,MIN(druid_op_cap,TblMili[[#This Row],[Hill]]/druid_op_bonus))</f>
        <v>2.1999999999999997</v>
      </c>
      <c r="CA86" s="266">
        <f ca="1">IF(druid_dp_cap="none",TblMili[[#This Row],[Hill]]/druid_dp_bonus,MIN(druid_dp_cap,TblMili[[#This Row],[Hill]]/druid_dp_bonus))</f>
        <v>2.1999999999999997</v>
      </c>
      <c r="CB86" s="266">
        <f ca="1">MIN(dryad_cap,TblMili[[#This Row],[Hill]]/dryad_bonus)</f>
        <v>2.1999999999999997</v>
      </c>
      <c r="CC86" s="266">
        <f ca="1">MIN(rocka_cap,TblMili[[#This Row],[Hill]]/rocka_bonus)</f>
        <v>2</v>
      </c>
      <c r="CD86" s="266">
        <f ca="1">MIN(adept_op_cap,TblMili[[#This Row],[WG]]/adept_op_bonus)</f>
        <v>0</v>
      </c>
      <c r="CE86" s="266">
        <f ca="1">MIN(adept_dp_cap,TblMili[[#This Row],[WG]]/adept_dp_bonus)</f>
        <v>0</v>
      </c>
      <c r="CF86" s="97">
        <f ca="1">MIN(TblMili[[#This Row],[Unit 3]],TblMili[[#This Row],[Unit 2]])*2</f>
        <v>0</v>
      </c>
      <c r="CG86" s="97">
        <f ca="1">MIN(TblMili[[#This Row],[Unit 1]],TblMili[[#This Row],[Unit 4]])*2</f>
        <v>0</v>
      </c>
      <c r="CH86" s="266">
        <f ca="1">MIN(frost_mage_cap,TblMili[[#This Row],[Hill]]/frost_mage_bonus)</f>
        <v>2.1999999999999997</v>
      </c>
      <c r="CI86" s="45">
        <f ca="1">MIN(ice_elem_cap,TblMili[[#This Row],[Raw (2)]]*ice_elem_bonus)</f>
        <v>0.1</v>
      </c>
      <c r="CJ86" s="266">
        <f t="shared" si="3"/>
        <v>0.83333333333333337</v>
      </c>
      <c r="CK86" s="266">
        <f ca="1">MIN(nox_nightshade_cap,TblConstr[[#This Row],[Homeland]]/TblConstr[[#This Row],[Land]]/nox_nightshade_swamp_bonus)</f>
        <v>4</v>
      </c>
      <c r="CL86" s="267"/>
      <c r="CM86" s="267"/>
      <c r="CN86" s="267"/>
      <c r="CO86" s="266">
        <f ca="1">MIN(6,TblMili[[#This Row],[Mystic]]+Races!$F$19)*1.8 +  IF(TblMili[[#This Row],[Mystic]]+Races!$F$19&gt;6,(TblMili[[#This Row],[Mystic]]+Races!$F$19-6)*0.2,0) - Races!$I$19</f>
        <v>3.6399999999999997</v>
      </c>
      <c r="CP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6" s="97">
        <f ca="1">TblMili[[#This Row],[Mystic bonus]]*TblMili[[#This Row],[Unit 3]]+TblMili[[#This Row],[Druid bonus]]*TblMili[[#This Row],[Unit 4]]</f>
        <v>0</v>
      </c>
      <c r="CR86" s="158">
        <f ca="1">MIN(6,TblMili[[#This Row],[Dryad]]+Races!$F$35)*1.8 +  IF(TblMili[[#This Row],[Dryad]]+Races!$F$35&gt;6,(TblMili[[#This Row],[Dryad]]+Races!$F$35-6)*0.2,0) - Races!$I$19</f>
        <v>2.1599999999999993</v>
      </c>
      <c r="CS86" s="97">
        <f ca="1">sylvan*(TblMili[[#This Row],[Mystic bonus]]*TblMili[[#This Row],[Unit 3]])</f>
        <v>0</v>
      </c>
      <c r="CT86" s="158">
        <f ca="1">1.8 * MIN(MAX(Races!$E$27,TblMili[[#This Row],[Rockapult]]+Races!$F$27),6)  +  0.45 * MIN(MIN(Races!$E$27,TblMili[[#This Row],[Rockapult]]+Races!$F$27),6)  +  0.2 * ( MAX(Races!$E$27-6,0) + MAX(TblMili[[#This Row],[Rockapult]]+Races!$F$27-6,0) )  -  Races!$I$20</f>
        <v>5.8500000000000005</v>
      </c>
      <c r="CU86" s="97">
        <f ca="1">gnome*(TblMili[[#This Row],[Rockapult bonus]]*TblMili[[#This Row],[Unit 3]])</f>
        <v>0</v>
      </c>
      <c r="CV86" s="158">
        <f ca="1">1.8 * MIN(MAX(TblMili[[#This Row],[Spellblade]]+Races!$E$47,TblMili[[#This Row],[Adept-DP]]+Races!$F$47),6)  +  0.45 * MIN(MIN(TblMili[[#This Row],[Spellblade]]+Races!$E$47,TblMili[[#This Row],[Adept-DP]]+Races!$F$47),6)  +  0.2 * ( MAX(TblMili[[#This Row],[Spellblade]]+Races!$E$47-6,0) + MAX(TblMili[[#This Row],[Adept-DP]]+Races!$F$47-6,0) )  -  Races!$I$47</f>
        <v>0</v>
      </c>
      <c r="CW86" s="97">
        <f ca="1">dark_elf*(TblMili[[#This Row],[Adept bonus]]*TblMili[[#This Row],[Unit 3]])</f>
        <v>0</v>
      </c>
      <c r="CX86" s="158">
        <f ca="1">1.8 * MIN(MAX(TblMili[[#This Row],[Frost Mage]]+Races!$F$71,Races!$E$71),6)  +  0.45 * MIN(MIN(TblMili[[#This Row],[Frost Mage]]+Races!$F$71,Races!$E$71),6)  +  0.2 * ( MAX(TblMili[[#This Row],[Frost Mage]]+Races!$F$71-6,0) + MAX(Races!$E$71-6,0) )  -  Races!$I$71</f>
        <v>3.9599999999999991</v>
      </c>
      <c r="CY86" s="158">
        <f ca="1">1.8 * MIN(MAX(TblMili[[#This Row],[Ice Elemental]]+Races!$E$71,Races!$F$71),6)  +  0.45 * MIN(MIN(TblMili[[#This Row],[Ice Elemental]]+Races!$E$71,Races!$F$71),6)  +  0.2 * ( MAX(TblMili[[#This Row],[Ice Elemental]]+Races!$E$71-6,0) + MAX(Races!$F$71-6,0) )  -  Races!$I$71</f>
        <v>0.17999999999999972</v>
      </c>
      <c r="CZ86" s="97">
        <f ca="1">TblMili[[#This Row],[Frost Mage bonus]]*TblMili[[#This Row],[Unit 3]]+TblMili[[#This Row],[Ice Elemental bonus]]*TblMili[[#This Row],[Unit 4]]</f>
        <v>0</v>
      </c>
      <c r="DA86" s="268"/>
      <c r="DB86" s="146">
        <f ca="1">MIN(SUM(TblConstr[[#This Row],[Plain]:[Water]])/TblMili[[#This Row],[Land]]/favorable_terrain_bonus/100,favorable_terrain_max)</f>
        <v>0.1</v>
      </c>
      <c r="DC86" s="268"/>
      <c r="DD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6" s="145"/>
      <c r="DF86" s="269">
        <f ca="1">(TblMili[[#This Row],[Wizards]]+2*TblMili[[#This Row],[Archmages]])/TblConstr[[#This Row],[Land]]</f>
        <v>0.1</v>
      </c>
      <c r="DG86" s="269">
        <f ca="1">TblMili[[#This Row],[Raw (2)]]*(1+race_wizard_strength+IF(TblMili[[#This Row],[Hour]]&gt;72,tech_magical_weaponry_wiz*TblTech[[#This Row],[3-5]],0))</f>
        <v>0.1</v>
      </c>
    </row>
    <row r="87" spans="1:111"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45461.458333333132</v>
      </c>
      <c r="AG87" s="182"/>
      <c r="AH87" s="182"/>
      <c r="AI87" s="182"/>
      <c r="AJ87" s="182"/>
      <c r="AK87" s="182"/>
      <c r="AL87" s="182"/>
      <c r="AM87" s="182"/>
      <c r="AN87" s="182"/>
      <c r="AO87" s="449">
        <f ca="1">IF(AND(TblMagic[[#This Row],[Active DnD]]&lt;12,TblMagic[[#This Row],[Active DnD]]&gt;5),OFFSET(TblPop[[#This Row],[Draft Growth]],-1,0)/2,0)</f>
        <v>0</v>
      </c>
      <c r="AP87" s="145"/>
      <c r="AQ87" s="97">
        <f ca="1">TblProd[[#This Row],[Platinum]]</f>
        <v>576216</v>
      </c>
      <c r="AR87" s="97">
        <f ca="1">INDEX(TblProd[[#Headers],[Lumber]]:TblProd[[#This Row],[Ore]],COUNTA(TblProd[[#Headers],[Lumber]]:TblProd[[#This Row],[Lumber]]),MATCH(Military!$AQ$2,TblProd[[#Headers],[Lumber]:[Ore]],0))</f>
        <v>0</v>
      </c>
      <c r="AS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7">
        <f ca="1">TblMili[[#This Row],[Train Unit 1]]*TblMili[[#This Row],[OP Ore]]+TblMili[[#This Row],[Train Unit 2]]*TblMili[[#This Row],[DP Ore]]+TblMili[[#This Row],[Train Unit 3]]*TblMili[[#This Row],[E1 Ore]]+TblMili[[#This Row],[Train Unit 4]]*TblMili[[#This Row],[E2 Ore]]</f>
        <v>0</v>
      </c>
      <c r="AU87" s="145">
        <f>TblMili[[#This Row],[Hour]]</f>
        <v>84</v>
      </c>
      <c r="AV87" s="155">
        <f ca="1">TblMili[[#This Row],[Time]]</f>
        <v>45461.458333333132</v>
      </c>
      <c r="AW87" s="97">
        <f ca="1">TblMili[[#This Row],[Draftees]]</f>
        <v>626</v>
      </c>
      <c r="AX87" s="161"/>
      <c r="AY87" s="182"/>
      <c r="AZ87" s="182"/>
      <c r="BA87" s="182"/>
      <c r="BB87" s="182"/>
      <c r="BC87" s="182"/>
      <c r="BD87" s="182"/>
      <c r="BE87" s="182"/>
      <c r="BF87" s="182"/>
      <c r="BG87" s="145"/>
      <c r="BH87" s="160">
        <f ca="1">TblConstr[[#This Row],[Tot WG]]/TblConstr[[#This Row],[Land]]</f>
        <v>0</v>
      </c>
      <c r="BI87" s="160">
        <f ca="1">TblConstr[[#This Row],[Tot Hav]]/TblConstr[[#This Row],[Land]]</f>
        <v>0</v>
      </c>
      <c r="BJ87" s="97">
        <f ca="1">ROUNDUP((1-MIN(TblMili[[#This Row],[Smithies]]*smithy_bonus,smithy_bonus_cap) + tech_3_5*TblTech[[#This Row],[3-5]] + tech_5_3*TblTech[[#This Row],[5-3]] + tech_5_5*TblTech[[#This Row],[5-5]])*spec_op_plat,0)</f>
        <v>275</v>
      </c>
      <c r="BK87" s="97">
        <f ca="1">ROUNDUP(IF(race="Gnome",1,(1-MIN(TblMili[[#This Row],[Smithies]]*smithy_bonus,smithy_bonus_cap) + tech_3_5*TblTech[[#This Row],[3-5]] + tech_5_3*TblTech[[#This Row],[5-3]] + tech_5_5*TblTech[[#This Row],[5-5]]))*spec_op_ore,0)</f>
        <v>25</v>
      </c>
      <c r="BL87" s="97">
        <f ca="1">ROUNDUP((1-MIN(TblMili[[#This Row],[Smithies]]*smithy_bonus,smithy_bonus_cap) + tech_3_5*TblTech[[#This Row],[3-5]] + tech_5_3*TblTech[[#This Row],[5-3]] + tech_5_5*TblTech[[#This Row],[5-5]])*spec_dp_plat,0)</f>
        <v>275</v>
      </c>
      <c r="BM87" s="97">
        <f ca="1">ROUNDUP(IF(race="Gnome",1,(1-MIN(TblMili[[#This Row],[Smithies]]*smithy_bonus,smithy_bonus_cap) + tech_3_5*TblTech[[#This Row],[3-5]] + tech_5_3*TblTech[[#This Row],[5-3]] + tech_5_5*TblTech[[#This Row],[5-5]]))*spec_dp_ore,0)</f>
        <v>15</v>
      </c>
      <c r="BN87" s="97">
        <f ca="1">ROUNDUP((1-MIN(TblMili[[#This Row],[Smithies]]*smithy_bonus,smithy_bonus_cap) + tech_3_5*TblTech[[#This Row],[3-5]] + tech_5_3*TblTech[[#This Row],[5-3]] + tech_5_5*TblTech[[#This Row],[5-5]])*elite1_plat,0)</f>
        <v>1000</v>
      </c>
      <c r="BO87" s="97">
        <f ca="1">ROUNDUP(IF(race="Gnome",1,(1-MIN(TblMili[[#This Row],[Smithies]]*smithy_bonus,smithy_bonus_cap) + tech_3_5*TblTech[[#This Row],[3-5]] + tech_5_3*TblTech[[#This Row],[5-3]] + tech_5_5*TblTech[[#This Row],[5-5]]))*elite1_ore,0)</f>
        <v>75</v>
      </c>
      <c r="BP87" s="97">
        <f ca="1">ROUNDUP((1-MIN(TblMili[[#This Row],[Smithies]]*smithy_bonus,smithy_bonus_cap) + tech_3_5*TblTech[[#This Row],[3-5]] + tech_5_3*TblTech[[#This Row],[5-3]] + tech_5_5*TblTech[[#This Row],[5-5]])*elite2_plat,0)</f>
        <v>1250</v>
      </c>
      <c r="BQ87" s="97">
        <f ca="1">ROUNDUP(IF(race="Gnome",1,(1-MIN(TblMili[[#This Row],[Smithies]]*smithy_bonus,smithy_bonus_cap) + tech_3_5*TblTech[[#This Row],[3-5]] + tech_5_3*TblTech[[#This Row],[5-3]] + tech_5_5*TblTech[[#This Row],[5-5]]))*elite2_ore,0)</f>
        <v>100</v>
      </c>
      <c r="BR87" s="97">
        <f ca="1">ROUNDUP((1-MIN(ROUND(fh_spy_cost_red*TblMili[[#This Row],[FH''s]],4),fh_spy_cost_cap)+ tech_1_9*TblTech[[#This Row],[1-9]] + tech_9_1*TblTech[[#This Row],[9-1]])*spy_plat,0)</f>
        <v>500</v>
      </c>
      <c r="BS87" s="97">
        <f ca="1">ROUNDUP((1-MIN(ROUND(fh_spy_cost_red*TblMili[[#This Row],[FH''s]],4),fh_spy_cost_cap)+ tech_1_9*TblTech[[#This Row],[1-9]] + tech_9_1*TblTech[[#This Row],[9-1]])*archspy_plat,0)</f>
        <v>1000</v>
      </c>
      <c r="BT87" s="97">
        <f ca="1">ROUNDUP((1-MIN(ROUND(wg_wiz_cost_bonus*TblMili[[#This Row],[WG''s]],4),wg_wiz_cost_cap) + tech_1_9_2*TblTech[[#This Row],[1-9]] + tech_9_1_2*TblTech[[#This Row],[9-1]])*wizard_plat,0)</f>
        <v>500</v>
      </c>
      <c r="BU87" s="97">
        <f ca="1">ROUNDUP((1-MIN(ROUND(wg_wiz_cost_bonus*TblMili[[#This Row],[WG''s]],4),wg_wiz_cost_cap) + tech_1_9_2*TblTech[[#This Row],[1-9]] + tech_9_1_2*TblTech[[#This Row],[9-1]])*archmage_plat,0)</f>
        <v>1000</v>
      </c>
      <c r="BV87" s="145"/>
      <c r="BW87" s="160">
        <f ca="1">TblConstr[[#This Row],[Homeland]]/TblConstr[[#This Row],[Land]]</f>
        <v>0.44</v>
      </c>
      <c r="BX87" s="160">
        <f ca="1">TblMili[[#This Row],[WG''s]]</f>
        <v>0</v>
      </c>
      <c r="BY87" s="266">
        <f ca="1">IF(mystic_cap="none",TblMili[[#This Row],[Hill]]/mystic_bonus,MIN(mystic_cap,TblMili[[#This Row],[Hill]]/mystic_bonus))</f>
        <v>2.1999999999999997</v>
      </c>
      <c r="BZ87" s="266">
        <f ca="1">IF(druid_op_cap="none",TblMili[[#This Row],[Hill]]/druid_op_bonus,MIN(druid_op_cap,TblMili[[#This Row],[Hill]]/druid_op_bonus))</f>
        <v>2.1999999999999997</v>
      </c>
      <c r="CA87" s="266">
        <f ca="1">IF(druid_dp_cap="none",TblMili[[#This Row],[Hill]]/druid_dp_bonus,MIN(druid_dp_cap,TblMili[[#This Row],[Hill]]/druid_dp_bonus))</f>
        <v>2.1999999999999997</v>
      </c>
      <c r="CB87" s="266">
        <f ca="1">MIN(dryad_cap,TblMili[[#This Row],[Hill]]/dryad_bonus)</f>
        <v>2.1999999999999997</v>
      </c>
      <c r="CC87" s="266">
        <f ca="1">MIN(rocka_cap,TblMili[[#This Row],[Hill]]/rocka_bonus)</f>
        <v>2</v>
      </c>
      <c r="CD87" s="266">
        <f ca="1">MIN(adept_op_cap,TblMili[[#This Row],[WG]]/adept_op_bonus)</f>
        <v>0</v>
      </c>
      <c r="CE87" s="266">
        <f ca="1">MIN(adept_dp_cap,TblMili[[#This Row],[WG]]/adept_dp_bonus)</f>
        <v>0</v>
      </c>
      <c r="CF87" s="97">
        <f ca="1">MIN(TblMili[[#This Row],[Unit 3]],TblMili[[#This Row],[Unit 2]])*2</f>
        <v>0</v>
      </c>
      <c r="CG87" s="97">
        <f ca="1">MIN(TblMili[[#This Row],[Unit 1]],TblMili[[#This Row],[Unit 4]])*2</f>
        <v>0</v>
      </c>
      <c r="CH87" s="266">
        <f ca="1">MIN(frost_mage_cap,TblMili[[#This Row],[Hill]]/frost_mage_bonus)</f>
        <v>2.1999999999999997</v>
      </c>
      <c r="CI87" s="45">
        <f ca="1">MIN(ice_elem_cap,TblMili[[#This Row],[Raw (2)]]*ice_elem_bonus)</f>
        <v>0.1</v>
      </c>
      <c r="CJ87" s="266">
        <f t="shared" si="3"/>
        <v>0.83333333333333337</v>
      </c>
      <c r="CK87" s="266">
        <f ca="1">MIN(nox_nightshade_cap,TblConstr[[#This Row],[Homeland]]/TblConstr[[#This Row],[Land]]/nox_nightshade_swamp_bonus)</f>
        <v>4</v>
      </c>
      <c r="CL87" s="267"/>
      <c r="CM87" s="267"/>
      <c r="CN87" s="267"/>
      <c r="CO87" s="266">
        <f ca="1">MIN(6,TblMili[[#This Row],[Mystic]]+Races!$F$19)*1.8 +  IF(TblMili[[#This Row],[Mystic]]+Races!$F$19&gt;6,(TblMili[[#This Row],[Mystic]]+Races!$F$19-6)*0.2,0) - Races!$I$19</f>
        <v>3.6399999999999997</v>
      </c>
      <c r="CP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7" s="97">
        <f ca="1">TblMili[[#This Row],[Mystic bonus]]*TblMili[[#This Row],[Unit 3]]+TblMili[[#This Row],[Druid bonus]]*TblMili[[#This Row],[Unit 4]]</f>
        <v>0</v>
      </c>
      <c r="CR87" s="158">
        <f ca="1">MIN(6,TblMili[[#This Row],[Dryad]]+Races!$F$35)*1.8 +  IF(TblMili[[#This Row],[Dryad]]+Races!$F$35&gt;6,(TblMili[[#This Row],[Dryad]]+Races!$F$35-6)*0.2,0) - Races!$I$19</f>
        <v>2.1599999999999993</v>
      </c>
      <c r="CS87" s="97">
        <f ca="1">sylvan*(TblMili[[#This Row],[Mystic bonus]]*TblMili[[#This Row],[Unit 3]])</f>
        <v>0</v>
      </c>
      <c r="CT87" s="158">
        <f ca="1">1.8 * MIN(MAX(Races!$E$27,TblMili[[#This Row],[Rockapult]]+Races!$F$27),6)  +  0.45 * MIN(MIN(Races!$E$27,TblMili[[#This Row],[Rockapult]]+Races!$F$27),6)  +  0.2 * ( MAX(Races!$E$27-6,0) + MAX(TblMili[[#This Row],[Rockapult]]+Races!$F$27-6,0) )  -  Races!$I$20</f>
        <v>5.8500000000000005</v>
      </c>
      <c r="CU87" s="97">
        <f ca="1">gnome*(TblMili[[#This Row],[Rockapult bonus]]*TblMili[[#This Row],[Unit 3]])</f>
        <v>0</v>
      </c>
      <c r="CV87" s="158">
        <f ca="1">1.8 * MIN(MAX(TblMili[[#This Row],[Spellblade]]+Races!$E$47,TblMili[[#This Row],[Adept-DP]]+Races!$F$47),6)  +  0.45 * MIN(MIN(TblMili[[#This Row],[Spellblade]]+Races!$E$47,TblMili[[#This Row],[Adept-DP]]+Races!$F$47),6)  +  0.2 * ( MAX(TblMili[[#This Row],[Spellblade]]+Races!$E$47-6,0) + MAX(TblMili[[#This Row],[Adept-DP]]+Races!$F$47-6,0) )  -  Races!$I$47</f>
        <v>0</v>
      </c>
      <c r="CW87" s="97">
        <f ca="1">dark_elf*(TblMili[[#This Row],[Adept bonus]]*TblMili[[#This Row],[Unit 3]])</f>
        <v>0</v>
      </c>
      <c r="CX87" s="158">
        <f ca="1">1.8 * MIN(MAX(TblMili[[#This Row],[Frost Mage]]+Races!$F$71,Races!$E$71),6)  +  0.45 * MIN(MIN(TblMili[[#This Row],[Frost Mage]]+Races!$F$71,Races!$E$71),6)  +  0.2 * ( MAX(TblMili[[#This Row],[Frost Mage]]+Races!$F$71-6,0) + MAX(Races!$E$71-6,0) )  -  Races!$I$71</f>
        <v>3.9599999999999991</v>
      </c>
      <c r="CY87" s="158">
        <f ca="1">1.8 * MIN(MAX(TblMili[[#This Row],[Ice Elemental]]+Races!$E$71,Races!$F$71),6)  +  0.45 * MIN(MIN(TblMili[[#This Row],[Ice Elemental]]+Races!$E$71,Races!$F$71),6)  +  0.2 * ( MAX(TblMili[[#This Row],[Ice Elemental]]+Races!$E$71-6,0) + MAX(Races!$F$71-6,0) )  -  Races!$I$71</f>
        <v>0.17999999999999972</v>
      </c>
      <c r="CZ87" s="97">
        <f ca="1">TblMili[[#This Row],[Frost Mage bonus]]*TblMili[[#This Row],[Unit 3]]+TblMili[[#This Row],[Ice Elemental bonus]]*TblMili[[#This Row],[Unit 4]]</f>
        <v>0</v>
      </c>
      <c r="DA87" s="268"/>
      <c r="DB87" s="146">
        <f ca="1">MIN(SUM(TblConstr[[#This Row],[Plain]:[Water]])/TblMili[[#This Row],[Land]]/favorable_terrain_bonus/100,favorable_terrain_max)</f>
        <v>0.1</v>
      </c>
      <c r="DC87" s="268"/>
      <c r="DD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7" s="145"/>
      <c r="DF87" s="269">
        <f ca="1">(TblMili[[#This Row],[Wizards]]+2*TblMili[[#This Row],[Archmages]])/TblConstr[[#This Row],[Land]]</f>
        <v>0.1</v>
      </c>
      <c r="DG87" s="269">
        <f ca="1">TblMili[[#This Row],[Raw (2)]]*(1+race_wizard_strength+IF(TblMili[[#This Row],[Hour]]&gt;72,tech_magical_weaponry_wiz*TblTech[[#This Row],[3-5]],0))</f>
        <v>0.1</v>
      </c>
    </row>
    <row r="88" spans="1:111"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45461.499999999796</v>
      </c>
      <c r="AG88" s="182"/>
      <c r="AH88" s="182"/>
      <c r="AI88" s="182"/>
      <c r="AJ88" s="182"/>
      <c r="AK88" s="182"/>
      <c r="AL88" s="182"/>
      <c r="AM88" s="182"/>
      <c r="AN88" s="182"/>
      <c r="AO88" s="449">
        <f ca="1">IF(AND(TblMagic[[#This Row],[Active DnD]]&lt;12,TblMagic[[#This Row],[Active DnD]]&gt;5),OFFSET(TblPop[[#This Row],[Draft Growth]],-1,0)/2,0)</f>
        <v>0</v>
      </c>
      <c r="AP88" s="145"/>
      <c r="AQ88" s="97">
        <f ca="1">TblProd[[#This Row],[Platinum]]</f>
        <v>581702</v>
      </c>
      <c r="AR88" s="97">
        <f ca="1">INDEX(TblProd[[#Headers],[Lumber]]:TblProd[[#This Row],[Ore]],COUNTA(TblProd[[#Headers],[Lumber]]:TblProd[[#This Row],[Lumber]]),MATCH(Military!$AQ$2,TblProd[[#Headers],[Lumber]:[Ore]],0))</f>
        <v>0</v>
      </c>
      <c r="AS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7">
        <f ca="1">TblMili[[#This Row],[Train Unit 1]]*TblMili[[#This Row],[OP Ore]]+TblMili[[#This Row],[Train Unit 2]]*TblMili[[#This Row],[DP Ore]]+TblMili[[#This Row],[Train Unit 3]]*TblMili[[#This Row],[E1 Ore]]+TblMili[[#This Row],[Train Unit 4]]*TblMili[[#This Row],[E2 Ore]]</f>
        <v>0</v>
      </c>
      <c r="AU88" s="145">
        <f>TblMili[[#This Row],[Hour]]</f>
        <v>85</v>
      </c>
      <c r="AV88" s="155">
        <f ca="1">TblMili[[#This Row],[Time]]</f>
        <v>45461.499999999796</v>
      </c>
      <c r="AW88" s="97">
        <f ca="1">TblMili[[#This Row],[Draftees]]</f>
        <v>626</v>
      </c>
      <c r="AX88" s="182"/>
      <c r="AY88" s="182"/>
      <c r="AZ88" s="182"/>
      <c r="BA88" s="182"/>
      <c r="BB88" s="182"/>
      <c r="BC88" s="182"/>
      <c r="BD88" s="182"/>
      <c r="BE88" s="182"/>
      <c r="BF88" s="182"/>
      <c r="BG88" s="145"/>
      <c r="BH88" s="160">
        <f ca="1">TblConstr[[#This Row],[Tot WG]]/TblConstr[[#This Row],[Land]]</f>
        <v>0</v>
      </c>
      <c r="BI88" s="160">
        <f ca="1">TblConstr[[#This Row],[Tot Hav]]/TblConstr[[#This Row],[Land]]</f>
        <v>0</v>
      </c>
      <c r="BJ88" s="97">
        <f ca="1">ROUNDUP((1-MIN(TblMili[[#This Row],[Smithies]]*smithy_bonus,smithy_bonus_cap) + tech_3_5*TblTech[[#This Row],[3-5]] + tech_5_3*TblTech[[#This Row],[5-3]] + tech_5_5*TblTech[[#This Row],[5-5]])*spec_op_plat,0)</f>
        <v>275</v>
      </c>
      <c r="BK88" s="97">
        <f ca="1">ROUNDUP(IF(race="Gnome",1,(1-MIN(TblMili[[#This Row],[Smithies]]*smithy_bonus,smithy_bonus_cap) + tech_3_5*TblTech[[#This Row],[3-5]] + tech_5_3*TblTech[[#This Row],[5-3]] + tech_5_5*TblTech[[#This Row],[5-5]]))*spec_op_ore,0)</f>
        <v>25</v>
      </c>
      <c r="BL88" s="97">
        <f ca="1">ROUNDUP((1-MIN(TblMili[[#This Row],[Smithies]]*smithy_bonus,smithy_bonus_cap) + tech_3_5*TblTech[[#This Row],[3-5]] + tech_5_3*TblTech[[#This Row],[5-3]] + tech_5_5*TblTech[[#This Row],[5-5]])*spec_dp_plat,0)</f>
        <v>275</v>
      </c>
      <c r="BM88" s="97">
        <f ca="1">ROUNDUP(IF(race="Gnome",1,(1-MIN(TblMili[[#This Row],[Smithies]]*smithy_bonus,smithy_bonus_cap) + tech_3_5*TblTech[[#This Row],[3-5]] + tech_5_3*TblTech[[#This Row],[5-3]] + tech_5_5*TblTech[[#This Row],[5-5]]))*spec_dp_ore,0)</f>
        <v>15</v>
      </c>
      <c r="BN88" s="97">
        <f ca="1">ROUNDUP((1-MIN(TblMili[[#This Row],[Smithies]]*smithy_bonus,smithy_bonus_cap) + tech_3_5*TblTech[[#This Row],[3-5]] + tech_5_3*TblTech[[#This Row],[5-3]] + tech_5_5*TblTech[[#This Row],[5-5]])*elite1_plat,0)</f>
        <v>1000</v>
      </c>
      <c r="BO88" s="97">
        <f ca="1">ROUNDUP(IF(race="Gnome",1,(1-MIN(TblMili[[#This Row],[Smithies]]*smithy_bonus,smithy_bonus_cap) + tech_3_5*TblTech[[#This Row],[3-5]] + tech_5_3*TblTech[[#This Row],[5-3]] + tech_5_5*TblTech[[#This Row],[5-5]]))*elite1_ore,0)</f>
        <v>75</v>
      </c>
      <c r="BP88" s="97">
        <f ca="1">ROUNDUP((1-MIN(TblMili[[#This Row],[Smithies]]*smithy_bonus,smithy_bonus_cap) + tech_3_5*TblTech[[#This Row],[3-5]] + tech_5_3*TblTech[[#This Row],[5-3]] + tech_5_5*TblTech[[#This Row],[5-5]])*elite2_plat,0)</f>
        <v>1250</v>
      </c>
      <c r="BQ88" s="97">
        <f ca="1">ROUNDUP(IF(race="Gnome",1,(1-MIN(TblMili[[#This Row],[Smithies]]*smithy_bonus,smithy_bonus_cap) + tech_3_5*TblTech[[#This Row],[3-5]] + tech_5_3*TblTech[[#This Row],[5-3]] + tech_5_5*TblTech[[#This Row],[5-5]]))*elite2_ore,0)</f>
        <v>100</v>
      </c>
      <c r="BR88" s="97">
        <f ca="1">ROUNDUP((1-MIN(ROUND(fh_spy_cost_red*TblMili[[#This Row],[FH''s]],4),fh_spy_cost_cap)+ tech_1_9*TblTech[[#This Row],[1-9]] + tech_9_1*TblTech[[#This Row],[9-1]])*spy_plat,0)</f>
        <v>500</v>
      </c>
      <c r="BS88" s="97">
        <f ca="1">ROUNDUP((1-MIN(ROUND(fh_spy_cost_red*TblMili[[#This Row],[FH''s]],4),fh_spy_cost_cap)+ tech_1_9*TblTech[[#This Row],[1-9]] + tech_9_1*TblTech[[#This Row],[9-1]])*archspy_plat,0)</f>
        <v>1000</v>
      </c>
      <c r="BT88" s="97">
        <f ca="1">ROUNDUP((1-MIN(ROUND(wg_wiz_cost_bonus*TblMili[[#This Row],[WG''s]],4),wg_wiz_cost_cap) + tech_1_9_2*TblTech[[#This Row],[1-9]] + tech_9_1_2*TblTech[[#This Row],[9-1]])*wizard_plat,0)</f>
        <v>500</v>
      </c>
      <c r="BU88" s="97">
        <f ca="1">ROUNDUP((1-MIN(ROUND(wg_wiz_cost_bonus*TblMili[[#This Row],[WG''s]],4),wg_wiz_cost_cap) + tech_1_9_2*TblTech[[#This Row],[1-9]] + tech_9_1_2*TblTech[[#This Row],[9-1]])*archmage_plat,0)</f>
        <v>1000</v>
      </c>
      <c r="BV88" s="145"/>
      <c r="BW88" s="160">
        <f ca="1">TblConstr[[#This Row],[Homeland]]/TblConstr[[#This Row],[Land]]</f>
        <v>0.44</v>
      </c>
      <c r="BX88" s="160">
        <f ca="1">TblMili[[#This Row],[WG''s]]</f>
        <v>0</v>
      </c>
      <c r="BY88" s="266">
        <f ca="1">IF(mystic_cap="none",TblMili[[#This Row],[Hill]]/mystic_bonus,MIN(mystic_cap,TblMili[[#This Row],[Hill]]/mystic_bonus))</f>
        <v>2.1999999999999997</v>
      </c>
      <c r="BZ88" s="266">
        <f ca="1">IF(druid_op_cap="none",TblMili[[#This Row],[Hill]]/druid_op_bonus,MIN(druid_op_cap,TblMili[[#This Row],[Hill]]/druid_op_bonus))</f>
        <v>2.1999999999999997</v>
      </c>
      <c r="CA88" s="266">
        <f ca="1">IF(druid_dp_cap="none",TblMili[[#This Row],[Hill]]/druid_dp_bonus,MIN(druid_dp_cap,TblMili[[#This Row],[Hill]]/druid_dp_bonus))</f>
        <v>2.1999999999999997</v>
      </c>
      <c r="CB88" s="266">
        <f ca="1">MIN(dryad_cap,TblMili[[#This Row],[Hill]]/dryad_bonus)</f>
        <v>2.1999999999999997</v>
      </c>
      <c r="CC88" s="266">
        <f ca="1">MIN(rocka_cap,TblMili[[#This Row],[Hill]]/rocka_bonus)</f>
        <v>2</v>
      </c>
      <c r="CD88" s="266">
        <f ca="1">MIN(adept_op_cap,TblMili[[#This Row],[WG]]/adept_op_bonus)</f>
        <v>0</v>
      </c>
      <c r="CE88" s="266">
        <f ca="1">MIN(adept_dp_cap,TblMili[[#This Row],[WG]]/adept_dp_bonus)</f>
        <v>0</v>
      </c>
      <c r="CF88" s="97">
        <f ca="1">MIN(TblMili[[#This Row],[Unit 3]],TblMili[[#This Row],[Unit 2]])*2</f>
        <v>0</v>
      </c>
      <c r="CG88" s="97">
        <f ca="1">MIN(TblMili[[#This Row],[Unit 1]],TblMili[[#This Row],[Unit 4]])*2</f>
        <v>0</v>
      </c>
      <c r="CH88" s="266">
        <f ca="1">MIN(frost_mage_cap,TblMili[[#This Row],[Hill]]/frost_mage_bonus)</f>
        <v>2.1999999999999997</v>
      </c>
      <c r="CI88" s="45">
        <f ca="1">MIN(ice_elem_cap,TblMili[[#This Row],[Raw (2)]]*ice_elem_bonus)</f>
        <v>0.1</v>
      </c>
      <c r="CJ88" s="266">
        <f t="shared" si="3"/>
        <v>0.83333333333333337</v>
      </c>
      <c r="CK88" s="266">
        <f ca="1">MIN(nox_nightshade_cap,TblConstr[[#This Row],[Homeland]]/TblConstr[[#This Row],[Land]]/nox_nightshade_swamp_bonus)</f>
        <v>4</v>
      </c>
      <c r="CL88" s="267"/>
      <c r="CM88" s="267"/>
      <c r="CN88" s="267"/>
      <c r="CO88" s="266">
        <f ca="1">MIN(6,TblMili[[#This Row],[Mystic]]+Races!$F$19)*1.8 +  IF(TblMili[[#This Row],[Mystic]]+Races!$F$19&gt;6,(TblMili[[#This Row],[Mystic]]+Races!$F$19-6)*0.2,0) - Races!$I$19</f>
        <v>3.6399999999999997</v>
      </c>
      <c r="CP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8" s="97">
        <f ca="1">TblMili[[#This Row],[Mystic bonus]]*TblMili[[#This Row],[Unit 3]]+TblMili[[#This Row],[Druid bonus]]*TblMili[[#This Row],[Unit 4]]</f>
        <v>0</v>
      </c>
      <c r="CR88" s="158">
        <f ca="1">MIN(6,TblMili[[#This Row],[Dryad]]+Races!$F$35)*1.8 +  IF(TblMili[[#This Row],[Dryad]]+Races!$F$35&gt;6,(TblMili[[#This Row],[Dryad]]+Races!$F$35-6)*0.2,0) - Races!$I$19</f>
        <v>2.1599999999999993</v>
      </c>
      <c r="CS88" s="97">
        <f ca="1">sylvan*(TblMili[[#This Row],[Mystic bonus]]*TblMili[[#This Row],[Unit 3]])</f>
        <v>0</v>
      </c>
      <c r="CT88" s="158">
        <f ca="1">1.8 * MIN(MAX(Races!$E$27,TblMili[[#This Row],[Rockapult]]+Races!$F$27),6)  +  0.45 * MIN(MIN(Races!$E$27,TblMili[[#This Row],[Rockapult]]+Races!$F$27),6)  +  0.2 * ( MAX(Races!$E$27-6,0) + MAX(TblMili[[#This Row],[Rockapult]]+Races!$F$27-6,0) )  -  Races!$I$20</f>
        <v>5.8500000000000005</v>
      </c>
      <c r="CU88" s="97">
        <f ca="1">gnome*(TblMili[[#This Row],[Rockapult bonus]]*TblMili[[#This Row],[Unit 3]])</f>
        <v>0</v>
      </c>
      <c r="CV88" s="158">
        <f ca="1">1.8 * MIN(MAX(TblMili[[#This Row],[Spellblade]]+Races!$E$47,TblMili[[#This Row],[Adept-DP]]+Races!$F$47),6)  +  0.45 * MIN(MIN(TblMili[[#This Row],[Spellblade]]+Races!$E$47,TblMili[[#This Row],[Adept-DP]]+Races!$F$47),6)  +  0.2 * ( MAX(TblMili[[#This Row],[Spellblade]]+Races!$E$47-6,0) + MAX(TblMili[[#This Row],[Adept-DP]]+Races!$F$47-6,0) )  -  Races!$I$47</f>
        <v>0</v>
      </c>
      <c r="CW88" s="97">
        <f ca="1">dark_elf*(TblMili[[#This Row],[Adept bonus]]*TblMili[[#This Row],[Unit 3]])</f>
        <v>0</v>
      </c>
      <c r="CX88" s="158">
        <f ca="1">1.8 * MIN(MAX(TblMili[[#This Row],[Frost Mage]]+Races!$F$71,Races!$E$71),6)  +  0.45 * MIN(MIN(TblMili[[#This Row],[Frost Mage]]+Races!$F$71,Races!$E$71),6)  +  0.2 * ( MAX(TblMili[[#This Row],[Frost Mage]]+Races!$F$71-6,0) + MAX(Races!$E$71-6,0) )  -  Races!$I$71</f>
        <v>3.9599999999999991</v>
      </c>
      <c r="CY88" s="158">
        <f ca="1">1.8 * MIN(MAX(TblMili[[#This Row],[Ice Elemental]]+Races!$E$71,Races!$F$71),6)  +  0.45 * MIN(MIN(TblMili[[#This Row],[Ice Elemental]]+Races!$E$71,Races!$F$71),6)  +  0.2 * ( MAX(TblMili[[#This Row],[Ice Elemental]]+Races!$E$71-6,0) + MAX(Races!$F$71-6,0) )  -  Races!$I$71</f>
        <v>0.17999999999999972</v>
      </c>
      <c r="CZ88" s="97">
        <f ca="1">TblMili[[#This Row],[Frost Mage bonus]]*TblMili[[#This Row],[Unit 3]]+TblMili[[#This Row],[Ice Elemental bonus]]*TblMili[[#This Row],[Unit 4]]</f>
        <v>0</v>
      </c>
      <c r="DA88" s="268"/>
      <c r="DB88" s="146">
        <f ca="1">MIN(SUM(TblConstr[[#This Row],[Plain]:[Water]])/TblMili[[#This Row],[Land]]/favorable_terrain_bonus/100,favorable_terrain_max)</f>
        <v>0.1</v>
      </c>
      <c r="DC88" s="268"/>
      <c r="DD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8" s="145"/>
      <c r="DF88" s="269">
        <f ca="1">(TblMili[[#This Row],[Wizards]]+2*TblMili[[#This Row],[Archmages]])/TblConstr[[#This Row],[Land]]</f>
        <v>0.1</v>
      </c>
      <c r="DG88" s="269">
        <f ca="1">TblMili[[#This Row],[Raw (2)]]*(1+race_wizard_strength+IF(TblMili[[#This Row],[Hour]]&gt;72,tech_magical_weaponry_wiz*TblTech[[#This Row],[3-5]],0))</f>
        <v>0.1</v>
      </c>
    </row>
    <row r="89" spans="1:111"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45461.541666666461</v>
      </c>
      <c r="AG89" s="182"/>
      <c r="AH89" s="182"/>
      <c r="AI89" s="182"/>
      <c r="AJ89" s="182"/>
      <c r="AK89" s="182"/>
      <c r="AL89" s="182"/>
      <c r="AM89" s="182"/>
      <c r="AN89" s="182"/>
      <c r="AO89" s="449">
        <f ca="1">IF(AND(TblMagic[[#This Row],[Active DnD]]&lt;12,TblMagic[[#This Row],[Active DnD]]&gt;5),OFFSET(TblPop[[#This Row],[Draft Growth]],-1,0)/2,0)</f>
        <v>0</v>
      </c>
      <c r="AP89" s="145"/>
      <c r="AQ89" s="97">
        <f ca="1">TblProd[[#This Row],[Platinum]]</f>
        <v>587188</v>
      </c>
      <c r="AR89" s="97">
        <f ca="1">INDEX(TblProd[[#Headers],[Lumber]]:TblProd[[#This Row],[Ore]],COUNTA(TblProd[[#Headers],[Lumber]]:TblProd[[#This Row],[Lumber]]),MATCH(Military!$AQ$2,TblProd[[#Headers],[Lumber]:[Ore]],0))</f>
        <v>0</v>
      </c>
      <c r="AS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7">
        <f ca="1">TblMili[[#This Row],[Train Unit 1]]*TblMili[[#This Row],[OP Ore]]+TblMili[[#This Row],[Train Unit 2]]*TblMili[[#This Row],[DP Ore]]+TblMili[[#This Row],[Train Unit 3]]*TblMili[[#This Row],[E1 Ore]]+TblMili[[#This Row],[Train Unit 4]]*TblMili[[#This Row],[E2 Ore]]</f>
        <v>0</v>
      </c>
      <c r="AU89" s="145">
        <f>TblMili[[#This Row],[Hour]]</f>
        <v>86</v>
      </c>
      <c r="AV89" s="155">
        <f ca="1">TblMili[[#This Row],[Time]]</f>
        <v>45461.541666666461</v>
      </c>
      <c r="AW89" s="97">
        <f ca="1">TblMili[[#This Row],[Draftees]]</f>
        <v>626</v>
      </c>
      <c r="AX89" s="182"/>
      <c r="AY89" s="182"/>
      <c r="AZ89" s="182"/>
      <c r="BA89" s="182"/>
      <c r="BB89" s="182"/>
      <c r="BC89" s="182"/>
      <c r="BD89" s="182"/>
      <c r="BE89" s="182"/>
      <c r="BF89" s="182"/>
      <c r="BG89" s="145"/>
      <c r="BH89" s="160">
        <f ca="1">TblConstr[[#This Row],[Tot WG]]/TblConstr[[#This Row],[Land]]</f>
        <v>0</v>
      </c>
      <c r="BI89" s="160">
        <f ca="1">TblConstr[[#This Row],[Tot Hav]]/TblConstr[[#This Row],[Land]]</f>
        <v>0</v>
      </c>
      <c r="BJ89" s="97">
        <f ca="1">ROUNDUP((1-MIN(TblMili[[#This Row],[Smithies]]*smithy_bonus,smithy_bonus_cap) + tech_3_5*TblTech[[#This Row],[3-5]] + tech_5_3*TblTech[[#This Row],[5-3]] + tech_5_5*TblTech[[#This Row],[5-5]])*spec_op_plat,0)</f>
        <v>275</v>
      </c>
      <c r="BK89" s="97">
        <f ca="1">ROUNDUP(IF(race="Gnome",1,(1-MIN(TblMili[[#This Row],[Smithies]]*smithy_bonus,smithy_bonus_cap) + tech_3_5*TblTech[[#This Row],[3-5]] + tech_5_3*TblTech[[#This Row],[5-3]] + tech_5_5*TblTech[[#This Row],[5-5]]))*spec_op_ore,0)</f>
        <v>25</v>
      </c>
      <c r="BL89" s="97">
        <f ca="1">ROUNDUP((1-MIN(TblMili[[#This Row],[Smithies]]*smithy_bonus,smithy_bonus_cap) + tech_3_5*TblTech[[#This Row],[3-5]] + tech_5_3*TblTech[[#This Row],[5-3]] + tech_5_5*TblTech[[#This Row],[5-5]])*spec_dp_plat,0)</f>
        <v>275</v>
      </c>
      <c r="BM89" s="97">
        <f ca="1">ROUNDUP(IF(race="Gnome",1,(1-MIN(TblMili[[#This Row],[Smithies]]*smithy_bonus,smithy_bonus_cap) + tech_3_5*TblTech[[#This Row],[3-5]] + tech_5_3*TblTech[[#This Row],[5-3]] + tech_5_5*TblTech[[#This Row],[5-5]]))*spec_dp_ore,0)</f>
        <v>15</v>
      </c>
      <c r="BN89" s="97">
        <f ca="1">ROUNDUP((1-MIN(TblMili[[#This Row],[Smithies]]*smithy_bonus,smithy_bonus_cap) + tech_3_5*TblTech[[#This Row],[3-5]] + tech_5_3*TblTech[[#This Row],[5-3]] + tech_5_5*TblTech[[#This Row],[5-5]])*elite1_plat,0)</f>
        <v>1000</v>
      </c>
      <c r="BO89" s="97">
        <f ca="1">ROUNDUP(IF(race="Gnome",1,(1-MIN(TblMili[[#This Row],[Smithies]]*smithy_bonus,smithy_bonus_cap) + tech_3_5*TblTech[[#This Row],[3-5]] + tech_5_3*TblTech[[#This Row],[5-3]] + tech_5_5*TblTech[[#This Row],[5-5]]))*elite1_ore,0)</f>
        <v>75</v>
      </c>
      <c r="BP89" s="97">
        <f ca="1">ROUNDUP((1-MIN(TblMili[[#This Row],[Smithies]]*smithy_bonus,smithy_bonus_cap) + tech_3_5*TblTech[[#This Row],[3-5]] + tech_5_3*TblTech[[#This Row],[5-3]] + tech_5_5*TblTech[[#This Row],[5-5]])*elite2_plat,0)</f>
        <v>1250</v>
      </c>
      <c r="BQ89" s="97">
        <f ca="1">ROUNDUP(IF(race="Gnome",1,(1-MIN(TblMili[[#This Row],[Smithies]]*smithy_bonus,smithy_bonus_cap) + tech_3_5*TblTech[[#This Row],[3-5]] + tech_5_3*TblTech[[#This Row],[5-3]] + tech_5_5*TblTech[[#This Row],[5-5]]))*elite2_ore,0)</f>
        <v>100</v>
      </c>
      <c r="BR89" s="97">
        <f ca="1">ROUNDUP((1-MIN(ROUND(fh_spy_cost_red*TblMili[[#This Row],[FH''s]],4),fh_spy_cost_cap)+ tech_1_9*TblTech[[#This Row],[1-9]] + tech_9_1*TblTech[[#This Row],[9-1]])*spy_plat,0)</f>
        <v>500</v>
      </c>
      <c r="BS89" s="97">
        <f ca="1">ROUNDUP((1-MIN(ROUND(fh_spy_cost_red*TblMili[[#This Row],[FH''s]],4),fh_spy_cost_cap)+ tech_1_9*TblTech[[#This Row],[1-9]] + tech_9_1*TblTech[[#This Row],[9-1]])*archspy_plat,0)</f>
        <v>1000</v>
      </c>
      <c r="BT89" s="97">
        <f ca="1">ROUNDUP((1-MIN(ROUND(wg_wiz_cost_bonus*TblMili[[#This Row],[WG''s]],4),wg_wiz_cost_cap) + tech_1_9_2*TblTech[[#This Row],[1-9]] + tech_9_1_2*TblTech[[#This Row],[9-1]])*wizard_plat,0)</f>
        <v>500</v>
      </c>
      <c r="BU89" s="97">
        <f ca="1">ROUNDUP((1-MIN(ROUND(wg_wiz_cost_bonus*TblMili[[#This Row],[WG''s]],4),wg_wiz_cost_cap) + tech_1_9_2*TblTech[[#This Row],[1-9]] + tech_9_1_2*TblTech[[#This Row],[9-1]])*archmage_plat,0)</f>
        <v>1000</v>
      </c>
      <c r="BV89" s="145"/>
      <c r="BW89" s="160">
        <f ca="1">TblConstr[[#This Row],[Homeland]]/TblConstr[[#This Row],[Land]]</f>
        <v>0.44</v>
      </c>
      <c r="BX89" s="160">
        <f ca="1">TblMili[[#This Row],[WG''s]]</f>
        <v>0</v>
      </c>
      <c r="BY89" s="266">
        <f ca="1">IF(mystic_cap="none",TblMili[[#This Row],[Hill]]/mystic_bonus,MIN(mystic_cap,TblMili[[#This Row],[Hill]]/mystic_bonus))</f>
        <v>2.1999999999999997</v>
      </c>
      <c r="BZ89" s="266">
        <f ca="1">IF(druid_op_cap="none",TblMili[[#This Row],[Hill]]/druid_op_bonus,MIN(druid_op_cap,TblMili[[#This Row],[Hill]]/druid_op_bonus))</f>
        <v>2.1999999999999997</v>
      </c>
      <c r="CA89" s="266">
        <f ca="1">IF(druid_dp_cap="none",TblMili[[#This Row],[Hill]]/druid_dp_bonus,MIN(druid_dp_cap,TblMili[[#This Row],[Hill]]/druid_dp_bonus))</f>
        <v>2.1999999999999997</v>
      </c>
      <c r="CB89" s="266">
        <f ca="1">MIN(dryad_cap,TblMili[[#This Row],[Hill]]/dryad_bonus)</f>
        <v>2.1999999999999997</v>
      </c>
      <c r="CC89" s="266">
        <f ca="1">MIN(rocka_cap,TblMili[[#This Row],[Hill]]/rocka_bonus)</f>
        <v>2</v>
      </c>
      <c r="CD89" s="266">
        <f ca="1">MIN(adept_op_cap,TblMili[[#This Row],[WG]]/adept_op_bonus)</f>
        <v>0</v>
      </c>
      <c r="CE89" s="266">
        <f ca="1">MIN(adept_dp_cap,TblMili[[#This Row],[WG]]/adept_dp_bonus)</f>
        <v>0</v>
      </c>
      <c r="CF89" s="97">
        <f ca="1">MIN(TblMili[[#This Row],[Unit 3]],TblMili[[#This Row],[Unit 2]])*2</f>
        <v>0</v>
      </c>
      <c r="CG89" s="97">
        <f ca="1">MIN(TblMili[[#This Row],[Unit 1]],TblMili[[#This Row],[Unit 4]])*2</f>
        <v>0</v>
      </c>
      <c r="CH89" s="266">
        <f ca="1">MIN(frost_mage_cap,TblMili[[#This Row],[Hill]]/frost_mage_bonus)</f>
        <v>2.1999999999999997</v>
      </c>
      <c r="CI89" s="45">
        <f ca="1">MIN(ice_elem_cap,TblMili[[#This Row],[Raw (2)]]*ice_elem_bonus)</f>
        <v>0.1</v>
      </c>
      <c r="CJ89" s="266">
        <f t="shared" si="3"/>
        <v>0.83333333333333337</v>
      </c>
      <c r="CK89" s="266">
        <f ca="1">MIN(nox_nightshade_cap,TblConstr[[#This Row],[Homeland]]/TblConstr[[#This Row],[Land]]/nox_nightshade_swamp_bonus)</f>
        <v>4</v>
      </c>
      <c r="CL89" s="267"/>
      <c r="CM89" s="267"/>
      <c r="CN89" s="267"/>
      <c r="CO89" s="266">
        <f ca="1">MIN(6,TblMili[[#This Row],[Mystic]]+Races!$F$19)*1.8 +  IF(TblMili[[#This Row],[Mystic]]+Races!$F$19&gt;6,(TblMili[[#This Row],[Mystic]]+Races!$F$19-6)*0.2,0) - Races!$I$19</f>
        <v>3.6399999999999997</v>
      </c>
      <c r="CP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9" s="97">
        <f ca="1">TblMili[[#This Row],[Mystic bonus]]*TblMili[[#This Row],[Unit 3]]+TblMili[[#This Row],[Druid bonus]]*TblMili[[#This Row],[Unit 4]]</f>
        <v>0</v>
      </c>
      <c r="CR89" s="158">
        <f ca="1">MIN(6,TblMili[[#This Row],[Dryad]]+Races!$F$35)*1.8 +  IF(TblMili[[#This Row],[Dryad]]+Races!$F$35&gt;6,(TblMili[[#This Row],[Dryad]]+Races!$F$35-6)*0.2,0) - Races!$I$19</f>
        <v>2.1599999999999993</v>
      </c>
      <c r="CS89" s="97">
        <f ca="1">sylvan*(TblMili[[#This Row],[Mystic bonus]]*TblMili[[#This Row],[Unit 3]])</f>
        <v>0</v>
      </c>
      <c r="CT89" s="158">
        <f ca="1">1.8 * MIN(MAX(Races!$E$27,TblMili[[#This Row],[Rockapult]]+Races!$F$27),6)  +  0.45 * MIN(MIN(Races!$E$27,TblMili[[#This Row],[Rockapult]]+Races!$F$27),6)  +  0.2 * ( MAX(Races!$E$27-6,0) + MAX(TblMili[[#This Row],[Rockapult]]+Races!$F$27-6,0) )  -  Races!$I$20</f>
        <v>5.8500000000000005</v>
      </c>
      <c r="CU89" s="97">
        <f ca="1">gnome*(TblMili[[#This Row],[Rockapult bonus]]*TblMili[[#This Row],[Unit 3]])</f>
        <v>0</v>
      </c>
      <c r="CV89" s="158">
        <f ca="1">1.8 * MIN(MAX(TblMili[[#This Row],[Spellblade]]+Races!$E$47,TblMili[[#This Row],[Adept-DP]]+Races!$F$47),6)  +  0.45 * MIN(MIN(TblMili[[#This Row],[Spellblade]]+Races!$E$47,TblMili[[#This Row],[Adept-DP]]+Races!$F$47),6)  +  0.2 * ( MAX(TblMili[[#This Row],[Spellblade]]+Races!$E$47-6,0) + MAX(TblMili[[#This Row],[Adept-DP]]+Races!$F$47-6,0) )  -  Races!$I$47</f>
        <v>0</v>
      </c>
      <c r="CW89" s="97">
        <f ca="1">dark_elf*(TblMili[[#This Row],[Adept bonus]]*TblMili[[#This Row],[Unit 3]])</f>
        <v>0</v>
      </c>
      <c r="CX89" s="158">
        <f ca="1">1.8 * MIN(MAX(TblMili[[#This Row],[Frost Mage]]+Races!$F$71,Races!$E$71),6)  +  0.45 * MIN(MIN(TblMili[[#This Row],[Frost Mage]]+Races!$F$71,Races!$E$71),6)  +  0.2 * ( MAX(TblMili[[#This Row],[Frost Mage]]+Races!$F$71-6,0) + MAX(Races!$E$71-6,0) )  -  Races!$I$71</f>
        <v>3.9599999999999991</v>
      </c>
      <c r="CY89" s="158">
        <f ca="1">1.8 * MIN(MAX(TblMili[[#This Row],[Ice Elemental]]+Races!$E$71,Races!$F$71),6)  +  0.45 * MIN(MIN(TblMili[[#This Row],[Ice Elemental]]+Races!$E$71,Races!$F$71),6)  +  0.2 * ( MAX(TblMili[[#This Row],[Ice Elemental]]+Races!$E$71-6,0) + MAX(Races!$F$71-6,0) )  -  Races!$I$71</f>
        <v>0.17999999999999972</v>
      </c>
      <c r="CZ89" s="97">
        <f ca="1">TblMili[[#This Row],[Frost Mage bonus]]*TblMili[[#This Row],[Unit 3]]+TblMili[[#This Row],[Ice Elemental bonus]]*TblMili[[#This Row],[Unit 4]]</f>
        <v>0</v>
      </c>
      <c r="DA89" s="268"/>
      <c r="DB89" s="146">
        <f ca="1">MIN(SUM(TblConstr[[#This Row],[Plain]:[Water]])/TblMili[[#This Row],[Land]]/favorable_terrain_bonus/100,favorable_terrain_max)</f>
        <v>0.1</v>
      </c>
      <c r="DC89" s="268"/>
      <c r="DD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9" s="145"/>
      <c r="DF89" s="269">
        <f ca="1">(TblMili[[#This Row],[Wizards]]+2*TblMili[[#This Row],[Archmages]])/TblConstr[[#This Row],[Land]]</f>
        <v>0.1</v>
      </c>
      <c r="DG89" s="269">
        <f ca="1">TblMili[[#This Row],[Raw (2)]]*(1+race_wizard_strength+IF(TblMili[[#This Row],[Hour]]&gt;72,tech_magical_weaponry_wiz*TblTech[[#This Row],[3-5]],0))</f>
        <v>0.1</v>
      </c>
    </row>
    <row r="90" spans="1:111"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45461.583333333125</v>
      </c>
      <c r="AG90" s="182"/>
      <c r="AH90" s="182"/>
      <c r="AI90" s="182"/>
      <c r="AJ90" s="182"/>
      <c r="AK90" s="182"/>
      <c r="AL90" s="182"/>
      <c r="AM90" s="182"/>
      <c r="AN90" s="182"/>
      <c r="AO90" s="449">
        <f ca="1">IF(AND(TblMagic[[#This Row],[Active DnD]]&lt;12,TblMagic[[#This Row],[Active DnD]]&gt;5),OFFSET(TblPop[[#This Row],[Draft Growth]],-1,0)/2,0)</f>
        <v>0</v>
      </c>
      <c r="AP90" s="145"/>
      <c r="AQ90" s="97">
        <f ca="1">TblProd[[#This Row],[Platinum]]</f>
        <v>592674</v>
      </c>
      <c r="AR90" s="97">
        <f ca="1">INDEX(TblProd[[#Headers],[Lumber]]:TblProd[[#This Row],[Ore]],COUNTA(TblProd[[#Headers],[Lumber]]:TblProd[[#This Row],[Lumber]]),MATCH(Military!$AQ$2,TblProd[[#Headers],[Lumber]:[Ore]],0))</f>
        <v>0</v>
      </c>
      <c r="AS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7">
        <f ca="1">TblMili[[#This Row],[Train Unit 1]]*TblMili[[#This Row],[OP Ore]]+TblMili[[#This Row],[Train Unit 2]]*TblMili[[#This Row],[DP Ore]]+TblMili[[#This Row],[Train Unit 3]]*TblMili[[#This Row],[E1 Ore]]+TblMili[[#This Row],[Train Unit 4]]*TblMili[[#This Row],[E2 Ore]]</f>
        <v>0</v>
      </c>
      <c r="AU90" s="145">
        <f>TblMili[[#This Row],[Hour]]</f>
        <v>87</v>
      </c>
      <c r="AV90" s="155">
        <f ca="1">TblMili[[#This Row],[Time]]</f>
        <v>45461.583333333125</v>
      </c>
      <c r="AW90" s="97">
        <f ca="1">TblMili[[#This Row],[Draftees]]</f>
        <v>626</v>
      </c>
      <c r="AX90" s="182"/>
      <c r="AY90" s="182"/>
      <c r="AZ90" s="182"/>
      <c r="BA90" s="182"/>
      <c r="BB90" s="182"/>
      <c r="BC90" s="182"/>
      <c r="BD90" s="182"/>
      <c r="BE90" s="182"/>
      <c r="BF90" s="182"/>
      <c r="BG90" s="145"/>
      <c r="BH90" s="160">
        <f ca="1">TblConstr[[#This Row],[Tot WG]]/TblConstr[[#This Row],[Land]]</f>
        <v>0</v>
      </c>
      <c r="BI90" s="160">
        <f ca="1">TblConstr[[#This Row],[Tot Hav]]/TblConstr[[#This Row],[Land]]</f>
        <v>0</v>
      </c>
      <c r="BJ90" s="97">
        <f ca="1">ROUNDUP((1-MIN(TblMili[[#This Row],[Smithies]]*smithy_bonus,smithy_bonus_cap) + tech_3_5*TblTech[[#This Row],[3-5]] + tech_5_3*TblTech[[#This Row],[5-3]] + tech_5_5*TblTech[[#This Row],[5-5]])*spec_op_plat,0)</f>
        <v>275</v>
      </c>
      <c r="BK90" s="97">
        <f ca="1">ROUNDUP(IF(race="Gnome",1,(1-MIN(TblMili[[#This Row],[Smithies]]*smithy_bonus,smithy_bonus_cap) + tech_3_5*TblTech[[#This Row],[3-5]] + tech_5_3*TblTech[[#This Row],[5-3]] + tech_5_5*TblTech[[#This Row],[5-5]]))*spec_op_ore,0)</f>
        <v>25</v>
      </c>
      <c r="BL90" s="97">
        <f ca="1">ROUNDUP((1-MIN(TblMili[[#This Row],[Smithies]]*smithy_bonus,smithy_bonus_cap) + tech_3_5*TblTech[[#This Row],[3-5]] + tech_5_3*TblTech[[#This Row],[5-3]] + tech_5_5*TblTech[[#This Row],[5-5]])*spec_dp_plat,0)</f>
        <v>275</v>
      </c>
      <c r="BM90" s="97">
        <f ca="1">ROUNDUP(IF(race="Gnome",1,(1-MIN(TblMili[[#This Row],[Smithies]]*smithy_bonus,smithy_bonus_cap) + tech_3_5*TblTech[[#This Row],[3-5]] + tech_5_3*TblTech[[#This Row],[5-3]] + tech_5_5*TblTech[[#This Row],[5-5]]))*spec_dp_ore,0)</f>
        <v>15</v>
      </c>
      <c r="BN90" s="97">
        <f ca="1">ROUNDUP((1-MIN(TblMili[[#This Row],[Smithies]]*smithy_bonus,smithy_bonus_cap) + tech_3_5*TblTech[[#This Row],[3-5]] + tech_5_3*TblTech[[#This Row],[5-3]] + tech_5_5*TblTech[[#This Row],[5-5]])*elite1_plat,0)</f>
        <v>1000</v>
      </c>
      <c r="BO90" s="97">
        <f ca="1">ROUNDUP(IF(race="Gnome",1,(1-MIN(TblMili[[#This Row],[Smithies]]*smithy_bonus,smithy_bonus_cap) + tech_3_5*TblTech[[#This Row],[3-5]] + tech_5_3*TblTech[[#This Row],[5-3]] + tech_5_5*TblTech[[#This Row],[5-5]]))*elite1_ore,0)</f>
        <v>75</v>
      </c>
      <c r="BP90" s="97">
        <f ca="1">ROUNDUP((1-MIN(TblMili[[#This Row],[Smithies]]*smithy_bonus,smithy_bonus_cap) + tech_3_5*TblTech[[#This Row],[3-5]] + tech_5_3*TblTech[[#This Row],[5-3]] + tech_5_5*TblTech[[#This Row],[5-5]])*elite2_plat,0)</f>
        <v>1250</v>
      </c>
      <c r="BQ90" s="97">
        <f ca="1">ROUNDUP(IF(race="Gnome",1,(1-MIN(TblMili[[#This Row],[Smithies]]*smithy_bonus,smithy_bonus_cap) + tech_3_5*TblTech[[#This Row],[3-5]] + tech_5_3*TblTech[[#This Row],[5-3]] + tech_5_5*TblTech[[#This Row],[5-5]]))*elite2_ore,0)</f>
        <v>100</v>
      </c>
      <c r="BR90" s="97">
        <f ca="1">ROUNDUP((1-MIN(ROUND(fh_spy_cost_red*TblMili[[#This Row],[FH''s]],4),fh_spy_cost_cap)+ tech_1_9*TblTech[[#This Row],[1-9]] + tech_9_1*TblTech[[#This Row],[9-1]])*spy_plat,0)</f>
        <v>500</v>
      </c>
      <c r="BS90" s="97">
        <f ca="1">ROUNDUP((1-MIN(ROUND(fh_spy_cost_red*TblMili[[#This Row],[FH''s]],4),fh_spy_cost_cap)+ tech_1_9*TblTech[[#This Row],[1-9]] + tech_9_1*TblTech[[#This Row],[9-1]])*archspy_plat,0)</f>
        <v>1000</v>
      </c>
      <c r="BT90" s="97">
        <f ca="1">ROUNDUP((1-MIN(ROUND(wg_wiz_cost_bonus*TblMili[[#This Row],[WG''s]],4),wg_wiz_cost_cap) + tech_1_9_2*TblTech[[#This Row],[1-9]] + tech_9_1_2*TblTech[[#This Row],[9-1]])*wizard_plat,0)</f>
        <v>500</v>
      </c>
      <c r="BU90" s="97">
        <f ca="1">ROUNDUP((1-MIN(ROUND(wg_wiz_cost_bonus*TblMili[[#This Row],[WG''s]],4),wg_wiz_cost_cap) + tech_1_9_2*TblTech[[#This Row],[1-9]] + tech_9_1_2*TblTech[[#This Row],[9-1]])*archmage_plat,0)</f>
        <v>1000</v>
      </c>
      <c r="BV90" s="145"/>
      <c r="BW90" s="160">
        <f ca="1">TblConstr[[#This Row],[Homeland]]/TblConstr[[#This Row],[Land]]</f>
        <v>0.44</v>
      </c>
      <c r="BX90" s="160">
        <f ca="1">TblMili[[#This Row],[WG''s]]</f>
        <v>0</v>
      </c>
      <c r="BY90" s="266">
        <f ca="1">IF(mystic_cap="none",TblMili[[#This Row],[Hill]]/mystic_bonus,MIN(mystic_cap,TblMili[[#This Row],[Hill]]/mystic_bonus))</f>
        <v>2.1999999999999997</v>
      </c>
      <c r="BZ90" s="266">
        <f ca="1">IF(druid_op_cap="none",TblMili[[#This Row],[Hill]]/druid_op_bonus,MIN(druid_op_cap,TblMili[[#This Row],[Hill]]/druid_op_bonus))</f>
        <v>2.1999999999999997</v>
      </c>
      <c r="CA90" s="266">
        <f ca="1">IF(druid_dp_cap="none",TblMili[[#This Row],[Hill]]/druid_dp_bonus,MIN(druid_dp_cap,TblMili[[#This Row],[Hill]]/druid_dp_bonus))</f>
        <v>2.1999999999999997</v>
      </c>
      <c r="CB90" s="266">
        <f ca="1">MIN(dryad_cap,TblMili[[#This Row],[Hill]]/dryad_bonus)</f>
        <v>2.1999999999999997</v>
      </c>
      <c r="CC90" s="266">
        <f ca="1">MIN(rocka_cap,TblMili[[#This Row],[Hill]]/rocka_bonus)</f>
        <v>2</v>
      </c>
      <c r="CD90" s="266">
        <f ca="1">MIN(adept_op_cap,TblMili[[#This Row],[WG]]/adept_op_bonus)</f>
        <v>0</v>
      </c>
      <c r="CE90" s="266">
        <f ca="1">MIN(adept_dp_cap,TblMili[[#This Row],[WG]]/adept_dp_bonus)</f>
        <v>0</v>
      </c>
      <c r="CF90" s="97">
        <f ca="1">MIN(TblMili[[#This Row],[Unit 3]],TblMili[[#This Row],[Unit 2]])*2</f>
        <v>0</v>
      </c>
      <c r="CG90" s="97">
        <f ca="1">MIN(TblMili[[#This Row],[Unit 1]],TblMili[[#This Row],[Unit 4]])*2</f>
        <v>0</v>
      </c>
      <c r="CH90" s="266">
        <f ca="1">MIN(frost_mage_cap,TblMili[[#This Row],[Hill]]/frost_mage_bonus)</f>
        <v>2.1999999999999997</v>
      </c>
      <c r="CI90" s="45">
        <f ca="1">MIN(ice_elem_cap,TblMili[[#This Row],[Raw (2)]]*ice_elem_bonus)</f>
        <v>0.1</v>
      </c>
      <c r="CJ90" s="266">
        <f t="shared" si="3"/>
        <v>0.83333333333333337</v>
      </c>
      <c r="CK90" s="266">
        <f ca="1">MIN(nox_nightshade_cap,TblConstr[[#This Row],[Homeland]]/TblConstr[[#This Row],[Land]]/nox_nightshade_swamp_bonus)</f>
        <v>4</v>
      </c>
      <c r="CL90" s="267"/>
      <c r="CM90" s="267"/>
      <c r="CN90" s="267"/>
      <c r="CO90" s="266">
        <f ca="1">MIN(6,TblMili[[#This Row],[Mystic]]+Races!$F$19)*1.8 +  IF(TblMili[[#This Row],[Mystic]]+Races!$F$19&gt;6,(TblMili[[#This Row],[Mystic]]+Races!$F$19-6)*0.2,0) - Races!$I$19</f>
        <v>3.6399999999999997</v>
      </c>
      <c r="CP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0" s="97">
        <f ca="1">TblMili[[#This Row],[Mystic bonus]]*TblMili[[#This Row],[Unit 3]]+TblMili[[#This Row],[Druid bonus]]*TblMili[[#This Row],[Unit 4]]</f>
        <v>0</v>
      </c>
      <c r="CR90" s="158">
        <f ca="1">MIN(6,TblMili[[#This Row],[Dryad]]+Races!$F$35)*1.8 +  IF(TblMili[[#This Row],[Dryad]]+Races!$F$35&gt;6,(TblMili[[#This Row],[Dryad]]+Races!$F$35-6)*0.2,0) - Races!$I$19</f>
        <v>2.1599999999999993</v>
      </c>
      <c r="CS90" s="97">
        <f ca="1">sylvan*(TblMili[[#This Row],[Mystic bonus]]*TblMili[[#This Row],[Unit 3]])</f>
        <v>0</v>
      </c>
      <c r="CT90" s="158">
        <f ca="1">1.8 * MIN(MAX(Races!$E$27,TblMili[[#This Row],[Rockapult]]+Races!$F$27),6)  +  0.45 * MIN(MIN(Races!$E$27,TblMili[[#This Row],[Rockapult]]+Races!$F$27),6)  +  0.2 * ( MAX(Races!$E$27-6,0) + MAX(TblMili[[#This Row],[Rockapult]]+Races!$F$27-6,0) )  -  Races!$I$20</f>
        <v>5.8500000000000005</v>
      </c>
      <c r="CU90" s="97">
        <f ca="1">gnome*(TblMili[[#This Row],[Rockapult bonus]]*TblMili[[#This Row],[Unit 3]])</f>
        <v>0</v>
      </c>
      <c r="CV90" s="158">
        <f ca="1">1.8 * MIN(MAX(TblMili[[#This Row],[Spellblade]]+Races!$E$47,TblMili[[#This Row],[Adept-DP]]+Races!$F$47),6)  +  0.45 * MIN(MIN(TblMili[[#This Row],[Spellblade]]+Races!$E$47,TblMili[[#This Row],[Adept-DP]]+Races!$F$47),6)  +  0.2 * ( MAX(TblMili[[#This Row],[Spellblade]]+Races!$E$47-6,0) + MAX(TblMili[[#This Row],[Adept-DP]]+Races!$F$47-6,0) )  -  Races!$I$47</f>
        <v>0</v>
      </c>
      <c r="CW90" s="97">
        <f ca="1">dark_elf*(TblMili[[#This Row],[Adept bonus]]*TblMili[[#This Row],[Unit 3]])</f>
        <v>0</v>
      </c>
      <c r="CX90" s="158">
        <f ca="1">1.8 * MIN(MAX(TblMili[[#This Row],[Frost Mage]]+Races!$F$71,Races!$E$71),6)  +  0.45 * MIN(MIN(TblMili[[#This Row],[Frost Mage]]+Races!$F$71,Races!$E$71),6)  +  0.2 * ( MAX(TblMili[[#This Row],[Frost Mage]]+Races!$F$71-6,0) + MAX(Races!$E$71-6,0) )  -  Races!$I$71</f>
        <v>3.9599999999999991</v>
      </c>
      <c r="CY90" s="158">
        <f ca="1">1.8 * MIN(MAX(TblMili[[#This Row],[Ice Elemental]]+Races!$E$71,Races!$F$71),6)  +  0.45 * MIN(MIN(TblMili[[#This Row],[Ice Elemental]]+Races!$E$71,Races!$F$71),6)  +  0.2 * ( MAX(TblMili[[#This Row],[Ice Elemental]]+Races!$E$71-6,0) + MAX(Races!$F$71-6,0) )  -  Races!$I$71</f>
        <v>0.17999999999999972</v>
      </c>
      <c r="CZ90" s="97">
        <f ca="1">TblMili[[#This Row],[Frost Mage bonus]]*TblMili[[#This Row],[Unit 3]]+TblMili[[#This Row],[Ice Elemental bonus]]*TblMili[[#This Row],[Unit 4]]</f>
        <v>0</v>
      </c>
      <c r="DA90" s="268"/>
      <c r="DB90" s="146">
        <f ca="1">MIN(SUM(TblConstr[[#This Row],[Plain]:[Water]])/TblMili[[#This Row],[Land]]/favorable_terrain_bonus/100,favorable_terrain_max)</f>
        <v>0.1</v>
      </c>
      <c r="DC90" s="268"/>
      <c r="DD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0" s="145"/>
      <c r="DF90" s="269">
        <f ca="1">(TblMili[[#This Row],[Wizards]]+2*TblMili[[#This Row],[Archmages]])/TblConstr[[#This Row],[Land]]</f>
        <v>0.1</v>
      </c>
      <c r="DG90" s="269">
        <f ca="1">TblMili[[#This Row],[Raw (2)]]*(1+race_wizard_strength+IF(TblMili[[#This Row],[Hour]]&gt;72,tech_magical_weaponry_wiz*TblTech[[#This Row],[3-5]],0))</f>
        <v>0.1</v>
      </c>
    </row>
    <row r="91" spans="1:111"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45461.624999999789</v>
      </c>
      <c r="AG91" s="182"/>
      <c r="AH91" s="182"/>
      <c r="AI91" s="182"/>
      <c r="AJ91" s="182"/>
      <c r="AK91" s="182"/>
      <c r="AL91" s="182"/>
      <c r="AM91" s="182"/>
      <c r="AN91" s="182"/>
      <c r="AO91" s="449">
        <f ca="1">IF(AND(TblMagic[[#This Row],[Active DnD]]&lt;12,TblMagic[[#This Row],[Active DnD]]&gt;5),OFFSET(TblPop[[#This Row],[Draft Growth]],-1,0)/2,0)</f>
        <v>0</v>
      </c>
      <c r="AP91" s="145"/>
      <c r="AQ91" s="97">
        <f ca="1">TblProd[[#This Row],[Platinum]]</f>
        <v>598160</v>
      </c>
      <c r="AR91" s="97">
        <f ca="1">INDEX(TblProd[[#Headers],[Lumber]]:TblProd[[#This Row],[Ore]],COUNTA(TblProd[[#Headers],[Lumber]]:TblProd[[#This Row],[Lumber]]),MATCH(Military!$AQ$2,TblProd[[#Headers],[Lumber]:[Ore]],0))</f>
        <v>0</v>
      </c>
      <c r="AS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7">
        <f ca="1">TblMili[[#This Row],[Train Unit 1]]*TblMili[[#This Row],[OP Ore]]+TblMili[[#This Row],[Train Unit 2]]*TblMili[[#This Row],[DP Ore]]+TblMili[[#This Row],[Train Unit 3]]*TblMili[[#This Row],[E1 Ore]]+TblMili[[#This Row],[Train Unit 4]]*TblMili[[#This Row],[E2 Ore]]</f>
        <v>0</v>
      </c>
      <c r="AU91" s="145">
        <f>TblMili[[#This Row],[Hour]]</f>
        <v>88</v>
      </c>
      <c r="AV91" s="155">
        <f ca="1">TblMili[[#This Row],[Time]]</f>
        <v>45461.624999999789</v>
      </c>
      <c r="AW91" s="97">
        <f ca="1">TblMili[[#This Row],[Draftees]]</f>
        <v>626</v>
      </c>
      <c r="AX91" s="182"/>
      <c r="AY91" s="182"/>
      <c r="AZ91" s="182"/>
      <c r="BA91" s="182"/>
      <c r="BB91" s="182"/>
      <c r="BC91" s="182"/>
      <c r="BD91" s="182"/>
      <c r="BE91" s="182"/>
      <c r="BF91" s="182"/>
      <c r="BG91" s="145"/>
      <c r="BH91" s="160">
        <f ca="1">TblConstr[[#This Row],[Tot WG]]/TblConstr[[#This Row],[Land]]</f>
        <v>0</v>
      </c>
      <c r="BI91" s="160">
        <f ca="1">TblConstr[[#This Row],[Tot Hav]]/TblConstr[[#This Row],[Land]]</f>
        <v>0</v>
      </c>
      <c r="BJ91" s="97">
        <f ca="1">ROUNDUP((1-MIN(TblMili[[#This Row],[Smithies]]*smithy_bonus,smithy_bonus_cap) + tech_3_5*TblTech[[#This Row],[3-5]] + tech_5_3*TblTech[[#This Row],[5-3]] + tech_5_5*TblTech[[#This Row],[5-5]])*spec_op_plat,0)</f>
        <v>275</v>
      </c>
      <c r="BK91" s="97">
        <f ca="1">ROUNDUP(IF(race="Gnome",1,(1-MIN(TblMili[[#This Row],[Smithies]]*smithy_bonus,smithy_bonus_cap) + tech_3_5*TblTech[[#This Row],[3-5]] + tech_5_3*TblTech[[#This Row],[5-3]] + tech_5_5*TblTech[[#This Row],[5-5]]))*spec_op_ore,0)</f>
        <v>25</v>
      </c>
      <c r="BL91" s="97">
        <f ca="1">ROUNDUP((1-MIN(TblMili[[#This Row],[Smithies]]*smithy_bonus,smithy_bonus_cap) + tech_3_5*TblTech[[#This Row],[3-5]] + tech_5_3*TblTech[[#This Row],[5-3]] + tech_5_5*TblTech[[#This Row],[5-5]])*spec_dp_plat,0)</f>
        <v>275</v>
      </c>
      <c r="BM91" s="97">
        <f ca="1">ROUNDUP(IF(race="Gnome",1,(1-MIN(TblMili[[#This Row],[Smithies]]*smithy_bonus,smithy_bonus_cap) + tech_3_5*TblTech[[#This Row],[3-5]] + tech_5_3*TblTech[[#This Row],[5-3]] + tech_5_5*TblTech[[#This Row],[5-5]]))*spec_dp_ore,0)</f>
        <v>15</v>
      </c>
      <c r="BN91" s="97">
        <f ca="1">ROUNDUP((1-MIN(TblMili[[#This Row],[Smithies]]*smithy_bonus,smithy_bonus_cap) + tech_3_5*TblTech[[#This Row],[3-5]] + tech_5_3*TblTech[[#This Row],[5-3]] + tech_5_5*TblTech[[#This Row],[5-5]])*elite1_plat,0)</f>
        <v>1000</v>
      </c>
      <c r="BO91" s="97">
        <f ca="1">ROUNDUP(IF(race="Gnome",1,(1-MIN(TblMili[[#This Row],[Smithies]]*smithy_bonus,smithy_bonus_cap) + tech_3_5*TblTech[[#This Row],[3-5]] + tech_5_3*TblTech[[#This Row],[5-3]] + tech_5_5*TblTech[[#This Row],[5-5]]))*elite1_ore,0)</f>
        <v>75</v>
      </c>
      <c r="BP91" s="97">
        <f ca="1">ROUNDUP((1-MIN(TblMili[[#This Row],[Smithies]]*smithy_bonus,smithy_bonus_cap) + tech_3_5*TblTech[[#This Row],[3-5]] + tech_5_3*TblTech[[#This Row],[5-3]] + tech_5_5*TblTech[[#This Row],[5-5]])*elite2_plat,0)</f>
        <v>1250</v>
      </c>
      <c r="BQ91" s="97">
        <f ca="1">ROUNDUP(IF(race="Gnome",1,(1-MIN(TblMili[[#This Row],[Smithies]]*smithy_bonus,smithy_bonus_cap) + tech_3_5*TblTech[[#This Row],[3-5]] + tech_5_3*TblTech[[#This Row],[5-3]] + tech_5_5*TblTech[[#This Row],[5-5]]))*elite2_ore,0)</f>
        <v>100</v>
      </c>
      <c r="BR91" s="97">
        <f ca="1">ROUNDUP((1-MIN(ROUND(fh_spy_cost_red*TblMili[[#This Row],[FH''s]],4),fh_spy_cost_cap)+ tech_1_9*TblTech[[#This Row],[1-9]] + tech_9_1*TblTech[[#This Row],[9-1]])*spy_plat,0)</f>
        <v>500</v>
      </c>
      <c r="BS91" s="97">
        <f ca="1">ROUNDUP((1-MIN(ROUND(fh_spy_cost_red*TblMili[[#This Row],[FH''s]],4),fh_spy_cost_cap)+ tech_1_9*TblTech[[#This Row],[1-9]] + tech_9_1*TblTech[[#This Row],[9-1]])*archspy_plat,0)</f>
        <v>1000</v>
      </c>
      <c r="BT91" s="97">
        <f ca="1">ROUNDUP((1-MIN(ROUND(wg_wiz_cost_bonus*TblMili[[#This Row],[WG''s]],4),wg_wiz_cost_cap) + tech_1_9_2*TblTech[[#This Row],[1-9]] + tech_9_1_2*TblTech[[#This Row],[9-1]])*wizard_plat,0)</f>
        <v>500</v>
      </c>
      <c r="BU91" s="97">
        <f ca="1">ROUNDUP((1-MIN(ROUND(wg_wiz_cost_bonus*TblMili[[#This Row],[WG''s]],4),wg_wiz_cost_cap) + tech_1_9_2*TblTech[[#This Row],[1-9]] + tech_9_1_2*TblTech[[#This Row],[9-1]])*archmage_plat,0)</f>
        <v>1000</v>
      </c>
      <c r="BV91" s="145"/>
      <c r="BW91" s="160">
        <f ca="1">TblConstr[[#This Row],[Homeland]]/TblConstr[[#This Row],[Land]]</f>
        <v>0.44</v>
      </c>
      <c r="BX91" s="160">
        <f ca="1">TblMili[[#This Row],[WG''s]]</f>
        <v>0</v>
      </c>
      <c r="BY91" s="266">
        <f ca="1">IF(mystic_cap="none",TblMili[[#This Row],[Hill]]/mystic_bonus,MIN(mystic_cap,TblMili[[#This Row],[Hill]]/mystic_bonus))</f>
        <v>2.1999999999999997</v>
      </c>
      <c r="BZ91" s="266">
        <f ca="1">IF(druid_op_cap="none",TblMili[[#This Row],[Hill]]/druid_op_bonus,MIN(druid_op_cap,TblMili[[#This Row],[Hill]]/druid_op_bonus))</f>
        <v>2.1999999999999997</v>
      </c>
      <c r="CA91" s="266">
        <f ca="1">IF(druid_dp_cap="none",TblMili[[#This Row],[Hill]]/druid_dp_bonus,MIN(druid_dp_cap,TblMili[[#This Row],[Hill]]/druid_dp_bonus))</f>
        <v>2.1999999999999997</v>
      </c>
      <c r="CB91" s="266">
        <f ca="1">MIN(dryad_cap,TblMili[[#This Row],[Hill]]/dryad_bonus)</f>
        <v>2.1999999999999997</v>
      </c>
      <c r="CC91" s="266">
        <f ca="1">MIN(rocka_cap,TblMili[[#This Row],[Hill]]/rocka_bonus)</f>
        <v>2</v>
      </c>
      <c r="CD91" s="266">
        <f ca="1">MIN(adept_op_cap,TblMili[[#This Row],[WG]]/adept_op_bonus)</f>
        <v>0</v>
      </c>
      <c r="CE91" s="266">
        <f ca="1">MIN(adept_dp_cap,TblMili[[#This Row],[WG]]/adept_dp_bonus)</f>
        <v>0</v>
      </c>
      <c r="CF91" s="97">
        <f ca="1">MIN(TblMili[[#This Row],[Unit 3]],TblMili[[#This Row],[Unit 2]])*2</f>
        <v>0</v>
      </c>
      <c r="CG91" s="97">
        <f ca="1">MIN(TblMili[[#This Row],[Unit 1]],TblMili[[#This Row],[Unit 4]])*2</f>
        <v>0</v>
      </c>
      <c r="CH91" s="266">
        <f ca="1">MIN(frost_mage_cap,TblMili[[#This Row],[Hill]]/frost_mage_bonus)</f>
        <v>2.1999999999999997</v>
      </c>
      <c r="CI91" s="45">
        <f ca="1">MIN(ice_elem_cap,TblMili[[#This Row],[Raw (2)]]*ice_elem_bonus)</f>
        <v>0.1</v>
      </c>
      <c r="CJ91" s="266">
        <f t="shared" si="3"/>
        <v>0.83333333333333337</v>
      </c>
      <c r="CK91" s="266">
        <f ca="1">MIN(nox_nightshade_cap,TblConstr[[#This Row],[Homeland]]/TblConstr[[#This Row],[Land]]/nox_nightshade_swamp_bonus)</f>
        <v>4</v>
      </c>
      <c r="CL91" s="267"/>
      <c r="CM91" s="267"/>
      <c r="CN91" s="267"/>
      <c r="CO91" s="266">
        <f ca="1">MIN(6,TblMili[[#This Row],[Mystic]]+Races!$F$19)*1.8 +  IF(TblMili[[#This Row],[Mystic]]+Races!$F$19&gt;6,(TblMili[[#This Row],[Mystic]]+Races!$F$19-6)*0.2,0) - Races!$I$19</f>
        <v>3.6399999999999997</v>
      </c>
      <c r="CP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1" s="97">
        <f ca="1">TblMili[[#This Row],[Mystic bonus]]*TblMili[[#This Row],[Unit 3]]+TblMili[[#This Row],[Druid bonus]]*TblMili[[#This Row],[Unit 4]]</f>
        <v>0</v>
      </c>
      <c r="CR91" s="158">
        <f ca="1">MIN(6,TblMili[[#This Row],[Dryad]]+Races!$F$35)*1.8 +  IF(TblMili[[#This Row],[Dryad]]+Races!$F$35&gt;6,(TblMili[[#This Row],[Dryad]]+Races!$F$35-6)*0.2,0) - Races!$I$19</f>
        <v>2.1599999999999993</v>
      </c>
      <c r="CS91" s="97">
        <f ca="1">sylvan*(TblMili[[#This Row],[Mystic bonus]]*TblMili[[#This Row],[Unit 3]])</f>
        <v>0</v>
      </c>
      <c r="CT91" s="158">
        <f ca="1">1.8 * MIN(MAX(Races!$E$27,TblMili[[#This Row],[Rockapult]]+Races!$F$27),6)  +  0.45 * MIN(MIN(Races!$E$27,TblMili[[#This Row],[Rockapult]]+Races!$F$27),6)  +  0.2 * ( MAX(Races!$E$27-6,0) + MAX(TblMili[[#This Row],[Rockapult]]+Races!$F$27-6,0) )  -  Races!$I$20</f>
        <v>5.8500000000000005</v>
      </c>
      <c r="CU91" s="97">
        <f ca="1">gnome*(TblMili[[#This Row],[Rockapult bonus]]*TblMili[[#This Row],[Unit 3]])</f>
        <v>0</v>
      </c>
      <c r="CV91" s="158">
        <f ca="1">1.8 * MIN(MAX(TblMili[[#This Row],[Spellblade]]+Races!$E$47,TblMili[[#This Row],[Adept-DP]]+Races!$F$47),6)  +  0.45 * MIN(MIN(TblMili[[#This Row],[Spellblade]]+Races!$E$47,TblMili[[#This Row],[Adept-DP]]+Races!$F$47),6)  +  0.2 * ( MAX(TblMili[[#This Row],[Spellblade]]+Races!$E$47-6,0) + MAX(TblMili[[#This Row],[Adept-DP]]+Races!$F$47-6,0) )  -  Races!$I$47</f>
        <v>0</v>
      </c>
      <c r="CW91" s="97">
        <f ca="1">dark_elf*(TblMili[[#This Row],[Adept bonus]]*TblMili[[#This Row],[Unit 3]])</f>
        <v>0</v>
      </c>
      <c r="CX91" s="158">
        <f ca="1">1.8 * MIN(MAX(TblMili[[#This Row],[Frost Mage]]+Races!$F$71,Races!$E$71),6)  +  0.45 * MIN(MIN(TblMili[[#This Row],[Frost Mage]]+Races!$F$71,Races!$E$71),6)  +  0.2 * ( MAX(TblMili[[#This Row],[Frost Mage]]+Races!$F$71-6,0) + MAX(Races!$E$71-6,0) )  -  Races!$I$71</f>
        <v>3.9599999999999991</v>
      </c>
      <c r="CY91" s="158">
        <f ca="1">1.8 * MIN(MAX(TblMili[[#This Row],[Ice Elemental]]+Races!$E$71,Races!$F$71),6)  +  0.45 * MIN(MIN(TblMili[[#This Row],[Ice Elemental]]+Races!$E$71,Races!$F$71),6)  +  0.2 * ( MAX(TblMili[[#This Row],[Ice Elemental]]+Races!$E$71-6,0) + MAX(Races!$F$71-6,0) )  -  Races!$I$71</f>
        <v>0.17999999999999972</v>
      </c>
      <c r="CZ91" s="97">
        <f ca="1">TblMili[[#This Row],[Frost Mage bonus]]*TblMili[[#This Row],[Unit 3]]+TblMili[[#This Row],[Ice Elemental bonus]]*TblMili[[#This Row],[Unit 4]]</f>
        <v>0</v>
      </c>
      <c r="DA91" s="268"/>
      <c r="DB91" s="146">
        <f ca="1">MIN(SUM(TblConstr[[#This Row],[Plain]:[Water]])/TblMili[[#This Row],[Land]]/favorable_terrain_bonus/100,favorable_terrain_max)</f>
        <v>0.1</v>
      </c>
      <c r="DC91" s="268"/>
      <c r="DD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1" s="145"/>
      <c r="DF91" s="269">
        <f ca="1">(TblMili[[#This Row],[Wizards]]+2*TblMili[[#This Row],[Archmages]])/TblConstr[[#This Row],[Land]]</f>
        <v>0.1</v>
      </c>
      <c r="DG91" s="269">
        <f ca="1">TblMili[[#This Row],[Raw (2)]]*(1+race_wizard_strength+IF(TblMili[[#This Row],[Hour]]&gt;72,tech_magical_weaponry_wiz*TblTech[[#This Row],[3-5]],0))</f>
        <v>0.1</v>
      </c>
    </row>
    <row r="92" spans="1:111"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45461.666666666453</v>
      </c>
      <c r="AG92" s="182"/>
      <c r="AH92" s="182"/>
      <c r="AI92" s="182"/>
      <c r="AJ92" s="182"/>
      <c r="AK92" s="182"/>
      <c r="AL92" s="182"/>
      <c r="AM92" s="182"/>
      <c r="AN92" s="182"/>
      <c r="AO92" s="449">
        <f ca="1">IF(AND(TblMagic[[#This Row],[Active DnD]]&lt;12,TblMagic[[#This Row],[Active DnD]]&gt;5),OFFSET(TblPop[[#This Row],[Draft Growth]],-1,0)/2,0)</f>
        <v>0</v>
      </c>
      <c r="AP92" s="145"/>
      <c r="AQ92" s="97">
        <f ca="1">TblProd[[#This Row],[Platinum]]</f>
        <v>603646</v>
      </c>
      <c r="AR92" s="97">
        <f ca="1">INDEX(TblProd[[#Headers],[Lumber]]:TblProd[[#This Row],[Ore]],COUNTA(TblProd[[#Headers],[Lumber]]:TblProd[[#This Row],[Lumber]]),MATCH(Military!$AQ$2,TblProd[[#Headers],[Lumber]:[Ore]],0))</f>
        <v>0</v>
      </c>
      <c r="AS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7">
        <f ca="1">TblMili[[#This Row],[Train Unit 1]]*TblMili[[#This Row],[OP Ore]]+TblMili[[#This Row],[Train Unit 2]]*TblMili[[#This Row],[DP Ore]]+TblMili[[#This Row],[Train Unit 3]]*TblMili[[#This Row],[E1 Ore]]+TblMili[[#This Row],[Train Unit 4]]*TblMili[[#This Row],[E2 Ore]]</f>
        <v>0</v>
      </c>
      <c r="AU92" s="145">
        <f>TblMili[[#This Row],[Hour]]</f>
        <v>89</v>
      </c>
      <c r="AV92" s="155">
        <f ca="1">TblMili[[#This Row],[Time]]</f>
        <v>45461.666666666453</v>
      </c>
      <c r="AW92" s="97">
        <f ca="1">TblMili[[#This Row],[Draftees]]</f>
        <v>626</v>
      </c>
      <c r="AX92" s="182"/>
      <c r="AY92" s="182"/>
      <c r="AZ92" s="182"/>
      <c r="BA92" s="182"/>
      <c r="BB92" s="182"/>
      <c r="BC92" s="182"/>
      <c r="BD92" s="182"/>
      <c r="BE92" s="182"/>
      <c r="BF92" s="182"/>
      <c r="BG92" s="145"/>
      <c r="BH92" s="160">
        <f ca="1">TblConstr[[#This Row],[Tot WG]]/TblConstr[[#This Row],[Land]]</f>
        <v>0</v>
      </c>
      <c r="BI92" s="160">
        <f ca="1">TblConstr[[#This Row],[Tot Hav]]/TblConstr[[#This Row],[Land]]</f>
        <v>0</v>
      </c>
      <c r="BJ92" s="97">
        <f ca="1">ROUNDUP((1-MIN(TblMili[[#This Row],[Smithies]]*smithy_bonus,smithy_bonus_cap) + tech_3_5*TblTech[[#This Row],[3-5]] + tech_5_3*TblTech[[#This Row],[5-3]] + tech_5_5*TblTech[[#This Row],[5-5]])*spec_op_plat,0)</f>
        <v>275</v>
      </c>
      <c r="BK92" s="97">
        <f ca="1">ROUNDUP(IF(race="Gnome",1,(1-MIN(TblMili[[#This Row],[Smithies]]*smithy_bonus,smithy_bonus_cap) + tech_3_5*TblTech[[#This Row],[3-5]] + tech_5_3*TblTech[[#This Row],[5-3]] + tech_5_5*TblTech[[#This Row],[5-5]]))*spec_op_ore,0)</f>
        <v>25</v>
      </c>
      <c r="BL92" s="97">
        <f ca="1">ROUNDUP((1-MIN(TblMili[[#This Row],[Smithies]]*smithy_bonus,smithy_bonus_cap) + tech_3_5*TblTech[[#This Row],[3-5]] + tech_5_3*TblTech[[#This Row],[5-3]] + tech_5_5*TblTech[[#This Row],[5-5]])*spec_dp_plat,0)</f>
        <v>275</v>
      </c>
      <c r="BM92" s="97">
        <f ca="1">ROUNDUP(IF(race="Gnome",1,(1-MIN(TblMili[[#This Row],[Smithies]]*smithy_bonus,smithy_bonus_cap) + tech_3_5*TblTech[[#This Row],[3-5]] + tech_5_3*TblTech[[#This Row],[5-3]] + tech_5_5*TblTech[[#This Row],[5-5]]))*spec_dp_ore,0)</f>
        <v>15</v>
      </c>
      <c r="BN92" s="97">
        <f ca="1">ROUNDUP((1-MIN(TblMili[[#This Row],[Smithies]]*smithy_bonus,smithy_bonus_cap) + tech_3_5*TblTech[[#This Row],[3-5]] + tech_5_3*TblTech[[#This Row],[5-3]] + tech_5_5*TblTech[[#This Row],[5-5]])*elite1_plat,0)</f>
        <v>1000</v>
      </c>
      <c r="BO92" s="97">
        <f ca="1">ROUNDUP(IF(race="Gnome",1,(1-MIN(TblMili[[#This Row],[Smithies]]*smithy_bonus,smithy_bonus_cap) + tech_3_5*TblTech[[#This Row],[3-5]] + tech_5_3*TblTech[[#This Row],[5-3]] + tech_5_5*TblTech[[#This Row],[5-5]]))*elite1_ore,0)</f>
        <v>75</v>
      </c>
      <c r="BP92" s="97">
        <f ca="1">ROUNDUP((1-MIN(TblMili[[#This Row],[Smithies]]*smithy_bonus,smithy_bonus_cap) + tech_3_5*TblTech[[#This Row],[3-5]] + tech_5_3*TblTech[[#This Row],[5-3]] + tech_5_5*TblTech[[#This Row],[5-5]])*elite2_plat,0)</f>
        <v>1250</v>
      </c>
      <c r="BQ92" s="97">
        <f ca="1">ROUNDUP(IF(race="Gnome",1,(1-MIN(TblMili[[#This Row],[Smithies]]*smithy_bonus,smithy_bonus_cap) + tech_3_5*TblTech[[#This Row],[3-5]] + tech_5_3*TblTech[[#This Row],[5-3]] + tech_5_5*TblTech[[#This Row],[5-5]]))*elite2_ore,0)</f>
        <v>100</v>
      </c>
      <c r="BR92" s="97">
        <f ca="1">ROUNDUP((1-MIN(ROUND(fh_spy_cost_red*TblMili[[#This Row],[FH''s]],4),fh_spy_cost_cap)+ tech_1_9*TblTech[[#This Row],[1-9]] + tech_9_1*TblTech[[#This Row],[9-1]])*spy_plat,0)</f>
        <v>500</v>
      </c>
      <c r="BS92" s="97">
        <f ca="1">ROUNDUP((1-MIN(ROUND(fh_spy_cost_red*TblMili[[#This Row],[FH''s]],4),fh_spy_cost_cap)+ tech_1_9*TblTech[[#This Row],[1-9]] + tech_9_1*TblTech[[#This Row],[9-1]])*archspy_plat,0)</f>
        <v>1000</v>
      </c>
      <c r="BT92" s="97">
        <f ca="1">ROUNDUP((1-MIN(ROUND(wg_wiz_cost_bonus*TblMili[[#This Row],[WG''s]],4),wg_wiz_cost_cap) + tech_1_9_2*TblTech[[#This Row],[1-9]] + tech_9_1_2*TblTech[[#This Row],[9-1]])*wizard_plat,0)</f>
        <v>500</v>
      </c>
      <c r="BU92" s="97">
        <f ca="1">ROUNDUP((1-MIN(ROUND(wg_wiz_cost_bonus*TblMili[[#This Row],[WG''s]],4),wg_wiz_cost_cap) + tech_1_9_2*TblTech[[#This Row],[1-9]] + tech_9_1_2*TblTech[[#This Row],[9-1]])*archmage_plat,0)</f>
        <v>1000</v>
      </c>
      <c r="BV92" s="145"/>
      <c r="BW92" s="160">
        <f ca="1">TblConstr[[#This Row],[Homeland]]/TblConstr[[#This Row],[Land]]</f>
        <v>0.44</v>
      </c>
      <c r="BX92" s="160">
        <f ca="1">TblMili[[#This Row],[WG''s]]</f>
        <v>0</v>
      </c>
      <c r="BY92" s="266">
        <f ca="1">IF(mystic_cap="none",TblMili[[#This Row],[Hill]]/mystic_bonus,MIN(mystic_cap,TblMili[[#This Row],[Hill]]/mystic_bonus))</f>
        <v>2.1999999999999997</v>
      </c>
      <c r="BZ92" s="266">
        <f ca="1">IF(druid_op_cap="none",TblMili[[#This Row],[Hill]]/druid_op_bonus,MIN(druid_op_cap,TblMili[[#This Row],[Hill]]/druid_op_bonus))</f>
        <v>2.1999999999999997</v>
      </c>
      <c r="CA92" s="266">
        <f ca="1">IF(druid_dp_cap="none",TblMili[[#This Row],[Hill]]/druid_dp_bonus,MIN(druid_dp_cap,TblMili[[#This Row],[Hill]]/druid_dp_bonus))</f>
        <v>2.1999999999999997</v>
      </c>
      <c r="CB92" s="266">
        <f ca="1">MIN(dryad_cap,TblMili[[#This Row],[Hill]]/dryad_bonus)</f>
        <v>2.1999999999999997</v>
      </c>
      <c r="CC92" s="266">
        <f ca="1">MIN(rocka_cap,TblMili[[#This Row],[Hill]]/rocka_bonus)</f>
        <v>2</v>
      </c>
      <c r="CD92" s="266">
        <f ca="1">MIN(adept_op_cap,TblMili[[#This Row],[WG]]/adept_op_bonus)</f>
        <v>0</v>
      </c>
      <c r="CE92" s="266">
        <f ca="1">MIN(adept_dp_cap,TblMili[[#This Row],[WG]]/adept_dp_bonus)</f>
        <v>0</v>
      </c>
      <c r="CF92" s="97">
        <f ca="1">MIN(TblMili[[#This Row],[Unit 3]],TblMili[[#This Row],[Unit 2]])*2</f>
        <v>0</v>
      </c>
      <c r="CG92" s="97">
        <f ca="1">MIN(TblMili[[#This Row],[Unit 1]],TblMili[[#This Row],[Unit 4]])*2</f>
        <v>0</v>
      </c>
      <c r="CH92" s="266">
        <f ca="1">MIN(frost_mage_cap,TblMili[[#This Row],[Hill]]/frost_mage_bonus)</f>
        <v>2.1999999999999997</v>
      </c>
      <c r="CI92" s="45">
        <f ca="1">MIN(ice_elem_cap,TblMili[[#This Row],[Raw (2)]]*ice_elem_bonus)</f>
        <v>0.1</v>
      </c>
      <c r="CJ92" s="266">
        <f t="shared" si="3"/>
        <v>0.83333333333333337</v>
      </c>
      <c r="CK92" s="266">
        <f ca="1">MIN(nox_nightshade_cap,TblConstr[[#This Row],[Homeland]]/TblConstr[[#This Row],[Land]]/nox_nightshade_swamp_bonus)</f>
        <v>4</v>
      </c>
      <c r="CL92" s="267"/>
      <c r="CM92" s="267"/>
      <c r="CN92" s="267"/>
      <c r="CO92" s="266">
        <f ca="1">MIN(6,TblMili[[#This Row],[Mystic]]+Races!$F$19)*1.8 +  IF(TblMili[[#This Row],[Mystic]]+Races!$F$19&gt;6,(TblMili[[#This Row],[Mystic]]+Races!$F$19-6)*0.2,0) - Races!$I$19</f>
        <v>3.6399999999999997</v>
      </c>
      <c r="CP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2" s="97">
        <f ca="1">TblMili[[#This Row],[Mystic bonus]]*TblMili[[#This Row],[Unit 3]]+TblMili[[#This Row],[Druid bonus]]*TblMili[[#This Row],[Unit 4]]</f>
        <v>0</v>
      </c>
      <c r="CR92" s="158">
        <f ca="1">MIN(6,TblMili[[#This Row],[Dryad]]+Races!$F$35)*1.8 +  IF(TblMili[[#This Row],[Dryad]]+Races!$F$35&gt;6,(TblMili[[#This Row],[Dryad]]+Races!$F$35-6)*0.2,0) - Races!$I$19</f>
        <v>2.1599999999999993</v>
      </c>
      <c r="CS92" s="97">
        <f ca="1">sylvan*(TblMili[[#This Row],[Mystic bonus]]*TblMili[[#This Row],[Unit 3]])</f>
        <v>0</v>
      </c>
      <c r="CT92" s="158">
        <f ca="1">1.8 * MIN(MAX(Races!$E$27,TblMili[[#This Row],[Rockapult]]+Races!$F$27),6)  +  0.45 * MIN(MIN(Races!$E$27,TblMili[[#This Row],[Rockapult]]+Races!$F$27),6)  +  0.2 * ( MAX(Races!$E$27-6,0) + MAX(TblMili[[#This Row],[Rockapult]]+Races!$F$27-6,0) )  -  Races!$I$20</f>
        <v>5.8500000000000005</v>
      </c>
      <c r="CU92" s="97">
        <f ca="1">gnome*(TblMili[[#This Row],[Rockapult bonus]]*TblMili[[#This Row],[Unit 3]])</f>
        <v>0</v>
      </c>
      <c r="CV92" s="158">
        <f ca="1">1.8 * MIN(MAX(TblMili[[#This Row],[Spellblade]]+Races!$E$47,TblMili[[#This Row],[Adept-DP]]+Races!$F$47),6)  +  0.45 * MIN(MIN(TblMili[[#This Row],[Spellblade]]+Races!$E$47,TblMili[[#This Row],[Adept-DP]]+Races!$F$47),6)  +  0.2 * ( MAX(TblMili[[#This Row],[Spellblade]]+Races!$E$47-6,0) + MAX(TblMili[[#This Row],[Adept-DP]]+Races!$F$47-6,0) )  -  Races!$I$47</f>
        <v>0</v>
      </c>
      <c r="CW92" s="97">
        <f ca="1">dark_elf*(TblMili[[#This Row],[Adept bonus]]*TblMili[[#This Row],[Unit 3]])</f>
        <v>0</v>
      </c>
      <c r="CX92" s="158">
        <f ca="1">1.8 * MIN(MAX(TblMili[[#This Row],[Frost Mage]]+Races!$F$71,Races!$E$71),6)  +  0.45 * MIN(MIN(TblMili[[#This Row],[Frost Mage]]+Races!$F$71,Races!$E$71),6)  +  0.2 * ( MAX(TblMili[[#This Row],[Frost Mage]]+Races!$F$71-6,0) + MAX(Races!$E$71-6,0) )  -  Races!$I$71</f>
        <v>3.9599999999999991</v>
      </c>
      <c r="CY92" s="158">
        <f ca="1">1.8 * MIN(MAX(TblMili[[#This Row],[Ice Elemental]]+Races!$E$71,Races!$F$71),6)  +  0.45 * MIN(MIN(TblMili[[#This Row],[Ice Elemental]]+Races!$E$71,Races!$F$71),6)  +  0.2 * ( MAX(TblMili[[#This Row],[Ice Elemental]]+Races!$E$71-6,0) + MAX(Races!$F$71-6,0) )  -  Races!$I$71</f>
        <v>0.17999999999999972</v>
      </c>
      <c r="CZ92" s="97">
        <f ca="1">TblMili[[#This Row],[Frost Mage bonus]]*TblMili[[#This Row],[Unit 3]]+TblMili[[#This Row],[Ice Elemental bonus]]*TblMili[[#This Row],[Unit 4]]</f>
        <v>0</v>
      </c>
      <c r="DA92" s="268"/>
      <c r="DB92" s="146">
        <f ca="1">MIN(SUM(TblConstr[[#This Row],[Plain]:[Water]])/TblMili[[#This Row],[Land]]/favorable_terrain_bonus/100,favorable_terrain_max)</f>
        <v>0.1</v>
      </c>
      <c r="DC92" s="268"/>
      <c r="DD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2" s="145"/>
      <c r="DF92" s="269">
        <f ca="1">(TblMili[[#This Row],[Wizards]]+2*TblMili[[#This Row],[Archmages]])/TblConstr[[#This Row],[Land]]</f>
        <v>0.1</v>
      </c>
      <c r="DG92" s="269">
        <f ca="1">TblMili[[#This Row],[Raw (2)]]*(1+race_wizard_strength+IF(TblMili[[#This Row],[Hour]]&gt;72,tech_magical_weaponry_wiz*TblTech[[#This Row],[3-5]],0))</f>
        <v>0.1</v>
      </c>
    </row>
    <row r="93" spans="1:111"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45461.708333333117</v>
      </c>
      <c r="AG93" s="182"/>
      <c r="AH93" s="182"/>
      <c r="AI93" s="182"/>
      <c r="AJ93" s="182"/>
      <c r="AK93" s="182"/>
      <c r="AL93" s="182"/>
      <c r="AM93" s="182"/>
      <c r="AN93" s="182"/>
      <c r="AO93" s="449">
        <f ca="1">IF(AND(TblMagic[[#This Row],[Active DnD]]&lt;12,TblMagic[[#This Row],[Active DnD]]&gt;5),OFFSET(TblPop[[#This Row],[Draft Growth]],-1,0)/2,0)</f>
        <v>0</v>
      </c>
      <c r="AP93" s="145"/>
      <c r="AQ93" s="97">
        <f ca="1">TblProd[[#This Row],[Platinum]]</f>
        <v>609132</v>
      </c>
      <c r="AR93" s="97">
        <f ca="1">INDEX(TblProd[[#Headers],[Lumber]]:TblProd[[#This Row],[Ore]],COUNTA(TblProd[[#Headers],[Lumber]]:TblProd[[#This Row],[Lumber]]),MATCH(Military!$AQ$2,TblProd[[#Headers],[Lumber]:[Ore]],0))</f>
        <v>0</v>
      </c>
      <c r="AS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7">
        <f ca="1">TblMili[[#This Row],[Train Unit 1]]*TblMili[[#This Row],[OP Ore]]+TblMili[[#This Row],[Train Unit 2]]*TblMili[[#This Row],[DP Ore]]+TblMili[[#This Row],[Train Unit 3]]*TblMili[[#This Row],[E1 Ore]]+TblMili[[#This Row],[Train Unit 4]]*TblMili[[#This Row],[E2 Ore]]</f>
        <v>0</v>
      </c>
      <c r="AU93" s="145">
        <f>TblMili[[#This Row],[Hour]]</f>
        <v>90</v>
      </c>
      <c r="AV93" s="155">
        <f ca="1">TblMili[[#This Row],[Time]]</f>
        <v>45461.708333333117</v>
      </c>
      <c r="AW93" s="97">
        <f ca="1">TblMili[[#This Row],[Draftees]]</f>
        <v>626</v>
      </c>
      <c r="AX93" s="182"/>
      <c r="AY93" s="182"/>
      <c r="AZ93" s="182"/>
      <c r="BA93" s="182"/>
      <c r="BB93" s="182"/>
      <c r="BC93" s="182"/>
      <c r="BD93" s="182"/>
      <c r="BE93" s="182"/>
      <c r="BF93" s="182"/>
      <c r="BG93" s="145"/>
      <c r="BH93" s="160">
        <f ca="1">TblConstr[[#This Row],[Tot WG]]/TblConstr[[#This Row],[Land]]</f>
        <v>0</v>
      </c>
      <c r="BI93" s="160">
        <f ca="1">TblConstr[[#This Row],[Tot Hav]]/TblConstr[[#This Row],[Land]]</f>
        <v>0</v>
      </c>
      <c r="BJ93" s="97">
        <f ca="1">ROUNDUP((1-MIN(TblMili[[#This Row],[Smithies]]*smithy_bonus,smithy_bonus_cap) + tech_3_5*TblTech[[#This Row],[3-5]] + tech_5_3*TblTech[[#This Row],[5-3]] + tech_5_5*TblTech[[#This Row],[5-5]])*spec_op_plat,0)</f>
        <v>275</v>
      </c>
      <c r="BK93" s="97">
        <f ca="1">ROUNDUP(IF(race="Gnome",1,(1-MIN(TblMili[[#This Row],[Smithies]]*smithy_bonus,smithy_bonus_cap) + tech_3_5*TblTech[[#This Row],[3-5]] + tech_5_3*TblTech[[#This Row],[5-3]] + tech_5_5*TblTech[[#This Row],[5-5]]))*spec_op_ore,0)</f>
        <v>25</v>
      </c>
      <c r="BL93" s="97">
        <f ca="1">ROUNDUP((1-MIN(TblMili[[#This Row],[Smithies]]*smithy_bonus,smithy_bonus_cap) + tech_3_5*TblTech[[#This Row],[3-5]] + tech_5_3*TblTech[[#This Row],[5-3]] + tech_5_5*TblTech[[#This Row],[5-5]])*spec_dp_plat,0)</f>
        <v>275</v>
      </c>
      <c r="BM93" s="97">
        <f ca="1">ROUNDUP(IF(race="Gnome",1,(1-MIN(TblMili[[#This Row],[Smithies]]*smithy_bonus,smithy_bonus_cap) + tech_3_5*TblTech[[#This Row],[3-5]] + tech_5_3*TblTech[[#This Row],[5-3]] + tech_5_5*TblTech[[#This Row],[5-5]]))*spec_dp_ore,0)</f>
        <v>15</v>
      </c>
      <c r="BN93" s="97">
        <f ca="1">ROUNDUP((1-MIN(TblMili[[#This Row],[Smithies]]*smithy_bonus,smithy_bonus_cap) + tech_3_5*TblTech[[#This Row],[3-5]] + tech_5_3*TblTech[[#This Row],[5-3]] + tech_5_5*TblTech[[#This Row],[5-5]])*elite1_plat,0)</f>
        <v>1000</v>
      </c>
      <c r="BO93" s="97">
        <f ca="1">ROUNDUP(IF(race="Gnome",1,(1-MIN(TblMili[[#This Row],[Smithies]]*smithy_bonus,smithy_bonus_cap) + tech_3_5*TblTech[[#This Row],[3-5]] + tech_5_3*TblTech[[#This Row],[5-3]] + tech_5_5*TblTech[[#This Row],[5-5]]))*elite1_ore,0)</f>
        <v>75</v>
      </c>
      <c r="BP93" s="97">
        <f ca="1">ROUNDUP((1-MIN(TblMili[[#This Row],[Smithies]]*smithy_bonus,smithy_bonus_cap) + tech_3_5*TblTech[[#This Row],[3-5]] + tech_5_3*TblTech[[#This Row],[5-3]] + tech_5_5*TblTech[[#This Row],[5-5]])*elite2_plat,0)</f>
        <v>1250</v>
      </c>
      <c r="BQ93" s="97">
        <f ca="1">ROUNDUP(IF(race="Gnome",1,(1-MIN(TblMili[[#This Row],[Smithies]]*smithy_bonus,smithy_bonus_cap) + tech_3_5*TblTech[[#This Row],[3-5]] + tech_5_3*TblTech[[#This Row],[5-3]] + tech_5_5*TblTech[[#This Row],[5-5]]))*elite2_ore,0)</f>
        <v>100</v>
      </c>
      <c r="BR93" s="97">
        <f ca="1">ROUNDUP((1-MIN(ROUND(fh_spy_cost_red*TblMili[[#This Row],[FH''s]],4),fh_spy_cost_cap)+ tech_1_9*TblTech[[#This Row],[1-9]] + tech_9_1*TblTech[[#This Row],[9-1]])*spy_plat,0)</f>
        <v>500</v>
      </c>
      <c r="BS93" s="97">
        <f ca="1">ROUNDUP((1-MIN(ROUND(fh_spy_cost_red*TblMili[[#This Row],[FH''s]],4),fh_spy_cost_cap)+ tech_1_9*TblTech[[#This Row],[1-9]] + tech_9_1*TblTech[[#This Row],[9-1]])*archspy_plat,0)</f>
        <v>1000</v>
      </c>
      <c r="BT93" s="97">
        <f ca="1">ROUNDUP((1-MIN(ROUND(wg_wiz_cost_bonus*TblMili[[#This Row],[WG''s]],4),wg_wiz_cost_cap) + tech_1_9_2*TblTech[[#This Row],[1-9]] + tech_9_1_2*TblTech[[#This Row],[9-1]])*wizard_plat,0)</f>
        <v>500</v>
      </c>
      <c r="BU93" s="97">
        <f ca="1">ROUNDUP((1-MIN(ROUND(wg_wiz_cost_bonus*TblMili[[#This Row],[WG''s]],4),wg_wiz_cost_cap) + tech_1_9_2*TblTech[[#This Row],[1-9]] + tech_9_1_2*TblTech[[#This Row],[9-1]])*archmage_plat,0)</f>
        <v>1000</v>
      </c>
      <c r="BV93" s="145"/>
      <c r="BW93" s="160">
        <f ca="1">TblConstr[[#This Row],[Homeland]]/TblConstr[[#This Row],[Land]]</f>
        <v>0.44</v>
      </c>
      <c r="BX93" s="160">
        <f ca="1">TblMili[[#This Row],[WG''s]]</f>
        <v>0</v>
      </c>
      <c r="BY93" s="266">
        <f ca="1">IF(mystic_cap="none",TblMili[[#This Row],[Hill]]/mystic_bonus,MIN(mystic_cap,TblMili[[#This Row],[Hill]]/mystic_bonus))</f>
        <v>2.1999999999999997</v>
      </c>
      <c r="BZ93" s="266">
        <f ca="1">IF(druid_op_cap="none",TblMili[[#This Row],[Hill]]/druid_op_bonus,MIN(druid_op_cap,TblMili[[#This Row],[Hill]]/druid_op_bonus))</f>
        <v>2.1999999999999997</v>
      </c>
      <c r="CA93" s="266">
        <f ca="1">IF(druid_dp_cap="none",TblMili[[#This Row],[Hill]]/druid_dp_bonus,MIN(druid_dp_cap,TblMili[[#This Row],[Hill]]/druid_dp_bonus))</f>
        <v>2.1999999999999997</v>
      </c>
      <c r="CB93" s="266">
        <f ca="1">MIN(dryad_cap,TblMili[[#This Row],[Hill]]/dryad_bonus)</f>
        <v>2.1999999999999997</v>
      </c>
      <c r="CC93" s="266">
        <f ca="1">MIN(rocka_cap,TblMili[[#This Row],[Hill]]/rocka_bonus)</f>
        <v>2</v>
      </c>
      <c r="CD93" s="266">
        <f ca="1">MIN(adept_op_cap,TblMili[[#This Row],[WG]]/adept_op_bonus)</f>
        <v>0</v>
      </c>
      <c r="CE93" s="266">
        <f ca="1">MIN(adept_dp_cap,TblMili[[#This Row],[WG]]/adept_dp_bonus)</f>
        <v>0</v>
      </c>
      <c r="CF93" s="97">
        <f ca="1">MIN(TblMili[[#This Row],[Unit 3]],TblMili[[#This Row],[Unit 2]])*2</f>
        <v>0</v>
      </c>
      <c r="CG93" s="97">
        <f ca="1">MIN(TblMili[[#This Row],[Unit 1]],TblMili[[#This Row],[Unit 4]])*2</f>
        <v>0</v>
      </c>
      <c r="CH93" s="266">
        <f ca="1">MIN(frost_mage_cap,TblMili[[#This Row],[Hill]]/frost_mage_bonus)</f>
        <v>2.1999999999999997</v>
      </c>
      <c r="CI93" s="45">
        <f ca="1">MIN(ice_elem_cap,TblMili[[#This Row],[Raw (2)]]*ice_elem_bonus)</f>
        <v>0.1</v>
      </c>
      <c r="CJ93" s="266">
        <f t="shared" si="3"/>
        <v>0.83333333333333337</v>
      </c>
      <c r="CK93" s="266">
        <f ca="1">MIN(nox_nightshade_cap,TblConstr[[#This Row],[Homeland]]/TblConstr[[#This Row],[Land]]/nox_nightshade_swamp_bonus)</f>
        <v>4</v>
      </c>
      <c r="CL93" s="267"/>
      <c r="CM93" s="267"/>
      <c r="CN93" s="267"/>
      <c r="CO93" s="266">
        <f ca="1">MIN(6,TblMili[[#This Row],[Mystic]]+Races!$F$19)*1.8 +  IF(TblMili[[#This Row],[Mystic]]+Races!$F$19&gt;6,(TblMili[[#This Row],[Mystic]]+Races!$F$19-6)*0.2,0) - Races!$I$19</f>
        <v>3.6399999999999997</v>
      </c>
      <c r="CP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3" s="97">
        <f ca="1">TblMili[[#This Row],[Mystic bonus]]*TblMili[[#This Row],[Unit 3]]+TblMili[[#This Row],[Druid bonus]]*TblMili[[#This Row],[Unit 4]]</f>
        <v>0</v>
      </c>
      <c r="CR93" s="158">
        <f ca="1">MIN(6,TblMili[[#This Row],[Dryad]]+Races!$F$35)*1.8 +  IF(TblMili[[#This Row],[Dryad]]+Races!$F$35&gt;6,(TblMili[[#This Row],[Dryad]]+Races!$F$35-6)*0.2,0) - Races!$I$19</f>
        <v>2.1599999999999993</v>
      </c>
      <c r="CS93" s="97">
        <f ca="1">sylvan*(TblMili[[#This Row],[Mystic bonus]]*TblMili[[#This Row],[Unit 3]])</f>
        <v>0</v>
      </c>
      <c r="CT93" s="158">
        <f ca="1">1.8 * MIN(MAX(Races!$E$27,TblMili[[#This Row],[Rockapult]]+Races!$F$27),6)  +  0.45 * MIN(MIN(Races!$E$27,TblMili[[#This Row],[Rockapult]]+Races!$F$27),6)  +  0.2 * ( MAX(Races!$E$27-6,0) + MAX(TblMili[[#This Row],[Rockapult]]+Races!$F$27-6,0) )  -  Races!$I$20</f>
        <v>5.8500000000000005</v>
      </c>
      <c r="CU93" s="97">
        <f ca="1">gnome*(TblMili[[#This Row],[Rockapult bonus]]*TblMili[[#This Row],[Unit 3]])</f>
        <v>0</v>
      </c>
      <c r="CV93" s="158">
        <f ca="1">1.8 * MIN(MAX(TblMili[[#This Row],[Spellblade]]+Races!$E$47,TblMili[[#This Row],[Adept-DP]]+Races!$F$47),6)  +  0.45 * MIN(MIN(TblMili[[#This Row],[Spellblade]]+Races!$E$47,TblMili[[#This Row],[Adept-DP]]+Races!$F$47),6)  +  0.2 * ( MAX(TblMili[[#This Row],[Spellblade]]+Races!$E$47-6,0) + MAX(TblMili[[#This Row],[Adept-DP]]+Races!$F$47-6,0) )  -  Races!$I$47</f>
        <v>0</v>
      </c>
      <c r="CW93" s="97">
        <f ca="1">dark_elf*(TblMili[[#This Row],[Adept bonus]]*TblMili[[#This Row],[Unit 3]])</f>
        <v>0</v>
      </c>
      <c r="CX93" s="158">
        <f ca="1">1.8 * MIN(MAX(TblMili[[#This Row],[Frost Mage]]+Races!$F$71,Races!$E$71),6)  +  0.45 * MIN(MIN(TblMili[[#This Row],[Frost Mage]]+Races!$F$71,Races!$E$71),6)  +  0.2 * ( MAX(TblMili[[#This Row],[Frost Mage]]+Races!$F$71-6,0) + MAX(Races!$E$71-6,0) )  -  Races!$I$71</f>
        <v>3.9599999999999991</v>
      </c>
      <c r="CY93" s="158">
        <f ca="1">1.8 * MIN(MAX(TblMili[[#This Row],[Ice Elemental]]+Races!$E$71,Races!$F$71),6)  +  0.45 * MIN(MIN(TblMili[[#This Row],[Ice Elemental]]+Races!$E$71,Races!$F$71),6)  +  0.2 * ( MAX(TblMili[[#This Row],[Ice Elemental]]+Races!$E$71-6,0) + MAX(Races!$F$71-6,0) )  -  Races!$I$71</f>
        <v>0.17999999999999972</v>
      </c>
      <c r="CZ93" s="97">
        <f ca="1">TblMili[[#This Row],[Frost Mage bonus]]*TblMili[[#This Row],[Unit 3]]+TblMili[[#This Row],[Ice Elemental bonus]]*TblMili[[#This Row],[Unit 4]]</f>
        <v>0</v>
      </c>
      <c r="DA93" s="268"/>
      <c r="DB93" s="146">
        <f ca="1">MIN(SUM(TblConstr[[#This Row],[Plain]:[Water]])/TblMili[[#This Row],[Land]]/favorable_terrain_bonus/100,favorable_terrain_max)</f>
        <v>0.1</v>
      </c>
      <c r="DC93" s="268"/>
      <c r="DD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3" s="145"/>
      <c r="DF93" s="269">
        <f ca="1">(TblMili[[#This Row],[Wizards]]+2*TblMili[[#This Row],[Archmages]])/TblConstr[[#This Row],[Land]]</f>
        <v>0.1</v>
      </c>
      <c r="DG93" s="269">
        <f ca="1">TblMili[[#This Row],[Raw (2)]]*(1+race_wizard_strength+IF(TblMili[[#This Row],[Hour]]&gt;72,tech_magical_weaponry_wiz*TblTech[[#This Row],[3-5]],0))</f>
        <v>0.1</v>
      </c>
    </row>
    <row r="94" spans="1:111"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45461.749999999782</v>
      </c>
      <c r="AG94" s="182"/>
      <c r="AH94" s="182"/>
      <c r="AI94" s="182"/>
      <c r="AJ94" s="182"/>
      <c r="AK94" s="182"/>
      <c r="AL94" s="182"/>
      <c r="AM94" s="182"/>
      <c r="AN94" s="182"/>
      <c r="AO94" s="449">
        <f ca="1">IF(AND(TblMagic[[#This Row],[Active DnD]]&lt;12,TblMagic[[#This Row],[Active DnD]]&gt;5),OFFSET(TblPop[[#This Row],[Draft Growth]],-1,0)/2,0)</f>
        <v>0</v>
      </c>
      <c r="AP94" s="145"/>
      <c r="AQ94" s="97">
        <f ca="1">TblProd[[#This Row],[Platinum]]</f>
        <v>614618</v>
      </c>
      <c r="AR94" s="97">
        <f ca="1">INDEX(TblProd[[#Headers],[Lumber]]:TblProd[[#This Row],[Ore]],COUNTA(TblProd[[#Headers],[Lumber]]:TblProd[[#This Row],[Lumber]]),MATCH(Military!$AQ$2,TblProd[[#Headers],[Lumber]:[Ore]],0))</f>
        <v>0</v>
      </c>
      <c r="AS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7">
        <f ca="1">TblMili[[#This Row],[Train Unit 1]]*TblMili[[#This Row],[OP Ore]]+TblMili[[#This Row],[Train Unit 2]]*TblMili[[#This Row],[DP Ore]]+TblMili[[#This Row],[Train Unit 3]]*TblMili[[#This Row],[E1 Ore]]+TblMili[[#This Row],[Train Unit 4]]*TblMili[[#This Row],[E2 Ore]]</f>
        <v>0</v>
      </c>
      <c r="AU94" s="145">
        <f>TblMili[[#This Row],[Hour]]</f>
        <v>91</v>
      </c>
      <c r="AV94" s="155">
        <f ca="1">TblMili[[#This Row],[Time]]</f>
        <v>45461.749999999782</v>
      </c>
      <c r="AW94" s="97">
        <f ca="1">TblMili[[#This Row],[Draftees]]</f>
        <v>626</v>
      </c>
      <c r="AX94" s="182"/>
      <c r="AY94" s="182"/>
      <c r="AZ94" s="182"/>
      <c r="BA94" s="182"/>
      <c r="BB94" s="182"/>
      <c r="BC94" s="182"/>
      <c r="BD94" s="182"/>
      <c r="BE94" s="182"/>
      <c r="BF94" s="182"/>
      <c r="BG94" s="145"/>
      <c r="BH94" s="160">
        <f ca="1">TblConstr[[#This Row],[Tot WG]]/TblConstr[[#This Row],[Land]]</f>
        <v>0</v>
      </c>
      <c r="BI94" s="160">
        <f ca="1">TblConstr[[#This Row],[Tot Hav]]/TblConstr[[#This Row],[Land]]</f>
        <v>0</v>
      </c>
      <c r="BJ94" s="97">
        <f ca="1">ROUNDUP((1-MIN(TblMili[[#This Row],[Smithies]]*smithy_bonus,smithy_bonus_cap) + tech_3_5*TblTech[[#This Row],[3-5]] + tech_5_3*TblTech[[#This Row],[5-3]] + tech_5_5*TblTech[[#This Row],[5-5]])*spec_op_plat,0)</f>
        <v>275</v>
      </c>
      <c r="BK94" s="97">
        <f ca="1">ROUNDUP(IF(race="Gnome",1,(1-MIN(TblMili[[#This Row],[Smithies]]*smithy_bonus,smithy_bonus_cap) + tech_3_5*TblTech[[#This Row],[3-5]] + tech_5_3*TblTech[[#This Row],[5-3]] + tech_5_5*TblTech[[#This Row],[5-5]]))*spec_op_ore,0)</f>
        <v>25</v>
      </c>
      <c r="BL94" s="97">
        <f ca="1">ROUNDUP((1-MIN(TblMili[[#This Row],[Smithies]]*smithy_bonus,smithy_bonus_cap) + tech_3_5*TblTech[[#This Row],[3-5]] + tech_5_3*TblTech[[#This Row],[5-3]] + tech_5_5*TblTech[[#This Row],[5-5]])*spec_dp_plat,0)</f>
        <v>275</v>
      </c>
      <c r="BM94" s="97">
        <f ca="1">ROUNDUP(IF(race="Gnome",1,(1-MIN(TblMili[[#This Row],[Smithies]]*smithy_bonus,smithy_bonus_cap) + tech_3_5*TblTech[[#This Row],[3-5]] + tech_5_3*TblTech[[#This Row],[5-3]] + tech_5_5*TblTech[[#This Row],[5-5]]))*spec_dp_ore,0)</f>
        <v>15</v>
      </c>
      <c r="BN94" s="97">
        <f ca="1">ROUNDUP((1-MIN(TblMili[[#This Row],[Smithies]]*smithy_bonus,smithy_bonus_cap) + tech_3_5*TblTech[[#This Row],[3-5]] + tech_5_3*TblTech[[#This Row],[5-3]] + tech_5_5*TblTech[[#This Row],[5-5]])*elite1_plat,0)</f>
        <v>1000</v>
      </c>
      <c r="BO94" s="97">
        <f ca="1">ROUNDUP(IF(race="Gnome",1,(1-MIN(TblMili[[#This Row],[Smithies]]*smithy_bonus,smithy_bonus_cap) + tech_3_5*TblTech[[#This Row],[3-5]] + tech_5_3*TblTech[[#This Row],[5-3]] + tech_5_5*TblTech[[#This Row],[5-5]]))*elite1_ore,0)</f>
        <v>75</v>
      </c>
      <c r="BP94" s="97">
        <f ca="1">ROUNDUP((1-MIN(TblMili[[#This Row],[Smithies]]*smithy_bonus,smithy_bonus_cap) + tech_3_5*TblTech[[#This Row],[3-5]] + tech_5_3*TblTech[[#This Row],[5-3]] + tech_5_5*TblTech[[#This Row],[5-5]])*elite2_plat,0)</f>
        <v>1250</v>
      </c>
      <c r="BQ94" s="97">
        <f ca="1">ROUNDUP(IF(race="Gnome",1,(1-MIN(TblMili[[#This Row],[Smithies]]*smithy_bonus,smithy_bonus_cap) + tech_3_5*TblTech[[#This Row],[3-5]] + tech_5_3*TblTech[[#This Row],[5-3]] + tech_5_5*TblTech[[#This Row],[5-5]]))*elite2_ore,0)</f>
        <v>100</v>
      </c>
      <c r="BR94" s="97">
        <f ca="1">ROUNDUP((1-MIN(ROUND(fh_spy_cost_red*TblMili[[#This Row],[FH''s]],4),fh_spy_cost_cap)+ tech_1_9*TblTech[[#This Row],[1-9]] + tech_9_1*TblTech[[#This Row],[9-1]])*spy_plat,0)</f>
        <v>500</v>
      </c>
      <c r="BS94" s="97">
        <f ca="1">ROUNDUP((1-MIN(ROUND(fh_spy_cost_red*TblMili[[#This Row],[FH''s]],4),fh_spy_cost_cap)+ tech_1_9*TblTech[[#This Row],[1-9]] + tech_9_1*TblTech[[#This Row],[9-1]])*archspy_plat,0)</f>
        <v>1000</v>
      </c>
      <c r="BT94" s="97">
        <f ca="1">ROUNDUP((1-MIN(ROUND(wg_wiz_cost_bonus*TblMili[[#This Row],[WG''s]],4),wg_wiz_cost_cap) + tech_1_9_2*TblTech[[#This Row],[1-9]] + tech_9_1_2*TblTech[[#This Row],[9-1]])*wizard_plat,0)</f>
        <v>500</v>
      </c>
      <c r="BU94" s="97">
        <f ca="1">ROUNDUP((1-MIN(ROUND(wg_wiz_cost_bonus*TblMili[[#This Row],[WG''s]],4),wg_wiz_cost_cap) + tech_1_9_2*TblTech[[#This Row],[1-9]] + tech_9_1_2*TblTech[[#This Row],[9-1]])*archmage_plat,0)</f>
        <v>1000</v>
      </c>
      <c r="BV94" s="145"/>
      <c r="BW94" s="160">
        <f ca="1">TblConstr[[#This Row],[Homeland]]/TblConstr[[#This Row],[Land]]</f>
        <v>0.44</v>
      </c>
      <c r="BX94" s="160">
        <f ca="1">TblMili[[#This Row],[WG''s]]</f>
        <v>0</v>
      </c>
      <c r="BY94" s="266">
        <f ca="1">IF(mystic_cap="none",TblMili[[#This Row],[Hill]]/mystic_bonus,MIN(mystic_cap,TblMili[[#This Row],[Hill]]/mystic_bonus))</f>
        <v>2.1999999999999997</v>
      </c>
      <c r="BZ94" s="266">
        <f ca="1">IF(druid_op_cap="none",TblMili[[#This Row],[Hill]]/druid_op_bonus,MIN(druid_op_cap,TblMili[[#This Row],[Hill]]/druid_op_bonus))</f>
        <v>2.1999999999999997</v>
      </c>
      <c r="CA94" s="266">
        <f ca="1">IF(druid_dp_cap="none",TblMili[[#This Row],[Hill]]/druid_dp_bonus,MIN(druid_dp_cap,TblMili[[#This Row],[Hill]]/druid_dp_bonus))</f>
        <v>2.1999999999999997</v>
      </c>
      <c r="CB94" s="266">
        <f ca="1">MIN(dryad_cap,TblMili[[#This Row],[Hill]]/dryad_bonus)</f>
        <v>2.1999999999999997</v>
      </c>
      <c r="CC94" s="266">
        <f ca="1">MIN(rocka_cap,TblMili[[#This Row],[Hill]]/rocka_bonus)</f>
        <v>2</v>
      </c>
      <c r="CD94" s="266">
        <f ca="1">MIN(adept_op_cap,TblMili[[#This Row],[WG]]/adept_op_bonus)</f>
        <v>0</v>
      </c>
      <c r="CE94" s="266">
        <f ca="1">MIN(adept_dp_cap,TblMili[[#This Row],[WG]]/adept_dp_bonus)</f>
        <v>0</v>
      </c>
      <c r="CF94" s="97">
        <f ca="1">MIN(TblMili[[#This Row],[Unit 3]],TblMili[[#This Row],[Unit 2]])*2</f>
        <v>0</v>
      </c>
      <c r="CG94" s="97">
        <f ca="1">MIN(TblMili[[#This Row],[Unit 1]],TblMili[[#This Row],[Unit 4]])*2</f>
        <v>0</v>
      </c>
      <c r="CH94" s="266">
        <f ca="1">MIN(frost_mage_cap,TblMili[[#This Row],[Hill]]/frost_mage_bonus)</f>
        <v>2.1999999999999997</v>
      </c>
      <c r="CI94" s="45">
        <f ca="1">MIN(ice_elem_cap,TblMili[[#This Row],[Raw (2)]]*ice_elem_bonus)</f>
        <v>0.1</v>
      </c>
      <c r="CJ94" s="266">
        <f t="shared" si="3"/>
        <v>0.83333333333333337</v>
      </c>
      <c r="CK94" s="266">
        <f ca="1">MIN(nox_nightshade_cap,TblConstr[[#This Row],[Homeland]]/TblConstr[[#This Row],[Land]]/nox_nightshade_swamp_bonus)</f>
        <v>4</v>
      </c>
      <c r="CL94" s="267"/>
      <c r="CM94" s="267"/>
      <c r="CN94" s="267"/>
      <c r="CO94" s="266">
        <f ca="1">MIN(6,TblMili[[#This Row],[Mystic]]+Races!$F$19)*1.8 +  IF(TblMili[[#This Row],[Mystic]]+Races!$F$19&gt;6,(TblMili[[#This Row],[Mystic]]+Races!$F$19-6)*0.2,0) - Races!$I$19</f>
        <v>3.6399999999999997</v>
      </c>
      <c r="CP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4" s="97">
        <f ca="1">TblMili[[#This Row],[Mystic bonus]]*TblMili[[#This Row],[Unit 3]]+TblMili[[#This Row],[Druid bonus]]*TblMili[[#This Row],[Unit 4]]</f>
        <v>0</v>
      </c>
      <c r="CR94" s="158">
        <f ca="1">MIN(6,TblMili[[#This Row],[Dryad]]+Races!$F$35)*1.8 +  IF(TblMili[[#This Row],[Dryad]]+Races!$F$35&gt;6,(TblMili[[#This Row],[Dryad]]+Races!$F$35-6)*0.2,0) - Races!$I$19</f>
        <v>2.1599999999999993</v>
      </c>
      <c r="CS94" s="97">
        <f ca="1">sylvan*(TblMili[[#This Row],[Mystic bonus]]*TblMili[[#This Row],[Unit 3]])</f>
        <v>0</v>
      </c>
      <c r="CT94" s="158">
        <f ca="1">1.8 * MIN(MAX(Races!$E$27,TblMili[[#This Row],[Rockapult]]+Races!$F$27),6)  +  0.45 * MIN(MIN(Races!$E$27,TblMili[[#This Row],[Rockapult]]+Races!$F$27),6)  +  0.2 * ( MAX(Races!$E$27-6,0) + MAX(TblMili[[#This Row],[Rockapult]]+Races!$F$27-6,0) )  -  Races!$I$20</f>
        <v>5.8500000000000005</v>
      </c>
      <c r="CU94" s="97">
        <f ca="1">gnome*(TblMili[[#This Row],[Rockapult bonus]]*TblMili[[#This Row],[Unit 3]])</f>
        <v>0</v>
      </c>
      <c r="CV94" s="158">
        <f ca="1">1.8 * MIN(MAX(TblMili[[#This Row],[Spellblade]]+Races!$E$47,TblMili[[#This Row],[Adept-DP]]+Races!$F$47),6)  +  0.45 * MIN(MIN(TblMili[[#This Row],[Spellblade]]+Races!$E$47,TblMili[[#This Row],[Adept-DP]]+Races!$F$47),6)  +  0.2 * ( MAX(TblMili[[#This Row],[Spellblade]]+Races!$E$47-6,0) + MAX(TblMili[[#This Row],[Adept-DP]]+Races!$F$47-6,0) )  -  Races!$I$47</f>
        <v>0</v>
      </c>
      <c r="CW94" s="97">
        <f ca="1">dark_elf*(TblMili[[#This Row],[Adept bonus]]*TblMili[[#This Row],[Unit 3]])</f>
        <v>0</v>
      </c>
      <c r="CX94" s="158">
        <f ca="1">1.8 * MIN(MAX(TblMili[[#This Row],[Frost Mage]]+Races!$F$71,Races!$E$71),6)  +  0.45 * MIN(MIN(TblMili[[#This Row],[Frost Mage]]+Races!$F$71,Races!$E$71),6)  +  0.2 * ( MAX(TblMili[[#This Row],[Frost Mage]]+Races!$F$71-6,0) + MAX(Races!$E$71-6,0) )  -  Races!$I$71</f>
        <v>3.9599999999999991</v>
      </c>
      <c r="CY94" s="158">
        <f ca="1">1.8 * MIN(MAX(TblMili[[#This Row],[Ice Elemental]]+Races!$E$71,Races!$F$71),6)  +  0.45 * MIN(MIN(TblMili[[#This Row],[Ice Elemental]]+Races!$E$71,Races!$F$71),6)  +  0.2 * ( MAX(TblMili[[#This Row],[Ice Elemental]]+Races!$E$71-6,0) + MAX(Races!$F$71-6,0) )  -  Races!$I$71</f>
        <v>0.17999999999999972</v>
      </c>
      <c r="CZ94" s="97">
        <f ca="1">TblMili[[#This Row],[Frost Mage bonus]]*TblMili[[#This Row],[Unit 3]]+TblMili[[#This Row],[Ice Elemental bonus]]*TblMili[[#This Row],[Unit 4]]</f>
        <v>0</v>
      </c>
      <c r="DA94" s="268"/>
      <c r="DB94" s="146">
        <f ca="1">MIN(SUM(TblConstr[[#This Row],[Plain]:[Water]])/TblMili[[#This Row],[Land]]/favorable_terrain_bonus/100,favorable_terrain_max)</f>
        <v>0.1</v>
      </c>
      <c r="DC94" s="268"/>
      <c r="DD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4" s="145"/>
      <c r="DF94" s="269">
        <f ca="1">(TblMili[[#This Row],[Wizards]]+2*TblMili[[#This Row],[Archmages]])/TblConstr[[#This Row],[Land]]</f>
        <v>0.1</v>
      </c>
      <c r="DG94" s="269">
        <f ca="1">TblMili[[#This Row],[Raw (2)]]*(1+race_wizard_strength+IF(TblMili[[#This Row],[Hour]]&gt;72,tech_magical_weaponry_wiz*TblTech[[#This Row],[3-5]],0))</f>
        <v>0.1</v>
      </c>
    </row>
    <row r="95" spans="1:111"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45461.791666666446</v>
      </c>
      <c r="AG95" s="182"/>
      <c r="AH95" s="182"/>
      <c r="AI95" s="182"/>
      <c r="AJ95" s="182"/>
      <c r="AK95" s="182"/>
      <c r="AL95" s="182"/>
      <c r="AM95" s="182"/>
      <c r="AN95" s="182"/>
      <c r="AO95" s="449">
        <f ca="1">IF(AND(TblMagic[[#This Row],[Active DnD]]&lt;12,TblMagic[[#This Row],[Active DnD]]&gt;5),OFFSET(TblPop[[#This Row],[Draft Growth]],-1,0)/2,0)</f>
        <v>0</v>
      </c>
      <c r="AP95" s="145"/>
      <c r="AQ95" s="97">
        <f ca="1">TblProd[[#This Row],[Platinum]]</f>
        <v>620104</v>
      </c>
      <c r="AR95" s="97">
        <f ca="1">INDEX(TblProd[[#Headers],[Lumber]]:TblProd[[#This Row],[Ore]],COUNTA(TblProd[[#Headers],[Lumber]]:TblProd[[#This Row],[Lumber]]),MATCH(Military!$AQ$2,TblProd[[#Headers],[Lumber]:[Ore]],0))</f>
        <v>0</v>
      </c>
      <c r="AS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7">
        <f ca="1">TblMili[[#This Row],[Train Unit 1]]*TblMili[[#This Row],[OP Ore]]+TblMili[[#This Row],[Train Unit 2]]*TblMili[[#This Row],[DP Ore]]+TblMili[[#This Row],[Train Unit 3]]*TblMili[[#This Row],[E1 Ore]]+TblMili[[#This Row],[Train Unit 4]]*TblMili[[#This Row],[E2 Ore]]</f>
        <v>0</v>
      </c>
      <c r="AU95" s="145">
        <f>TblMili[[#This Row],[Hour]]</f>
        <v>92</v>
      </c>
      <c r="AV95" s="155">
        <f ca="1">TblMili[[#This Row],[Time]]</f>
        <v>45461.791666666446</v>
      </c>
      <c r="AW95" s="97">
        <f ca="1">TblMili[[#This Row],[Draftees]]</f>
        <v>626</v>
      </c>
      <c r="AX95" s="182"/>
      <c r="AY95" s="182"/>
      <c r="AZ95" s="182"/>
      <c r="BA95" s="182"/>
      <c r="BB95" s="182"/>
      <c r="BC95" s="182"/>
      <c r="BD95" s="182"/>
      <c r="BE95" s="182"/>
      <c r="BF95" s="182"/>
      <c r="BG95" s="145"/>
      <c r="BH95" s="160">
        <f ca="1">TblConstr[[#This Row],[Tot WG]]/TblConstr[[#This Row],[Land]]</f>
        <v>0</v>
      </c>
      <c r="BI95" s="160">
        <f ca="1">TblConstr[[#This Row],[Tot Hav]]/TblConstr[[#This Row],[Land]]</f>
        <v>0</v>
      </c>
      <c r="BJ95" s="97">
        <f ca="1">ROUNDUP((1-MIN(TblMili[[#This Row],[Smithies]]*smithy_bonus,smithy_bonus_cap) + tech_3_5*TblTech[[#This Row],[3-5]] + tech_5_3*TblTech[[#This Row],[5-3]] + tech_5_5*TblTech[[#This Row],[5-5]])*spec_op_plat,0)</f>
        <v>275</v>
      </c>
      <c r="BK95" s="97">
        <f ca="1">ROUNDUP(IF(race="Gnome",1,(1-MIN(TblMili[[#This Row],[Smithies]]*smithy_bonus,smithy_bonus_cap) + tech_3_5*TblTech[[#This Row],[3-5]] + tech_5_3*TblTech[[#This Row],[5-3]] + tech_5_5*TblTech[[#This Row],[5-5]]))*spec_op_ore,0)</f>
        <v>25</v>
      </c>
      <c r="BL95" s="97">
        <f ca="1">ROUNDUP((1-MIN(TblMili[[#This Row],[Smithies]]*smithy_bonus,smithy_bonus_cap) + tech_3_5*TblTech[[#This Row],[3-5]] + tech_5_3*TblTech[[#This Row],[5-3]] + tech_5_5*TblTech[[#This Row],[5-5]])*spec_dp_plat,0)</f>
        <v>275</v>
      </c>
      <c r="BM95" s="97">
        <f ca="1">ROUNDUP(IF(race="Gnome",1,(1-MIN(TblMili[[#This Row],[Smithies]]*smithy_bonus,smithy_bonus_cap) + tech_3_5*TblTech[[#This Row],[3-5]] + tech_5_3*TblTech[[#This Row],[5-3]] + tech_5_5*TblTech[[#This Row],[5-5]]))*spec_dp_ore,0)</f>
        <v>15</v>
      </c>
      <c r="BN95" s="97">
        <f ca="1">ROUNDUP((1-MIN(TblMili[[#This Row],[Smithies]]*smithy_bonus,smithy_bonus_cap) + tech_3_5*TblTech[[#This Row],[3-5]] + tech_5_3*TblTech[[#This Row],[5-3]] + tech_5_5*TblTech[[#This Row],[5-5]])*elite1_plat,0)</f>
        <v>1000</v>
      </c>
      <c r="BO95" s="97">
        <f ca="1">ROUNDUP(IF(race="Gnome",1,(1-MIN(TblMili[[#This Row],[Smithies]]*smithy_bonus,smithy_bonus_cap) + tech_3_5*TblTech[[#This Row],[3-5]] + tech_5_3*TblTech[[#This Row],[5-3]] + tech_5_5*TblTech[[#This Row],[5-5]]))*elite1_ore,0)</f>
        <v>75</v>
      </c>
      <c r="BP95" s="97">
        <f ca="1">ROUNDUP((1-MIN(TblMili[[#This Row],[Smithies]]*smithy_bonus,smithy_bonus_cap) + tech_3_5*TblTech[[#This Row],[3-5]] + tech_5_3*TblTech[[#This Row],[5-3]] + tech_5_5*TblTech[[#This Row],[5-5]])*elite2_plat,0)</f>
        <v>1250</v>
      </c>
      <c r="BQ95" s="97">
        <f ca="1">ROUNDUP(IF(race="Gnome",1,(1-MIN(TblMili[[#This Row],[Smithies]]*smithy_bonus,smithy_bonus_cap) + tech_3_5*TblTech[[#This Row],[3-5]] + tech_5_3*TblTech[[#This Row],[5-3]] + tech_5_5*TblTech[[#This Row],[5-5]]))*elite2_ore,0)</f>
        <v>100</v>
      </c>
      <c r="BR95" s="97">
        <f ca="1">ROUNDUP((1-MIN(ROUND(fh_spy_cost_red*TblMili[[#This Row],[FH''s]],4),fh_spy_cost_cap)+ tech_1_9*TblTech[[#This Row],[1-9]] + tech_9_1*TblTech[[#This Row],[9-1]])*spy_plat,0)</f>
        <v>500</v>
      </c>
      <c r="BS95" s="97">
        <f ca="1">ROUNDUP((1-MIN(ROUND(fh_spy_cost_red*TblMili[[#This Row],[FH''s]],4),fh_spy_cost_cap)+ tech_1_9*TblTech[[#This Row],[1-9]] + tech_9_1*TblTech[[#This Row],[9-1]])*archspy_plat,0)</f>
        <v>1000</v>
      </c>
      <c r="BT95" s="97">
        <f ca="1">ROUNDUP((1-MIN(ROUND(wg_wiz_cost_bonus*TblMili[[#This Row],[WG''s]],4),wg_wiz_cost_cap) + tech_1_9_2*TblTech[[#This Row],[1-9]] + tech_9_1_2*TblTech[[#This Row],[9-1]])*wizard_plat,0)</f>
        <v>500</v>
      </c>
      <c r="BU95" s="97">
        <f ca="1">ROUNDUP((1-MIN(ROUND(wg_wiz_cost_bonus*TblMili[[#This Row],[WG''s]],4),wg_wiz_cost_cap) + tech_1_9_2*TblTech[[#This Row],[1-9]] + tech_9_1_2*TblTech[[#This Row],[9-1]])*archmage_plat,0)</f>
        <v>1000</v>
      </c>
      <c r="BV95" s="145"/>
      <c r="BW95" s="160">
        <f ca="1">TblConstr[[#This Row],[Homeland]]/TblConstr[[#This Row],[Land]]</f>
        <v>0.44</v>
      </c>
      <c r="BX95" s="160">
        <f ca="1">TblMili[[#This Row],[WG''s]]</f>
        <v>0</v>
      </c>
      <c r="BY95" s="266">
        <f ca="1">IF(mystic_cap="none",TblMili[[#This Row],[Hill]]/mystic_bonus,MIN(mystic_cap,TblMili[[#This Row],[Hill]]/mystic_bonus))</f>
        <v>2.1999999999999997</v>
      </c>
      <c r="BZ95" s="266">
        <f ca="1">IF(druid_op_cap="none",TblMili[[#This Row],[Hill]]/druid_op_bonus,MIN(druid_op_cap,TblMili[[#This Row],[Hill]]/druid_op_bonus))</f>
        <v>2.1999999999999997</v>
      </c>
      <c r="CA95" s="266">
        <f ca="1">IF(druid_dp_cap="none",TblMili[[#This Row],[Hill]]/druid_dp_bonus,MIN(druid_dp_cap,TblMili[[#This Row],[Hill]]/druid_dp_bonus))</f>
        <v>2.1999999999999997</v>
      </c>
      <c r="CB95" s="266">
        <f ca="1">MIN(dryad_cap,TblMili[[#This Row],[Hill]]/dryad_bonus)</f>
        <v>2.1999999999999997</v>
      </c>
      <c r="CC95" s="266">
        <f ca="1">MIN(rocka_cap,TblMili[[#This Row],[Hill]]/rocka_bonus)</f>
        <v>2</v>
      </c>
      <c r="CD95" s="266">
        <f ca="1">MIN(adept_op_cap,TblMili[[#This Row],[WG]]/adept_op_bonus)</f>
        <v>0</v>
      </c>
      <c r="CE95" s="266">
        <f ca="1">MIN(adept_dp_cap,TblMili[[#This Row],[WG]]/adept_dp_bonus)</f>
        <v>0</v>
      </c>
      <c r="CF95" s="97">
        <f ca="1">MIN(TblMili[[#This Row],[Unit 3]],TblMili[[#This Row],[Unit 2]])*2</f>
        <v>0</v>
      </c>
      <c r="CG95" s="97">
        <f ca="1">MIN(TblMili[[#This Row],[Unit 1]],TblMili[[#This Row],[Unit 4]])*2</f>
        <v>0</v>
      </c>
      <c r="CH95" s="266">
        <f ca="1">MIN(frost_mage_cap,TblMili[[#This Row],[Hill]]/frost_mage_bonus)</f>
        <v>2.1999999999999997</v>
      </c>
      <c r="CI95" s="45">
        <f ca="1">MIN(ice_elem_cap,TblMili[[#This Row],[Raw (2)]]*ice_elem_bonus)</f>
        <v>0.1</v>
      </c>
      <c r="CJ95" s="266">
        <f t="shared" si="3"/>
        <v>0.83333333333333337</v>
      </c>
      <c r="CK95" s="266">
        <f ca="1">MIN(nox_nightshade_cap,TblConstr[[#This Row],[Homeland]]/TblConstr[[#This Row],[Land]]/nox_nightshade_swamp_bonus)</f>
        <v>4</v>
      </c>
      <c r="CL95" s="267"/>
      <c r="CM95" s="267"/>
      <c r="CN95" s="267"/>
      <c r="CO95" s="266">
        <f ca="1">MIN(6,TblMili[[#This Row],[Mystic]]+Races!$F$19)*1.8 +  IF(TblMili[[#This Row],[Mystic]]+Races!$F$19&gt;6,(TblMili[[#This Row],[Mystic]]+Races!$F$19-6)*0.2,0) - Races!$I$19</f>
        <v>3.6399999999999997</v>
      </c>
      <c r="CP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5" s="97">
        <f ca="1">TblMili[[#This Row],[Mystic bonus]]*TblMili[[#This Row],[Unit 3]]+TblMili[[#This Row],[Druid bonus]]*TblMili[[#This Row],[Unit 4]]</f>
        <v>0</v>
      </c>
      <c r="CR95" s="158">
        <f ca="1">MIN(6,TblMili[[#This Row],[Dryad]]+Races!$F$35)*1.8 +  IF(TblMili[[#This Row],[Dryad]]+Races!$F$35&gt;6,(TblMili[[#This Row],[Dryad]]+Races!$F$35-6)*0.2,0) - Races!$I$19</f>
        <v>2.1599999999999993</v>
      </c>
      <c r="CS95" s="97">
        <f ca="1">sylvan*(TblMili[[#This Row],[Mystic bonus]]*TblMili[[#This Row],[Unit 3]])</f>
        <v>0</v>
      </c>
      <c r="CT95" s="158">
        <f ca="1">1.8 * MIN(MAX(Races!$E$27,TblMili[[#This Row],[Rockapult]]+Races!$F$27),6)  +  0.45 * MIN(MIN(Races!$E$27,TblMili[[#This Row],[Rockapult]]+Races!$F$27),6)  +  0.2 * ( MAX(Races!$E$27-6,0) + MAX(TblMili[[#This Row],[Rockapult]]+Races!$F$27-6,0) )  -  Races!$I$20</f>
        <v>5.8500000000000005</v>
      </c>
      <c r="CU95" s="97">
        <f ca="1">gnome*(TblMili[[#This Row],[Rockapult bonus]]*TblMili[[#This Row],[Unit 3]])</f>
        <v>0</v>
      </c>
      <c r="CV95" s="158">
        <f ca="1">1.8 * MIN(MAX(TblMili[[#This Row],[Spellblade]]+Races!$E$47,TblMili[[#This Row],[Adept-DP]]+Races!$F$47),6)  +  0.45 * MIN(MIN(TblMili[[#This Row],[Spellblade]]+Races!$E$47,TblMili[[#This Row],[Adept-DP]]+Races!$F$47),6)  +  0.2 * ( MAX(TblMili[[#This Row],[Spellblade]]+Races!$E$47-6,0) + MAX(TblMili[[#This Row],[Adept-DP]]+Races!$F$47-6,0) )  -  Races!$I$47</f>
        <v>0</v>
      </c>
      <c r="CW95" s="97">
        <f ca="1">dark_elf*(TblMili[[#This Row],[Adept bonus]]*TblMili[[#This Row],[Unit 3]])</f>
        <v>0</v>
      </c>
      <c r="CX95" s="158">
        <f ca="1">1.8 * MIN(MAX(TblMili[[#This Row],[Frost Mage]]+Races!$F$71,Races!$E$71),6)  +  0.45 * MIN(MIN(TblMili[[#This Row],[Frost Mage]]+Races!$F$71,Races!$E$71),6)  +  0.2 * ( MAX(TblMili[[#This Row],[Frost Mage]]+Races!$F$71-6,0) + MAX(Races!$E$71-6,0) )  -  Races!$I$71</f>
        <v>3.9599999999999991</v>
      </c>
      <c r="CY95" s="158">
        <f ca="1">1.8 * MIN(MAX(TblMili[[#This Row],[Ice Elemental]]+Races!$E$71,Races!$F$71),6)  +  0.45 * MIN(MIN(TblMili[[#This Row],[Ice Elemental]]+Races!$E$71,Races!$F$71),6)  +  0.2 * ( MAX(TblMili[[#This Row],[Ice Elemental]]+Races!$E$71-6,0) + MAX(Races!$F$71-6,0) )  -  Races!$I$71</f>
        <v>0.17999999999999972</v>
      </c>
      <c r="CZ95" s="97">
        <f ca="1">TblMili[[#This Row],[Frost Mage bonus]]*TblMili[[#This Row],[Unit 3]]+TblMili[[#This Row],[Ice Elemental bonus]]*TblMili[[#This Row],[Unit 4]]</f>
        <v>0</v>
      </c>
      <c r="DA95" s="268"/>
      <c r="DB95" s="146">
        <f ca="1">MIN(SUM(TblConstr[[#This Row],[Plain]:[Water]])/TblMili[[#This Row],[Land]]/favorable_terrain_bonus/100,favorable_terrain_max)</f>
        <v>0.1</v>
      </c>
      <c r="DC95" s="268"/>
      <c r="DD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5" s="145"/>
      <c r="DF95" s="269">
        <f ca="1">(TblMili[[#This Row],[Wizards]]+2*TblMili[[#This Row],[Archmages]])/TblConstr[[#This Row],[Land]]</f>
        <v>0.1</v>
      </c>
      <c r="DG95" s="269">
        <f ca="1">TblMili[[#This Row],[Raw (2)]]*(1+race_wizard_strength+IF(TblMili[[#This Row],[Hour]]&gt;72,tech_magical_weaponry_wiz*TblTech[[#This Row],[3-5]],0))</f>
        <v>0.1</v>
      </c>
    </row>
    <row r="96" spans="1:111"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45461.83333333311</v>
      </c>
      <c r="AG96" s="182"/>
      <c r="AH96" s="182"/>
      <c r="AI96" s="182"/>
      <c r="AJ96" s="182"/>
      <c r="AK96" s="182"/>
      <c r="AL96" s="182"/>
      <c r="AM96" s="182"/>
      <c r="AN96" s="182"/>
      <c r="AO96" s="449">
        <f ca="1">IF(AND(TblMagic[[#This Row],[Active DnD]]&lt;12,TblMagic[[#This Row],[Active DnD]]&gt;5),OFFSET(TblPop[[#This Row],[Draft Growth]],-1,0)/2,0)</f>
        <v>0</v>
      </c>
      <c r="AP96" s="145"/>
      <c r="AQ96" s="97">
        <f ca="1">TblProd[[#This Row],[Platinum]]</f>
        <v>625590</v>
      </c>
      <c r="AR96" s="97">
        <f ca="1">INDEX(TblProd[[#Headers],[Lumber]]:TblProd[[#This Row],[Ore]],COUNTA(TblProd[[#Headers],[Lumber]]:TblProd[[#This Row],[Lumber]]),MATCH(Military!$AQ$2,TblProd[[#Headers],[Lumber]:[Ore]],0))</f>
        <v>0</v>
      </c>
      <c r="AS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7">
        <f ca="1">TblMili[[#This Row],[Train Unit 1]]*TblMili[[#This Row],[OP Ore]]+TblMili[[#This Row],[Train Unit 2]]*TblMili[[#This Row],[DP Ore]]+TblMili[[#This Row],[Train Unit 3]]*TblMili[[#This Row],[E1 Ore]]+TblMili[[#This Row],[Train Unit 4]]*TblMili[[#This Row],[E2 Ore]]</f>
        <v>0</v>
      </c>
      <c r="AU96" s="145">
        <f>TblMili[[#This Row],[Hour]]</f>
        <v>93</v>
      </c>
      <c r="AV96" s="155">
        <f ca="1">TblMili[[#This Row],[Time]]</f>
        <v>45461.83333333311</v>
      </c>
      <c r="AW96" s="97">
        <f ca="1">TblMili[[#This Row],[Draftees]]</f>
        <v>626</v>
      </c>
      <c r="AX96" s="182"/>
      <c r="AY96" s="182"/>
      <c r="AZ96" s="182"/>
      <c r="BA96" s="182"/>
      <c r="BB96" s="182"/>
      <c r="BC96" s="182"/>
      <c r="BD96" s="182"/>
      <c r="BE96" s="182"/>
      <c r="BF96" s="182"/>
      <c r="BG96" s="145"/>
      <c r="BH96" s="160">
        <f ca="1">TblConstr[[#This Row],[Tot WG]]/TblConstr[[#This Row],[Land]]</f>
        <v>0</v>
      </c>
      <c r="BI96" s="160">
        <f ca="1">TblConstr[[#This Row],[Tot Hav]]/TblConstr[[#This Row],[Land]]</f>
        <v>0</v>
      </c>
      <c r="BJ96" s="97">
        <f ca="1">ROUNDUP((1-MIN(TblMili[[#This Row],[Smithies]]*smithy_bonus,smithy_bonus_cap) + tech_3_5*TblTech[[#This Row],[3-5]] + tech_5_3*TblTech[[#This Row],[5-3]] + tech_5_5*TblTech[[#This Row],[5-5]])*spec_op_plat,0)</f>
        <v>275</v>
      </c>
      <c r="BK96" s="97">
        <f ca="1">ROUNDUP(IF(race="Gnome",1,(1-MIN(TblMili[[#This Row],[Smithies]]*smithy_bonus,smithy_bonus_cap) + tech_3_5*TblTech[[#This Row],[3-5]] + tech_5_3*TblTech[[#This Row],[5-3]] + tech_5_5*TblTech[[#This Row],[5-5]]))*spec_op_ore,0)</f>
        <v>25</v>
      </c>
      <c r="BL96" s="97">
        <f ca="1">ROUNDUP((1-MIN(TblMili[[#This Row],[Smithies]]*smithy_bonus,smithy_bonus_cap) + tech_3_5*TblTech[[#This Row],[3-5]] + tech_5_3*TblTech[[#This Row],[5-3]] + tech_5_5*TblTech[[#This Row],[5-5]])*spec_dp_plat,0)</f>
        <v>275</v>
      </c>
      <c r="BM96" s="97">
        <f ca="1">ROUNDUP(IF(race="Gnome",1,(1-MIN(TblMili[[#This Row],[Smithies]]*smithy_bonus,smithy_bonus_cap) + tech_3_5*TblTech[[#This Row],[3-5]] + tech_5_3*TblTech[[#This Row],[5-3]] + tech_5_5*TblTech[[#This Row],[5-5]]))*spec_dp_ore,0)</f>
        <v>15</v>
      </c>
      <c r="BN96" s="97">
        <f ca="1">ROUNDUP((1-MIN(TblMili[[#This Row],[Smithies]]*smithy_bonus,smithy_bonus_cap) + tech_3_5*TblTech[[#This Row],[3-5]] + tech_5_3*TblTech[[#This Row],[5-3]] + tech_5_5*TblTech[[#This Row],[5-5]])*elite1_plat,0)</f>
        <v>1000</v>
      </c>
      <c r="BO96" s="97">
        <f ca="1">ROUNDUP(IF(race="Gnome",1,(1-MIN(TblMili[[#This Row],[Smithies]]*smithy_bonus,smithy_bonus_cap) + tech_3_5*TblTech[[#This Row],[3-5]] + tech_5_3*TblTech[[#This Row],[5-3]] + tech_5_5*TblTech[[#This Row],[5-5]]))*elite1_ore,0)</f>
        <v>75</v>
      </c>
      <c r="BP96" s="97">
        <f ca="1">ROUNDUP((1-MIN(TblMili[[#This Row],[Smithies]]*smithy_bonus,smithy_bonus_cap) + tech_3_5*TblTech[[#This Row],[3-5]] + tech_5_3*TblTech[[#This Row],[5-3]] + tech_5_5*TblTech[[#This Row],[5-5]])*elite2_plat,0)</f>
        <v>1250</v>
      </c>
      <c r="BQ96" s="97">
        <f ca="1">ROUNDUP(IF(race="Gnome",1,(1-MIN(TblMili[[#This Row],[Smithies]]*smithy_bonus,smithy_bonus_cap) + tech_3_5*TblTech[[#This Row],[3-5]] + tech_5_3*TblTech[[#This Row],[5-3]] + tech_5_5*TblTech[[#This Row],[5-5]]))*elite2_ore,0)</f>
        <v>100</v>
      </c>
      <c r="BR96" s="97">
        <f ca="1">ROUNDUP((1-MIN(ROUND(fh_spy_cost_red*TblMili[[#This Row],[FH''s]],4),fh_spy_cost_cap)+ tech_1_9*TblTech[[#This Row],[1-9]] + tech_9_1*TblTech[[#This Row],[9-1]])*spy_plat,0)</f>
        <v>500</v>
      </c>
      <c r="BS96" s="97">
        <f ca="1">ROUNDUP((1-MIN(ROUND(fh_spy_cost_red*TblMili[[#This Row],[FH''s]],4),fh_spy_cost_cap)+ tech_1_9*TblTech[[#This Row],[1-9]] + tech_9_1*TblTech[[#This Row],[9-1]])*archspy_plat,0)</f>
        <v>1000</v>
      </c>
      <c r="BT96" s="97">
        <f ca="1">ROUNDUP((1-MIN(ROUND(wg_wiz_cost_bonus*TblMili[[#This Row],[WG''s]],4),wg_wiz_cost_cap) + tech_1_9_2*TblTech[[#This Row],[1-9]] + tech_9_1_2*TblTech[[#This Row],[9-1]])*wizard_plat,0)</f>
        <v>500</v>
      </c>
      <c r="BU96" s="97">
        <f ca="1">ROUNDUP((1-MIN(ROUND(wg_wiz_cost_bonus*TblMili[[#This Row],[WG''s]],4),wg_wiz_cost_cap) + tech_1_9_2*TblTech[[#This Row],[1-9]] + tech_9_1_2*TblTech[[#This Row],[9-1]])*archmage_plat,0)</f>
        <v>1000</v>
      </c>
      <c r="BV96" s="145"/>
      <c r="BW96" s="160">
        <f ca="1">TblConstr[[#This Row],[Homeland]]/TblConstr[[#This Row],[Land]]</f>
        <v>0.44</v>
      </c>
      <c r="BX96" s="160">
        <f ca="1">TblMili[[#This Row],[WG''s]]</f>
        <v>0</v>
      </c>
      <c r="BY96" s="266">
        <f ca="1">IF(mystic_cap="none",TblMili[[#This Row],[Hill]]/mystic_bonus,MIN(mystic_cap,TblMili[[#This Row],[Hill]]/mystic_bonus))</f>
        <v>2.1999999999999997</v>
      </c>
      <c r="BZ96" s="266">
        <f ca="1">IF(druid_op_cap="none",TblMili[[#This Row],[Hill]]/druid_op_bonus,MIN(druid_op_cap,TblMili[[#This Row],[Hill]]/druid_op_bonus))</f>
        <v>2.1999999999999997</v>
      </c>
      <c r="CA96" s="266">
        <f ca="1">IF(druid_dp_cap="none",TblMili[[#This Row],[Hill]]/druid_dp_bonus,MIN(druid_dp_cap,TblMili[[#This Row],[Hill]]/druid_dp_bonus))</f>
        <v>2.1999999999999997</v>
      </c>
      <c r="CB96" s="266">
        <f ca="1">MIN(dryad_cap,TblMili[[#This Row],[Hill]]/dryad_bonus)</f>
        <v>2.1999999999999997</v>
      </c>
      <c r="CC96" s="266">
        <f ca="1">MIN(rocka_cap,TblMili[[#This Row],[Hill]]/rocka_bonus)</f>
        <v>2</v>
      </c>
      <c r="CD96" s="266">
        <f ca="1">MIN(adept_op_cap,TblMili[[#This Row],[WG]]/adept_op_bonus)</f>
        <v>0</v>
      </c>
      <c r="CE96" s="266">
        <f ca="1">MIN(adept_dp_cap,TblMili[[#This Row],[WG]]/adept_dp_bonus)</f>
        <v>0</v>
      </c>
      <c r="CF96" s="97">
        <f ca="1">MIN(TblMili[[#This Row],[Unit 3]],TblMili[[#This Row],[Unit 2]])*2</f>
        <v>0</v>
      </c>
      <c r="CG96" s="97">
        <f ca="1">MIN(TblMili[[#This Row],[Unit 1]],TblMili[[#This Row],[Unit 4]])*2</f>
        <v>0</v>
      </c>
      <c r="CH96" s="266">
        <f ca="1">MIN(frost_mage_cap,TblMili[[#This Row],[Hill]]/frost_mage_bonus)</f>
        <v>2.1999999999999997</v>
      </c>
      <c r="CI96" s="45">
        <f ca="1">MIN(ice_elem_cap,TblMili[[#This Row],[Raw (2)]]*ice_elem_bonus)</f>
        <v>0.1</v>
      </c>
      <c r="CJ96" s="266">
        <f t="shared" si="3"/>
        <v>0.83333333333333337</v>
      </c>
      <c r="CK96" s="266">
        <f ca="1">MIN(nox_nightshade_cap,TblConstr[[#This Row],[Homeland]]/TblConstr[[#This Row],[Land]]/nox_nightshade_swamp_bonus)</f>
        <v>4</v>
      </c>
      <c r="CL96" s="267"/>
      <c r="CM96" s="267"/>
      <c r="CN96" s="267"/>
      <c r="CO96" s="266">
        <f ca="1">MIN(6,TblMili[[#This Row],[Mystic]]+Races!$F$19)*1.8 +  IF(TblMili[[#This Row],[Mystic]]+Races!$F$19&gt;6,(TblMili[[#This Row],[Mystic]]+Races!$F$19-6)*0.2,0) - Races!$I$19</f>
        <v>3.6399999999999997</v>
      </c>
      <c r="CP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6" s="97">
        <f ca="1">TblMili[[#This Row],[Mystic bonus]]*TblMili[[#This Row],[Unit 3]]+TblMili[[#This Row],[Druid bonus]]*TblMili[[#This Row],[Unit 4]]</f>
        <v>0</v>
      </c>
      <c r="CR96" s="158">
        <f ca="1">MIN(6,TblMili[[#This Row],[Dryad]]+Races!$F$35)*1.8 +  IF(TblMili[[#This Row],[Dryad]]+Races!$F$35&gt;6,(TblMili[[#This Row],[Dryad]]+Races!$F$35-6)*0.2,0) - Races!$I$19</f>
        <v>2.1599999999999993</v>
      </c>
      <c r="CS96" s="97">
        <f ca="1">sylvan*(TblMili[[#This Row],[Mystic bonus]]*TblMili[[#This Row],[Unit 3]])</f>
        <v>0</v>
      </c>
      <c r="CT96" s="158">
        <f ca="1">1.8 * MIN(MAX(Races!$E$27,TblMili[[#This Row],[Rockapult]]+Races!$F$27),6)  +  0.45 * MIN(MIN(Races!$E$27,TblMili[[#This Row],[Rockapult]]+Races!$F$27),6)  +  0.2 * ( MAX(Races!$E$27-6,0) + MAX(TblMili[[#This Row],[Rockapult]]+Races!$F$27-6,0) )  -  Races!$I$20</f>
        <v>5.8500000000000005</v>
      </c>
      <c r="CU96" s="97">
        <f ca="1">gnome*(TblMili[[#This Row],[Rockapult bonus]]*TblMili[[#This Row],[Unit 3]])</f>
        <v>0</v>
      </c>
      <c r="CV96" s="158">
        <f ca="1">1.8 * MIN(MAX(TblMili[[#This Row],[Spellblade]]+Races!$E$47,TblMili[[#This Row],[Adept-DP]]+Races!$F$47),6)  +  0.45 * MIN(MIN(TblMili[[#This Row],[Spellblade]]+Races!$E$47,TblMili[[#This Row],[Adept-DP]]+Races!$F$47),6)  +  0.2 * ( MAX(TblMili[[#This Row],[Spellblade]]+Races!$E$47-6,0) + MAX(TblMili[[#This Row],[Adept-DP]]+Races!$F$47-6,0) )  -  Races!$I$47</f>
        <v>0</v>
      </c>
      <c r="CW96" s="97">
        <f ca="1">dark_elf*(TblMili[[#This Row],[Adept bonus]]*TblMili[[#This Row],[Unit 3]])</f>
        <v>0</v>
      </c>
      <c r="CX96" s="158">
        <f ca="1">1.8 * MIN(MAX(TblMili[[#This Row],[Frost Mage]]+Races!$F$71,Races!$E$71),6)  +  0.45 * MIN(MIN(TblMili[[#This Row],[Frost Mage]]+Races!$F$71,Races!$E$71),6)  +  0.2 * ( MAX(TblMili[[#This Row],[Frost Mage]]+Races!$F$71-6,0) + MAX(Races!$E$71-6,0) )  -  Races!$I$71</f>
        <v>3.9599999999999991</v>
      </c>
      <c r="CY96" s="158">
        <f ca="1">1.8 * MIN(MAX(TblMili[[#This Row],[Ice Elemental]]+Races!$E$71,Races!$F$71),6)  +  0.45 * MIN(MIN(TblMili[[#This Row],[Ice Elemental]]+Races!$E$71,Races!$F$71),6)  +  0.2 * ( MAX(TblMili[[#This Row],[Ice Elemental]]+Races!$E$71-6,0) + MAX(Races!$F$71-6,0) )  -  Races!$I$71</f>
        <v>0.17999999999999972</v>
      </c>
      <c r="CZ96" s="97">
        <f ca="1">TblMili[[#This Row],[Frost Mage bonus]]*TblMili[[#This Row],[Unit 3]]+TblMili[[#This Row],[Ice Elemental bonus]]*TblMili[[#This Row],[Unit 4]]</f>
        <v>0</v>
      </c>
      <c r="DA96" s="268"/>
      <c r="DB96" s="146">
        <f ca="1">MIN(SUM(TblConstr[[#This Row],[Plain]:[Water]])/TblMili[[#This Row],[Land]]/favorable_terrain_bonus/100,favorable_terrain_max)</f>
        <v>0.1</v>
      </c>
      <c r="DC96" s="268"/>
      <c r="DD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6" s="145"/>
      <c r="DF96" s="269">
        <f ca="1">(TblMili[[#This Row],[Wizards]]+2*TblMili[[#This Row],[Archmages]])/TblConstr[[#This Row],[Land]]</f>
        <v>0.1</v>
      </c>
      <c r="DG96" s="269">
        <f ca="1">TblMili[[#This Row],[Raw (2)]]*(1+race_wizard_strength+IF(TblMili[[#This Row],[Hour]]&gt;72,tech_magical_weaponry_wiz*TblTech[[#This Row],[3-5]],0))</f>
        <v>0.1</v>
      </c>
    </row>
    <row r="97" spans="1:111"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45461.874999999774</v>
      </c>
      <c r="AG97" s="182"/>
      <c r="AH97" s="182"/>
      <c r="AI97" s="182"/>
      <c r="AJ97" s="182"/>
      <c r="AK97" s="182"/>
      <c r="AL97" s="182"/>
      <c r="AM97" s="182"/>
      <c r="AN97" s="182"/>
      <c r="AO97" s="449">
        <f ca="1">IF(AND(TblMagic[[#This Row],[Active DnD]]&lt;12,TblMagic[[#This Row],[Active DnD]]&gt;5),OFFSET(TblPop[[#This Row],[Draft Growth]],-1,0)/2,0)</f>
        <v>0</v>
      </c>
      <c r="AP97" s="145"/>
      <c r="AQ97" s="97">
        <f ca="1">TblProd[[#This Row],[Platinum]]</f>
        <v>631076</v>
      </c>
      <c r="AR97" s="97">
        <f ca="1">INDEX(TblProd[[#Headers],[Lumber]]:TblProd[[#This Row],[Ore]],COUNTA(TblProd[[#Headers],[Lumber]]:TblProd[[#This Row],[Lumber]]),MATCH(Military!$AQ$2,TblProd[[#Headers],[Lumber]:[Ore]],0))</f>
        <v>0</v>
      </c>
      <c r="AS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7">
        <f ca="1">TblMili[[#This Row],[Train Unit 1]]*TblMili[[#This Row],[OP Ore]]+TblMili[[#This Row],[Train Unit 2]]*TblMili[[#This Row],[DP Ore]]+TblMili[[#This Row],[Train Unit 3]]*TblMili[[#This Row],[E1 Ore]]+TblMili[[#This Row],[Train Unit 4]]*TblMili[[#This Row],[E2 Ore]]</f>
        <v>0</v>
      </c>
      <c r="AU97" s="145">
        <f>TblMili[[#This Row],[Hour]]</f>
        <v>94</v>
      </c>
      <c r="AV97" s="155">
        <f ca="1">TblMili[[#This Row],[Time]]</f>
        <v>45461.874999999774</v>
      </c>
      <c r="AW97" s="97">
        <f ca="1">TblMili[[#This Row],[Draftees]]</f>
        <v>626</v>
      </c>
      <c r="AX97" s="182"/>
      <c r="AY97" s="182"/>
      <c r="AZ97" s="182"/>
      <c r="BA97" s="182"/>
      <c r="BB97" s="182"/>
      <c r="BC97" s="182"/>
      <c r="BD97" s="182"/>
      <c r="BE97" s="182"/>
      <c r="BF97" s="182"/>
      <c r="BG97" s="145"/>
      <c r="BH97" s="160">
        <f ca="1">TblConstr[[#This Row],[Tot WG]]/TblConstr[[#This Row],[Land]]</f>
        <v>0</v>
      </c>
      <c r="BI97" s="160">
        <f ca="1">TblConstr[[#This Row],[Tot Hav]]/TblConstr[[#This Row],[Land]]</f>
        <v>0</v>
      </c>
      <c r="BJ97" s="97">
        <f ca="1">ROUNDUP((1-MIN(TblMili[[#This Row],[Smithies]]*smithy_bonus,smithy_bonus_cap) + tech_3_5*TblTech[[#This Row],[3-5]] + tech_5_3*TblTech[[#This Row],[5-3]] + tech_5_5*TblTech[[#This Row],[5-5]])*spec_op_plat,0)</f>
        <v>275</v>
      </c>
      <c r="BK97" s="97">
        <f ca="1">ROUNDUP(IF(race="Gnome",1,(1-MIN(TblMili[[#This Row],[Smithies]]*smithy_bonus,smithy_bonus_cap) + tech_3_5*TblTech[[#This Row],[3-5]] + tech_5_3*TblTech[[#This Row],[5-3]] + tech_5_5*TblTech[[#This Row],[5-5]]))*spec_op_ore,0)</f>
        <v>25</v>
      </c>
      <c r="BL97" s="97">
        <f ca="1">ROUNDUP((1-MIN(TblMili[[#This Row],[Smithies]]*smithy_bonus,smithy_bonus_cap) + tech_3_5*TblTech[[#This Row],[3-5]] + tech_5_3*TblTech[[#This Row],[5-3]] + tech_5_5*TblTech[[#This Row],[5-5]])*spec_dp_plat,0)</f>
        <v>275</v>
      </c>
      <c r="BM97" s="97">
        <f ca="1">ROUNDUP(IF(race="Gnome",1,(1-MIN(TblMili[[#This Row],[Smithies]]*smithy_bonus,smithy_bonus_cap) + tech_3_5*TblTech[[#This Row],[3-5]] + tech_5_3*TblTech[[#This Row],[5-3]] + tech_5_5*TblTech[[#This Row],[5-5]]))*spec_dp_ore,0)</f>
        <v>15</v>
      </c>
      <c r="BN97" s="97">
        <f ca="1">ROUNDUP((1-MIN(TblMili[[#This Row],[Smithies]]*smithy_bonus,smithy_bonus_cap) + tech_3_5*TblTech[[#This Row],[3-5]] + tech_5_3*TblTech[[#This Row],[5-3]] + tech_5_5*TblTech[[#This Row],[5-5]])*elite1_plat,0)</f>
        <v>1000</v>
      </c>
      <c r="BO97" s="97">
        <f ca="1">ROUNDUP(IF(race="Gnome",1,(1-MIN(TblMili[[#This Row],[Smithies]]*smithy_bonus,smithy_bonus_cap) + tech_3_5*TblTech[[#This Row],[3-5]] + tech_5_3*TblTech[[#This Row],[5-3]] + tech_5_5*TblTech[[#This Row],[5-5]]))*elite1_ore,0)</f>
        <v>75</v>
      </c>
      <c r="BP97" s="97">
        <f ca="1">ROUNDUP((1-MIN(TblMili[[#This Row],[Smithies]]*smithy_bonus,smithy_bonus_cap) + tech_3_5*TblTech[[#This Row],[3-5]] + tech_5_3*TblTech[[#This Row],[5-3]] + tech_5_5*TblTech[[#This Row],[5-5]])*elite2_plat,0)</f>
        <v>1250</v>
      </c>
      <c r="BQ97" s="97">
        <f ca="1">ROUNDUP(IF(race="Gnome",1,(1-MIN(TblMili[[#This Row],[Smithies]]*smithy_bonus,smithy_bonus_cap) + tech_3_5*TblTech[[#This Row],[3-5]] + tech_5_3*TblTech[[#This Row],[5-3]] + tech_5_5*TblTech[[#This Row],[5-5]]))*elite2_ore,0)</f>
        <v>100</v>
      </c>
      <c r="BR97" s="97">
        <f ca="1">ROUNDUP((1-MIN(ROUND(fh_spy_cost_red*TblMili[[#This Row],[FH''s]],4),fh_spy_cost_cap)+ tech_1_9*TblTech[[#This Row],[1-9]] + tech_9_1*TblTech[[#This Row],[9-1]])*spy_plat,0)</f>
        <v>500</v>
      </c>
      <c r="BS97" s="97">
        <f ca="1">ROUNDUP((1-MIN(ROUND(fh_spy_cost_red*TblMili[[#This Row],[FH''s]],4),fh_spy_cost_cap)+ tech_1_9*TblTech[[#This Row],[1-9]] + tech_9_1*TblTech[[#This Row],[9-1]])*archspy_plat,0)</f>
        <v>1000</v>
      </c>
      <c r="BT97" s="97">
        <f ca="1">ROUNDUP((1-MIN(ROUND(wg_wiz_cost_bonus*TblMili[[#This Row],[WG''s]],4),wg_wiz_cost_cap) + tech_1_9_2*TblTech[[#This Row],[1-9]] + tech_9_1_2*TblTech[[#This Row],[9-1]])*wizard_plat,0)</f>
        <v>500</v>
      </c>
      <c r="BU97" s="97">
        <f ca="1">ROUNDUP((1-MIN(ROUND(wg_wiz_cost_bonus*TblMili[[#This Row],[WG''s]],4),wg_wiz_cost_cap) + tech_1_9_2*TblTech[[#This Row],[1-9]] + tech_9_1_2*TblTech[[#This Row],[9-1]])*archmage_plat,0)</f>
        <v>1000</v>
      </c>
      <c r="BV97" s="145"/>
      <c r="BW97" s="160">
        <f ca="1">TblConstr[[#This Row],[Homeland]]/TblConstr[[#This Row],[Land]]</f>
        <v>0.44</v>
      </c>
      <c r="BX97" s="160">
        <f ca="1">TblMili[[#This Row],[WG''s]]</f>
        <v>0</v>
      </c>
      <c r="BY97" s="266">
        <f ca="1">IF(mystic_cap="none",TblMili[[#This Row],[Hill]]/mystic_bonus,MIN(mystic_cap,TblMili[[#This Row],[Hill]]/mystic_bonus))</f>
        <v>2.1999999999999997</v>
      </c>
      <c r="BZ97" s="266">
        <f ca="1">IF(druid_op_cap="none",TblMili[[#This Row],[Hill]]/druid_op_bonus,MIN(druid_op_cap,TblMili[[#This Row],[Hill]]/druid_op_bonus))</f>
        <v>2.1999999999999997</v>
      </c>
      <c r="CA97" s="266">
        <f ca="1">IF(druid_dp_cap="none",TblMili[[#This Row],[Hill]]/druid_dp_bonus,MIN(druid_dp_cap,TblMili[[#This Row],[Hill]]/druid_dp_bonus))</f>
        <v>2.1999999999999997</v>
      </c>
      <c r="CB97" s="266">
        <f ca="1">MIN(dryad_cap,TblMili[[#This Row],[Hill]]/dryad_bonus)</f>
        <v>2.1999999999999997</v>
      </c>
      <c r="CC97" s="266">
        <f ca="1">MIN(rocka_cap,TblMili[[#This Row],[Hill]]/rocka_bonus)</f>
        <v>2</v>
      </c>
      <c r="CD97" s="266">
        <f ca="1">MIN(adept_op_cap,TblMili[[#This Row],[WG]]/adept_op_bonus)</f>
        <v>0</v>
      </c>
      <c r="CE97" s="266">
        <f ca="1">MIN(adept_dp_cap,TblMili[[#This Row],[WG]]/adept_dp_bonus)</f>
        <v>0</v>
      </c>
      <c r="CF97" s="97">
        <f ca="1">MIN(TblMili[[#This Row],[Unit 3]],TblMili[[#This Row],[Unit 2]])*2</f>
        <v>0</v>
      </c>
      <c r="CG97" s="97">
        <f ca="1">MIN(TblMili[[#This Row],[Unit 1]],TblMili[[#This Row],[Unit 4]])*2</f>
        <v>0</v>
      </c>
      <c r="CH97" s="266">
        <f ca="1">MIN(frost_mage_cap,TblMili[[#This Row],[Hill]]/frost_mage_bonus)</f>
        <v>2.1999999999999997</v>
      </c>
      <c r="CI97" s="45">
        <f ca="1">MIN(ice_elem_cap,TblMili[[#This Row],[Raw (2)]]*ice_elem_bonus)</f>
        <v>0.1</v>
      </c>
      <c r="CJ97" s="266">
        <f t="shared" si="3"/>
        <v>0.83333333333333337</v>
      </c>
      <c r="CK97" s="266">
        <f ca="1">MIN(nox_nightshade_cap,TblConstr[[#This Row],[Homeland]]/TblConstr[[#This Row],[Land]]/nox_nightshade_swamp_bonus)</f>
        <v>4</v>
      </c>
      <c r="CL97" s="267"/>
      <c r="CM97" s="267"/>
      <c r="CN97" s="267"/>
      <c r="CO97" s="266">
        <f ca="1">MIN(6,TblMili[[#This Row],[Mystic]]+Races!$F$19)*1.8 +  IF(TblMili[[#This Row],[Mystic]]+Races!$F$19&gt;6,(TblMili[[#This Row],[Mystic]]+Races!$F$19-6)*0.2,0) - Races!$I$19</f>
        <v>3.6399999999999997</v>
      </c>
      <c r="CP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7" s="97">
        <f ca="1">TblMili[[#This Row],[Mystic bonus]]*TblMili[[#This Row],[Unit 3]]+TblMili[[#This Row],[Druid bonus]]*TblMili[[#This Row],[Unit 4]]</f>
        <v>0</v>
      </c>
      <c r="CR97" s="158">
        <f ca="1">MIN(6,TblMili[[#This Row],[Dryad]]+Races!$F$35)*1.8 +  IF(TblMili[[#This Row],[Dryad]]+Races!$F$35&gt;6,(TblMili[[#This Row],[Dryad]]+Races!$F$35-6)*0.2,0) - Races!$I$19</f>
        <v>2.1599999999999993</v>
      </c>
      <c r="CS97" s="97">
        <f ca="1">sylvan*(TblMili[[#This Row],[Mystic bonus]]*TblMili[[#This Row],[Unit 3]])</f>
        <v>0</v>
      </c>
      <c r="CT97" s="158">
        <f ca="1">1.8 * MIN(MAX(Races!$E$27,TblMili[[#This Row],[Rockapult]]+Races!$F$27),6)  +  0.45 * MIN(MIN(Races!$E$27,TblMili[[#This Row],[Rockapult]]+Races!$F$27),6)  +  0.2 * ( MAX(Races!$E$27-6,0) + MAX(TblMili[[#This Row],[Rockapult]]+Races!$F$27-6,0) )  -  Races!$I$20</f>
        <v>5.8500000000000005</v>
      </c>
      <c r="CU97" s="97">
        <f ca="1">gnome*(TblMili[[#This Row],[Rockapult bonus]]*TblMili[[#This Row],[Unit 3]])</f>
        <v>0</v>
      </c>
      <c r="CV97" s="158">
        <f ca="1">1.8 * MIN(MAX(TblMili[[#This Row],[Spellblade]]+Races!$E$47,TblMili[[#This Row],[Adept-DP]]+Races!$F$47),6)  +  0.45 * MIN(MIN(TblMili[[#This Row],[Spellblade]]+Races!$E$47,TblMili[[#This Row],[Adept-DP]]+Races!$F$47),6)  +  0.2 * ( MAX(TblMili[[#This Row],[Spellblade]]+Races!$E$47-6,0) + MAX(TblMili[[#This Row],[Adept-DP]]+Races!$F$47-6,0) )  -  Races!$I$47</f>
        <v>0</v>
      </c>
      <c r="CW97" s="97">
        <f ca="1">dark_elf*(TblMili[[#This Row],[Adept bonus]]*TblMili[[#This Row],[Unit 3]])</f>
        <v>0</v>
      </c>
      <c r="CX97" s="158">
        <f ca="1">1.8 * MIN(MAX(TblMili[[#This Row],[Frost Mage]]+Races!$F$71,Races!$E$71),6)  +  0.45 * MIN(MIN(TblMili[[#This Row],[Frost Mage]]+Races!$F$71,Races!$E$71),6)  +  0.2 * ( MAX(TblMili[[#This Row],[Frost Mage]]+Races!$F$71-6,0) + MAX(Races!$E$71-6,0) )  -  Races!$I$71</f>
        <v>3.9599999999999991</v>
      </c>
      <c r="CY97" s="158">
        <f ca="1">1.8 * MIN(MAX(TblMili[[#This Row],[Ice Elemental]]+Races!$E$71,Races!$F$71),6)  +  0.45 * MIN(MIN(TblMili[[#This Row],[Ice Elemental]]+Races!$E$71,Races!$F$71),6)  +  0.2 * ( MAX(TblMili[[#This Row],[Ice Elemental]]+Races!$E$71-6,0) + MAX(Races!$F$71-6,0) )  -  Races!$I$71</f>
        <v>0.17999999999999972</v>
      </c>
      <c r="CZ97" s="97">
        <f ca="1">TblMili[[#This Row],[Frost Mage bonus]]*TblMili[[#This Row],[Unit 3]]+TblMili[[#This Row],[Ice Elemental bonus]]*TblMili[[#This Row],[Unit 4]]</f>
        <v>0</v>
      </c>
      <c r="DA97" s="268"/>
      <c r="DB97" s="146">
        <f ca="1">MIN(SUM(TblConstr[[#This Row],[Plain]:[Water]])/TblMili[[#This Row],[Land]]/favorable_terrain_bonus/100,favorable_terrain_max)</f>
        <v>0.1</v>
      </c>
      <c r="DC97" s="268"/>
      <c r="DD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7" s="145"/>
      <c r="DF97" s="269">
        <f ca="1">(TblMili[[#This Row],[Wizards]]+2*TblMili[[#This Row],[Archmages]])/TblConstr[[#This Row],[Land]]</f>
        <v>0.1</v>
      </c>
      <c r="DG97" s="269">
        <f ca="1">TblMili[[#This Row],[Raw (2)]]*(1+race_wizard_strength+IF(TblMili[[#This Row],[Hour]]&gt;72,tech_magical_weaponry_wiz*TblTech[[#This Row],[3-5]],0))</f>
        <v>0.1</v>
      </c>
    </row>
    <row r="98" spans="1:111"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45461.916666666439</v>
      </c>
      <c r="AG98" s="182"/>
      <c r="AH98" s="182"/>
      <c r="AI98" s="182"/>
      <c r="AJ98" s="182"/>
      <c r="AK98" s="182"/>
      <c r="AL98" s="182"/>
      <c r="AM98" s="182"/>
      <c r="AN98" s="182"/>
      <c r="AO98" s="449">
        <f ca="1">IF(AND(TblMagic[[#This Row],[Active DnD]]&lt;12,TblMagic[[#This Row],[Active DnD]]&gt;5),OFFSET(TblPop[[#This Row],[Draft Growth]],-1,0)/2,0)</f>
        <v>0</v>
      </c>
      <c r="AP98" s="145"/>
      <c r="AQ98" s="97">
        <f ca="1">TblProd[[#This Row],[Platinum]]</f>
        <v>636562</v>
      </c>
      <c r="AR98" s="97">
        <f ca="1">INDEX(TblProd[[#Headers],[Lumber]]:TblProd[[#This Row],[Ore]],COUNTA(TblProd[[#Headers],[Lumber]]:TblProd[[#This Row],[Lumber]]),MATCH(Military!$AQ$2,TblProd[[#Headers],[Lumber]:[Ore]],0))</f>
        <v>0</v>
      </c>
      <c r="AS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7">
        <f ca="1">TblMili[[#This Row],[Train Unit 1]]*TblMili[[#This Row],[OP Ore]]+TblMili[[#This Row],[Train Unit 2]]*TblMili[[#This Row],[DP Ore]]+TblMili[[#This Row],[Train Unit 3]]*TblMili[[#This Row],[E1 Ore]]+TblMili[[#This Row],[Train Unit 4]]*TblMili[[#This Row],[E2 Ore]]</f>
        <v>0</v>
      </c>
      <c r="AU98" s="145">
        <f>TblMili[[#This Row],[Hour]]</f>
        <v>95</v>
      </c>
      <c r="AV98" s="155">
        <f ca="1">TblMili[[#This Row],[Time]]</f>
        <v>45461.916666666439</v>
      </c>
      <c r="AW98" s="97">
        <f ca="1">TblMili[[#This Row],[Draftees]]</f>
        <v>626</v>
      </c>
      <c r="AX98" s="182"/>
      <c r="AY98" s="182"/>
      <c r="AZ98" s="182"/>
      <c r="BA98" s="182"/>
      <c r="BB98" s="182"/>
      <c r="BC98" s="182"/>
      <c r="BD98" s="182"/>
      <c r="BE98" s="182"/>
      <c r="BF98" s="182"/>
      <c r="BG98" s="145"/>
      <c r="BH98" s="160">
        <f ca="1">TblConstr[[#This Row],[Tot WG]]/TblConstr[[#This Row],[Land]]</f>
        <v>0</v>
      </c>
      <c r="BI98" s="160">
        <f ca="1">TblConstr[[#This Row],[Tot Hav]]/TblConstr[[#This Row],[Land]]</f>
        <v>0</v>
      </c>
      <c r="BJ98" s="97">
        <f ca="1">ROUNDUP((1-MIN(TblMili[[#This Row],[Smithies]]*smithy_bonus,smithy_bonus_cap) + tech_3_5*TblTech[[#This Row],[3-5]] + tech_5_3*TblTech[[#This Row],[5-3]] + tech_5_5*TblTech[[#This Row],[5-5]])*spec_op_plat,0)</f>
        <v>275</v>
      </c>
      <c r="BK98" s="97">
        <f ca="1">ROUNDUP(IF(race="Gnome",1,(1-MIN(TblMili[[#This Row],[Smithies]]*smithy_bonus,smithy_bonus_cap) + tech_3_5*TblTech[[#This Row],[3-5]] + tech_5_3*TblTech[[#This Row],[5-3]] + tech_5_5*TblTech[[#This Row],[5-5]]))*spec_op_ore,0)</f>
        <v>25</v>
      </c>
      <c r="BL98" s="97">
        <f ca="1">ROUNDUP((1-MIN(TblMili[[#This Row],[Smithies]]*smithy_bonus,smithy_bonus_cap) + tech_3_5*TblTech[[#This Row],[3-5]] + tech_5_3*TblTech[[#This Row],[5-3]] + tech_5_5*TblTech[[#This Row],[5-5]])*spec_dp_plat,0)</f>
        <v>275</v>
      </c>
      <c r="BM98" s="97">
        <f ca="1">ROUNDUP(IF(race="Gnome",1,(1-MIN(TblMili[[#This Row],[Smithies]]*smithy_bonus,smithy_bonus_cap) + tech_3_5*TblTech[[#This Row],[3-5]] + tech_5_3*TblTech[[#This Row],[5-3]] + tech_5_5*TblTech[[#This Row],[5-5]]))*spec_dp_ore,0)</f>
        <v>15</v>
      </c>
      <c r="BN98" s="97">
        <f ca="1">ROUNDUP((1-MIN(TblMili[[#This Row],[Smithies]]*smithy_bonus,smithy_bonus_cap) + tech_3_5*TblTech[[#This Row],[3-5]] + tech_5_3*TblTech[[#This Row],[5-3]] + tech_5_5*TblTech[[#This Row],[5-5]])*elite1_plat,0)</f>
        <v>1000</v>
      </c>
      <c r="BO98" s="97">
        <f ca="1">ROUNDUP(IF(race="Gnome",1,(1-MIN(TblMili[[#This Row],[Smithies]]*smithy_bonus,smithy_bonus_cap) + tech_3_5*TblTech[[#This Row],[3-5]] + tech_5_3*TblTech[[#This Row],[5-3]] + tech_5_5*TblTech[[#This Row],[5-5]]))*elite1_ore,0)</f>
        <v>75</v>
      </c>
      <c r="BP98" s="97">
        <f ca="1">ROUNDUP((1-MIN(TblMili[[#This Row],[Smithies]]*smithy_bonus,smithy_bonus_cap) + tech_3_5*TblTech[[#This Row],[3-5]] + tech_5_3*TblTech[[#This Row],[5-3]] + tech_5_5*TblTech[[#This Row],[5-5]])*elite2_plat,0)</f>
        <v>1250</v>
      </c>
      <c r="BQ98" s="97">
        <f ca="1">ROUNDUP(IF(race="Gnome",1,(1-MIN(TblMili[[#This Row],[Smithies]]*smithy_bonus,smithy_bonus_cap) + tech_3_5*TblTech[[#This Row],[3-5]] + tech_5_3*TblTech[[#This Row],[5-3]] + tech_5_5*TblTech[[#This Row],[5-5]]))*elite2_ore,0)</f>
        <v>100</v>
      </c>
      <c r="BR98" s="97">
        <f ca="1">ROUNDUP((1-MIN(ROUND(fh_spy_cost_red*TblMili[[#This Row],[FH''s]],4),fh_spy_cost_cap)+ tech_1_9*TblTech[[#This Row],[1-9]] + tech_9_1*TblTech[[#This Row],[9-1]])*spy_plat,0)</f>
        <v>500</v>
      </c>
      <c r="BS98" s="97">
        <f ca="1">ROUNDUP((1-MIN(ROUND(fh_spy_cost_red*TblMili[[#This Row],[FH''s]],4),fh_spy_cost_cap)+ tech_1_9*TblTech[[#This Row],[1-9]] + tech_9_1*TblTech[[#This Row],[9-1]])*archspy_plat,0)</f>
        <v>1000</v>
      </c>
      <c r="BT98" s="97">
        <f ca="1">ROUNDUP((1-MIN(ROUND(wg_wiz_cost_bonus*TblMili[[#This Row],[WG''s]],4),wg_wiz_cost_cap) + tech_1_9_2*TblTech[[#This Row],[1-9]] + tech_9_1_2*TblTech[[#This Row],[9-1]])*wizard_plat,0)</f>
        <v>500</v>
      </c>
      <c r="BU98" s="97">
        <f ca="1">ROUNDUP((1-MIN(ROUND(wg_wiz_cost_bonus*TblMili[[#This Row],[WG''s]],4),wg_wiz_cost_cap) + tech_1_9_2*TblTech[[#This Row],[1-9]] + tech_9_1_2*TblTech[[#This Row],[9-1]])*archmage_plat,0)</f>
        <v>1000</v>
      </c>
      <c r="BV98" s="145"/>
      <c r="BW98" s="160">
        <f ca="1">TblConstr[[#This Row],[Homeland]]/TblConstr[[#This Row],[Land]]</f>
        <v>0.44</v>
      </c>
      <c r="BX98" s="160">
        <f ca="1">TblMili[[#This Row],[WG''s]]</f>
        <v>0</v>
      </c>
      <c r="BY98" s="266">
        <f ca="1">IF(mystic_cap="none",TblMili[[#This Row],[Hill]]/mystic_bonus,MIN(mystic_cap,TblMili[[#This Row],[Hill]]/mystic_bonus))</f>
        <v>2.1999999999999997</v>
      </c>
      <c r="BZ98" s="266">
        <f ca="1">IF(druid_op_cap="none",TblMili[[#This Row],[Hill]]/druid_op_bonus,MIN(druid_op_cap,TblMili[[#This Row],[Hill]]/druid_op_bonus))</f>
        <v>2.1999999999999997</v>
      </c>
      <c r="CA98" s="266">
        <f ca="1">IF(druid_dp_cap="none",TblMili[[#This Row],[Hill]]/druid_dp_bonus,MIN(druid_dp_cap,TblMili[[#This Row],[Hill]]/druid_dp_bonus))</f>
        <v>2.1999999999999997</v>
      </c>
      <c r="CB98" s="266">
        <f ca="1">MIN(dryad_cap,TblMili[[#This Row],[Hill]]/dryad_bonus)</f>
        <v>2.1999999999999997</v>
      </c>
      <c r="CC98" s="266">
        <f ca="1">MIN(rocka_cap,TblMili[[#This Row],[Hill]]/rocka_bonus)</f>
        <v>2</v>
      </c>
      <c r="CD98" s="266">
        <f ca="1">MIN(adept_op_cap,TblMili[[#This Row],[WG]]/adept_op_bonus)</f>
        <v>0</v>
      </c>
      <c r="CE98" s="266">
        <f ca="1">MIN(adept_dp_cap,TblMili[[#This Row],[WG]]/adept_dp_bonus)</f>
        <v>0</v>
      </c>
      <c r="CF98" s="97">
        <f ca="1">MIN(TblMili[[#This Row],[Unit 3]],TblMili[[#This Row],[Unit 2]])*2</f>
        <v>0</v>
      </c>
      <c r="CG98" s="97">
        <f ca="1">MIN(TblMili[[#This Row],[Unit 1]],TblMili[[#This Row],[Unit 4]])*2</f>
        <v>0</v>
      </c>
      <c r="CH98" s="266">
        <f ca="1">MIN(frost_mage_cap,TblMili[[#This Row],[Hill]]/frost_mage_bonus)</f>
        <v>2.1999999999999997</v>
      </c>
      <c r="CI98" s="45">
        <f ca="1">MIN(ice_elem_cap,TblMili[[#This Row],[Raw (2)]]*ice_elem_bonus)</f>
        <v>0.1</v>
      </c>
      <c r="CJ98" s="266">
        <f t="shared" si="3"/>
        <v>0.83333333333333337</v>
      </c>
      <c r="CK98" s="266">
        <f ca="1">MIN(nox_nightshade_cap,TblConstr[[#This Row],[Homeland]]/TblConstr[[#This Row],[Land]]/nox_nightshade_swamp_bonus)</f>
        <v>4</v>
      </c>
      <c r="CL98" s="267"/>
      <c r="CM98" s="267"/>
      <c r="CN98" s="267"/>
      <c r="CO98" s="266">
        <f ca="1">MIN(6,TblMili[[#This Row],[Mystic]]+Races!$F$19)*1.8 +  IF(TblMili[[#This Row],[Mystic]]+Races!$F$19&gt;6,(TblMili[[#This Row],[Mystic]]+Races!$F$19-6)*0.2,0) - Races!$I$19</f>
        <v>3.6399999999999997</v>
      </c>
      <c r="CP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8" s="97">
        <f ca="1">TblMili[[#This Row],[Mystic bonus]]*TblMili[[#This Row],[Unit 3]]+TblMili[[#This Row],[Druid bonus]]*TblMili[[#This Row],[Unit 4]]</f>
        <v>0</v>
      </c>
      <c r="CR98" s="158">
        <f ca="1">MIN(6,TblMili[[#This Row],[Dryad]]+Races!$F$35)*1.8 +  IF(TblMili[[#This Row],[Dryad]]+Races!$F$35&gt;6,(TblMili[[#This Row],[Dryad]]+Races!$F$35-6)*0.2,0) - Races!$I$19</f>
        <v>2.1599999999999993</v>
      </c>
      <c r="CS98" s="97">
        <f ca="1">sylvan*(TblMili[[#This Row],[Mystic bonus]]*TblMili[[#This Row],[Unit 3]])</f>
        <v>0</v>
      </c>
      <c r="CT98" s="158">
        <f ca="1">1.8 * MIN(MAX(Races!$E$27,TblMili[[#This Row],[Rockapult]]+Races!$F$27),6)  +  0.45 * MIN(MIN(Races!$E$27,TblMili[[#This Row],[Rockapult]]+Races!$F$27),6)  +  0.2 * ( MAX(Races!$E$27-6,0) + MAX(TblMili[[#This Row],[Rockapult]]+Races!$F$27-6,0) )  -  Races!$I$20</f>
        <v>5.8500000000000005</v>
      </c>
      <c r="CU98" s="97">
        <f ca="1">gnome*(TblMili[[#This Row],[Rockapult bonus]]*TblMili[[#This Row],[Unit 3]])</f>
        <v>0</v>
      </c>
      <c r="CV98" s="158">
        <f ca="1">1.8 * MIN(MAX(TblMili[[#This Row],[Spellblade]]+Races!$E$47,TblMili[[#This Row],[Adept-DP]]+Races!$F$47),6)  +  0.45 * MIN(MIN(TblMili[[#This Row],[Spellblade]]+Races!$E$47,TblMili[[#This Row],[Adept-DP]]+Races!$F$47),6)  +  0.2 * ( MAX(TblMili[[#This Row],[Spellblade]]+Races!$E$47-6,0) + MAX(TblMili[[#This Row],[Adept-DP]]+Races!$F$47-6,0) )  -  Races!$I$47</f>
        <v>0</v>
      </c>
      <c r="CW98" s="97">
        <f ca="1">dark_elf*(TblMili[[#This Row],[Adept bonus]]*TblMili[[#This Row],[Unit 3]])</f>
        <v>0</v>
      </c>
      <c r="CX98" s="158">
        <f ca="1">1.8 * MIN(MAX(TblMili[[#This Row],[Frost Mage]]+Races!$F$71,Races!$E$71),6)  +  0.45 * MIN(MIN(TblMili[[#This Row],[Frost Mage]]+Races!$F$71,Races!$E$71),6)  +  0.2 * ( MAX(TblMili[[#This Row],[Frost Mage]]+Races!$F$71-6,0) + MAX(Races!$E$71-6,0) )  -  Races!$I$71</f>
        <v>3.9599999999999991</v>
      </c>
      <c r="CY98" s="158">
        <f ca="1">1.8 * MIN(MAX(TblMili[[#This Row],[Ice Elemental]]+Races!$E$71,Races!$F$71),6)  +  0.45 * MIN(MIN(TblMili[[#This Row],[Ice Elemental]]+Races!$E$71,Races!$F$71),6)  +  0.2 * ( MAX(TblMili[[#This Row],[Ice Elemental]]+Races!$E$71-6,0) + MAX(Races!$F$71-6,0) )  -  Races!$I$71</f>
        <v>0.17999999999999972</v>
      </c>
      <c r="CZ98" s="97">
        <f ca="1">TblMili[[#This Row],[Frost Mage bonus]]*TblMili[[#This Row],[Unit 3]]+TblMili[[#This Row],[Ice Elemental bonus]]*TblMili[[#This Row],[Unit 4]]</f>
        <v>0</v>
      </c>
      <c r="DA98" s="268"/>
      <c r="DB98" s="146">
        <f ca="1">MIN(SUM(TblConstr[[#This Row],[Plain]:[Water]])/TblMili[[#This Row],[Land]]/favorable_terrain_bonus/100,favorable_terrain_max)</f>
        <v>0.1</v>
      </c>
      <c r="DC98" s="268"/>
      <c r="DD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8" s="145"/>
      <c r="DF98" s="269">
        <f ca="1">(TblMili[[#This Row],[Wizards]]+2*TblMili[[#This Row],[Archmages]])/TblConstr[[#This Row],[Land]]</f>
        <v>0.1</v>
      </c>
      <c r="DG98" s="269">
        <f ca="1">TblMili[[#This Row],[Raw (2)]]*(1+race_wizard_strength+IF(TblMili[[#This Row],[Hour]]&gt;72,tech_magical_weaponry_wiz*TblTech[[#This Row],[3-5]],0))</f>
        <v>0.1</v>
      </c>
    </row>
    <row r="99" spans="1:111"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45461.958333333103</v>
      </c>
      <c r="AG99" s="182"/>
      <c r="AH99" s="182"/>
      <c r="AI99" s="182"/>
      <c r="AJ99" s="182"/>
      <c r="AK99" s="182"/>
      <c r="AL99" s="182"/>
      <c r="AM99" s="182"/>
      <c r="AN99" s="182"/>
      <c r="AO99" s="449">
        <f ca="1">IF(AND(TblMagic[[#This Row],[Active DnD]]&lt;12,TblMagic[[#This Row],[Active DnD]]&gt;5),OFFSET(TblPop[[#This Row],[Draft Growth]],-1,0)/2,0)</f>
        <v>0</v>
      </c>
      <c r="AP99" s="145"/>
      <c r="AQ99" s="97">
        <f ca="1">TblProd[[#This Row],[Platinum]]</f>
        <v>642048</v>
      </c>
      <c r="AR99" s="97">
        <f ca="1">INDEX(TblProd[[#Headers],[Lumber]]:TblProd[[#This Row],[Ore]],COUNTA(TblProd[[#Headers],[Lumber]]:TblProd[[#This Row],[Lumber]]),MATCH(Military!$AQ$2,TblProd[[#Headers],[Lumber]:[Ore]],0))</f>
        <v>0</v>
      </c>
      <c r="AS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7">
        <f ca="1">TblMili[[#This Row],[Train Unit 1]]*TblMili[[#This Row],[OP Ore]]+TblMili[[#This Row],[Train Unit 2]]*TblMili[[#This Row],[DP Ore]]+TblMili[[#This Row],[Train Unit 3]]*TblMili[[#This Row],[E1 Ore]]+TblMili[[#This Row],[Train Unit 4]]*TblMili[[#This Row],[E2 Ore]]</f>
        <v>0</v>
      </c>
      <c r="AU99" s="145">
        <f>TblMili[[#This Row],[Hour]]</f>
        <v>96</v>
      </c>
      <c r="AV99" s="155">
        <f ca="1">TblMili[[#This Row],[Time]]</f>
        <v>45461.958333333103</v>
      </c>
      <c r="AW99" s="97">
        <f ca="1">TblMili[[#This Row],[Draftees]]</f>
        <v>626</v>
      </c>
      <c r="AX99" s="182"/>
      <c r="AY99" s="182"/>
      <c r="AZ99" s="182"/>
      <c r="BA99" s="182"/>
      <c r="BB99" s="182"/>
      <c r="BC99" s="182"/>
      <c r="BD99" s="182"/>
      <c r="BE99" s="182"/>
      <c r="BF99" s="182"/>
      <c r="BG99" s="145"/>
      <c r="BH99" s="160">
        <f ca="1">TblConstr[[#This Row],[Tot WG]]/TblConstr[[#This Row],[Land]]</f>
        <v>0</v>
      </c>
      <c r="BI99" s="160">
        <f ca="1">TblConstr[[#This Row],[Tot Hav]]/TblConstr[[#This Row],[Land]]</f>
        <v>0</v>
      </c>
      <c r="BJ99" s="97">
        <f ca="1">ROUNDUP((1-MIN(TblMili[[#This Row],[Smithies]]*smithy_bonus,smithy_bonus_cap) + tech_3_5*TblTech[[#This Row],[3-5]] + tech_5_3*TblTech[[#This Row],[5-3]] + tech_5_5*TblTech[[#This Row],[5-5]])*spec_op_plat,0)</f>
        <v>275</v>
      </c>
      <c r="BK99" s="97">
        <f ca="1">ROUNDUP(IF(race="Gnome",1,(1-MIN(TblMili[[#This Row],[Smithies]]*smithy_bonus,smithy_bonus_cap) + tech_3_5*TblTech[[#This Row],[3-5]] + tech_5_3*TblTech[[#This Row],[5-3]] + tech_5_5*TblTech[[#This Row],[5-5]]))*spec_op_ore,0)</f>
        <v>25</v>
      </c>
      <c r="BL99" s="97">
        <f ca="1">ROUNDUP((1-MIN(TblMili[[#This Row],[Smithies]]*smithy_bonus,smithy_bonus_cap) + tech_3_5*TblTech[[#This Row],[3-5]] + tech_5_3*TblTech[[#This Row],[5-3]] + tech_5_5*TblTech[[#This Row],[5-5]])*spec_dp_plat,0)</f>
        <v>275</v>
      </c>
      <c r="BM99" s="97">
        <f ca="1">ROUNDUP(IF(race="Gnome",1,(1-MIN(TblMili[[#This Row],[Smithies]]*smithy_bonus,smithy_bonus_cap) + tech_3_5*TblTech[[#This Row],[3-5]] + tech_5_3*TblTech[[#This Row],[5-3]] + tech_5_5*TblTech[[#This Row],[5-5]]))*spec_dp_ore,0)</f>
        <v>15</v>
      </c>
      <c r="BN99" s="97">
        <f ca="1">ROUNDUP((1-MIN(TblMili[[#This Row],[Smithies]]*smithy_bonus,smithy_bonus_cap) + tech_3_5*TblTech[[#This Row],[3-5]] + tech_5_3*TblTech[[#This Row],[5-3]] + tech_5_5*TblTech[[#This Row],[5-5]])*elite1_plat,0)</f>
        <v>1000</v>
      </c>
      <c r="BO99" s="97">
        <f ca="1">ROUNDUP(IF(race="Gnome",1,(1-MIN(TblMili[[#This Row],[Smithies]]*smithy_bonus,smithy_bonus_cap) + tech_3_5*TblTech[[#This Row],[3-5]] + tech_5_3*TblTech[[#This Row],[5-3]] + tech_5_5*TblTech[[#This Row],[5-5]]))*elite1_ore,0)</f>
        <v>75</v>
      </c>
      <c r="BP99" s="97">
        <f ca="1">ROUNDUP((1-MIN(TblMili[[#This Row],[Smithies]]*smithy_bonus,smithy_bonus_cap) + tech_3_5*TblTech[[#This Row],[3-5]] + tech_5_3*TblTech[[#This Row],[5-3]] + tech_5_5*TblTech[[#This Row],[5-5]])*elite2_plat,0)</f>
        <v>1250</v>
      </c>
      <c r="BQ99" s="97">
        <f ca="1">ROUNDUP(IF(race="Gnome",1,(1-MIN(TblMili[[#This Row],[Smithies]]*smithy_bonus,smithy_bonus_cap) + tech_3_5*TblTech[[#This Row],[3-5]] + tech_5_3*TblTech[[#This Row],[5-3]] + tech_5_5*TblTech[[#This Row],[5-5]]))*elite2_ore,0)</f>
        <v>100</v>
      </c>
      <c r="BR99" s="97">
        <f ca="1">ROUNDUP((1-MIN(ROUND(fh_spy_cost_red*TblMili[[#This Row],[FH''s]],4),fh_spy_cost_cap)+ tech_1_9*TblTech[[#This Row],[1-9]] + tech_9_1*TblTech[[#This Row],[9-1]])*spy_plat,0)</f>
        <v>500</v>
      </c>
      <c r="BS99" s="97">
        <f ca="1">ROUNDUP((1-MIN(ROUND(fh_spy_cost_red*TblMili[[#This Row],[FH''s]],4),fh_spy_cost_cap)+ tech_1_9*TblTech[[#This Row],[1-9]] + tech_9_1*TblTech[[#This Row],[9-1]])*archspy_plat,0)</f>
        <v>1000</v>
      </c>
      <c r="BT99" s="97">
        <f ca="1">ROUNDUP((1-MIN(ROUND(wg_wiz_cost_bonus*TblMili[[#This Row],[WG''s]],4),wg_wiz_cost_cap) + tech_1_9_2*TblTech[[#This Row],[1-9]] + tech_9_1_2*TblTech[[#This Row],[9-1]])*wizard_plat,0)</f>
        <v>500</v>
      </c>
      <c r="BU99" s="97">
        <f ca="1">ROUNDUP((1-MIN(ROUND(wg_wiz_cost_bonus*TblMili[[#This Row],[WG''s]],4),wg_wiz_cost_cap) + tech_1_9_2*TblTech[[#This Row],[1-9]] + tech_9_1_2*TblTech[[#This Row],[9-1]])*archmage_plat,0)</f>
        <v>1000</v>
      </c>
      <c r="BV99" s="145"/>
      <c r="BW99" s="160">
        <f ca="1">TblConstr[[#This Row],[Homeland]]/TblConstr[[#This Row],[Land]]</f>
        <v>0.44</v>
      </c>
      <c r="BX99" s="160">
        <f ca="1">TblMili[[#This Row],[WG''s]]</f>
        <v>0</v>
      </c>
      <c r="BY99" s="266">
        <f ca="1">IF(mystic_cap="none",TblMili[[#This Row],[Hill]]/mystic_bonus,MIN(mystic_cap,TblMili[[#This Row],[Hill]]/mystic_bonus))</f>
        <v>2.1999999999999997</v>
      </c>
      <c r="BZ99" s="266">
        <f ca="1">IF(druid_op_cap="none",TblMili[[#This Row],[Hill]]/druid_op_bonus,MIN(druid_op_cap,TblMili[[#This Row],[Hill]]/druid_op_bonus))</f>
        <v>2.1999999999999997</v>
      </c>
      <c r="CA99" s="266">
        <f ca="1">IF(druid_dp_cap="none",TblMili[[#This Row],[Hill]]/druid_dp_bonus,MIN(druid_dp_cap,TblMili[[#This Row],[Hill]]/druid_dp_bonus))</f>
        <v>2.1999999999999997</v>
      </c>
      <c r="CB99" s="266">
        <f ca="1">MIN(dryad_cap,TblMili[[#This Row],[Hill]]/dryad_bonus)</f>
        <v>2.1999999999999997</v>
      </c>
      <c r="CC99" s="266">
        <f ca="1">MIN(rocka_cap,TblMili[[#This Row],[Hill]]/rocka_bonus)</f>
        <v>2</v>
      </c>
      <c r="CD99" s="266">
        <f ca="1">MIN(adept_op_cap,TblMili[[#This Row],[WG]]/adept_op_bonus)</f>
        <v>0</v>
      </c>
      <c r="CE99" s="266">
        <f ca="1">MIN(adept_dp_cap,TblMili[[#This Row],[WG]]/adept_dp_bonus)</f>
        <v>0</v>
      </c>
      <c r="CF99" s="97">
        <f ca="1">MIN(TblMili[[#This Row],[Unit 3]],TblMili[[#This Row],[Unit 2]])*2</f>
        <v>0</v>
      </c>
      <c r="CG99" s="97">
        <f ca="1">MIN(TblMili[[#This Row],[Unit 1]],TblMili[[#This Row],[Unit 4]])*2</f>
        <v>0</v>
      </c>
      <c r="CH99" s="266">
        <f ca="1">MIN(frost_mage_cap,TblMili[[#This Row],[Hill]]/frost_mage_bonus)</f>
        <v>2.1999999999999997</v>
      </c>
      <c r="CI99" s="45">
        <f ca="1">MIN(ice_elem_cap,TblMili[[#This Row],[Raw (2)]]*ice_elem_bonus)</f>
        <v>0.1</v>
      </c>
      <c r="CJ99" s="266">
        <f t="shared" si="3"/>
        <v>0.83333333333333337</v>
      </c>
      <c r="CK99" s="266">
        <f ca="1">MIN(nox_nightshade_cap,TblConstr[[#This Row],[Homeland]]/TblConstr[[#This Row],[Land]]/nox_nightshade_swamp_bonus)</f>
        <v>4</v>
      </c>
      <c r="CL99" s="267"/>
      <c r="CM99" s="267"/>
      <c r="CN99" s="267"/>
      <c r="CO99" s="266">
        <f ca="1">MIN(6,TblMili[[#This Row],[Mystic]]+Races!$F$19)*1.8 +  IF(TblMili[[#This Row],[Mystic]]+Races!$F$19&gt;6,(TblMili[[#This Row],[Mystic]]+Races!$F$19-6)*0.2,0) - Races!$I$19</f>
        <v>3.6399999999999997</v>
      </c>
      <c r="CP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9" s="97">
        <f ca="1">TblMili[[#This Row],[Mystic bonus]]*TblMili[[#This Row],[Unit 3]]+TblMili[[#This Row],[Druid bonus]]*TblMili[[#This Row],[Unit 4]]</f>
        <v>0</v>
      </c>
      <c r="CR99" s="158">
        <f ca="1">MIN(6,TblMili[[#This Row],[Dryad]]+Races!$F$35)*1.8 +  IF(TblMili[[#This Row],[Dryad]]+Races!$F$35&gt;6,(TblMili[[#This Row],[Dryad]]+Races!$F$35-6)*0.2,0) - Races!$I$19</f>
        <v>2.1599999999999993</v>
      </c>
      <c r="CS99" s="97">
        <f ca="1">sylvan*(TblMili[[#This Row],[Mystic bonus]]*TblMili[[#This Row],[Unit 3]])</f>
        <v>0</v>
      </c>
      <c r="CT99" s="158">
        <f ca="1">1.8 * MIN(MAX(Races!$E$27,TblMili[[#This Row],[Rockapult]]+Races!$F$27),6)  +  0.45 * MIN(MIN(Races!$E$27,TblMili[[#This Row],[Rockapult]]+Races!$F$27),6)  +  0.2 * ( MAX(Races!$E$27-6,0) + MAX(TblMili[[#This Row],[Rockapult]]+Races!$F$27-6,0) )  -  Races!$I$20</f>
        <v>5.8500000000000005</v>
      </c>
      <c r="CU99" s="97">
        <f ca="1">gnome*(TblMili[[#This Row],[Rockapult bonus]]*TblMili[[#This Row],[Unit 3]])</f>
        <v>0</v>
      </c>
      <c r="CV99" s="158">
        <f ca="1">1.8 * MIN(MAX(TblMili[[#This Row],[Spellblade]]+Races!$E$47,TblMili[[#This Row],[Adept-DP]]+Races!$F$47),6)  +  0.45 * MIN(MIN(TblMili[[#This Row],[Spellblade]]+Races!$E$47,TblMili[[#This Row],[Adept-DP]]+Races!$F$47),6)  +  0.2 * ( MAX(TblMili[[#This Row],[Spellblade]]+Races!$E$47-6,0) + MAX(TblMili[[#This Row],[Adept-DP]]+Races!$F$47-6,0) )  -  Races!$I$47</f>
        <v>0</v>
      </c>
      <c r="CW99" s="97">
        <f ca="1">dark_elf*(TblMili[[#This Row],[Adept bonus]]*TblMili[[#This Row],[Unit 3]])</f>
        <v>0</v>
      </c>
      <c r="CX99" s="158">
        <f ca="1">1.8 * MIN(MAX(TblMili[[#This Row],[Frost Mage]]+Races!$F$71,Races!$E$71),6)  +  0.45 * MIN(MIN(TblMili[[#This Row],[Frost Mage]]+Races!$F$71,Races!$E$71),6)  +  0.2 * ( MAX(TblMili[[#This Row],[Frost Mage]]+Races!$F$71-6,0) + MAX(Races!$E$71-6,0) )  -  Races!$I$71</f>
        <v>3.9599999999999991</v>
      </c>
      <c r="CY99" s="158">
        <f ca="1">1.8 * MIN(MAX(TblMili[[#This Row],[Ice Elemental]]+Races!$E$71,Races!$F$71),6)  +  0.45 * MIN(MIN(TblMili[[#This Row],[Ice Elemental]]+Races!$E$71,Races!$F$71),6)  +  0.2 * ( MAX(TblMili[[#This Row],[Ice Elemental]]+Races!$E$71-6,0) + MAX(Races!$F$71-6,0) )  -  Races!$I$71</f>
        <v>0.17999999999999972</v>
      </c>
      <c r="CZ99" s="97">
        <f ca="1">TblMili[[#This Row],[Frost Mage bonus]]*TblMili[[#This Row],[Unit 3]]+TblMili[[#This Row],[Ice Elemental bonus]]*TblMili[[#This Row],[Unit 4]]</f>
        <v>0</v>
      </c>
      <c r="DA99" s="268"/>
      <c r="DB99" s="146">
        <f ca="1">MIN(SUM(TblConstr[[#This Row],[Plain]:[Water]])/TblMili[[#This Row],[Land]]/favorable_terrain_bonus/100,favorable_terrain_max)</f>
        <v>0.1</v>
      </c>
      <c r="DC99" s="268"/>
      <c r="DD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9" s="145"/>
      <c r="DF99" s="269">
        <f ca="1">(TblMili[[#This Row],[Wizards]]+2*TblMili[[#This Row],[Archmages]])/TblConstr[[#This Row],[Land]]</f>
        <v>0.1</v>
      </c>
      <c r="DG99" s="269">
        <f ca="1">TblMili[[#This Row],[Raw (2)]]*(1+race_wizard_strength+IF(TblMili[[#This Row],[Hour]]&gt;72,tech_magical_weaponry_wiz*TblTech[[#This Row],[3-5]],0))</f>
        <v>0.1</v>
      </c>
    </row>
    <row r="100" spans="1:111"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45461.999999999767</v>
      </c>
      <c r="AG100" s="182"/>
      <c r="AH100" s="182"/>
      <c r="AI100" s="182"/>
      <c r="AJ100" s="182"/>
      <c r="AK100" s="182"/>
      <c r="AL100" s="182"/>
      <c r="AM100" s="182"/>
      <c r="AN100" s="182"/>
      <c r="AO100" s="449">
        <f ca="1">IF(AND(TblMagic[[#This Row],[Active DnD]]&lt;12,TblMagic[[#This Row],[Active DnD]]&gt;5),OFFSET(TblPop[[#This Row],[Draft Growth]],-1,0)/2,0)</f>
        <v>0</v>
      </c>
      <c r="AP100" s="145"/>
      <c r="AQ100" s="97">
        <f ca="1">TblProd[[#This Row],[Platinum]]</f>
        <v>647534</v>
      </c>
      <c r="AR100" s="97">
        <f ca="1">INDEX(TblProd[[#Headers],[Lumber]]:TblProd[[#This Row],[Ore]],COUNTA(TblProd[[#Headers],[Lumber]]:TblProd[[#This Row],[Lumber]]),MATCH(Military!$AQ$2,TblProd[[#Headers],[Lumber]:[Ore]],0))</f>
        <v>0</v>
      </c>
      <c r="AS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7">
        <f ca="1">TblMili[[#This Row],[Train Unit 1]]*TblMili[[#This Row],[OP Ore]]+TblMili[[#This Row],[Train Unit 2]]*TblMili[[#This Row],[DP Ore]]+TblMili[[#This Row],[Train Unit 3]]*TblMili[[#This Row],[E1 Ore]]+TblMili[[#This Row],[Train Unit 4]]*TblMili[[#This Row],[E2 Ore]]</f>
        <v>0</v>
      </c>
      <c r="AU100" s="145">
        <f>TblMili[[#This Row],[Hour]]</f>
        <v>97</v>
      </c>
      <c r="AV100" s="155">
        <f ca="1">TblMili[[#This Row],[Time]]</f>
        <v>45461.999999999767</v>
      </c>
      <c r="AW100" s="97">
        <f ca="1">TblMili[[#This Row],[Draftees]]</f>
        <v>626</v>
      </c>
      <c r="AX100" s="182"/>
      <c r="AY100" s="182"/>
      <c r="AZ100" s="182"/>
      <c r="BA100" s="182"/>
      <c r="BB100" s="182"/>
      <c r="BC100" s="182"/>
      <c r="BD100" s="182"/>
      <c r="BE100" s="182"/>
      <c r="BF100" s="182"/>
      <c r="BG100" s="145"/>
      <c r="BH100" s="160">
        <f ca="1">TblConstr[[#This Row],[Tot WG]]/TblConstr[[#This Row],[Land]]</f>
        <v>0</v>
      </c>
      <c r="BI100" s="160">
        <f ca="1">TblConstr[[#This Row],[Tot Hav]]/TblConstr[[#This Row],[Land]]</f>
        <v>0</v>
      </c>
      <c r="BJ100" s="97">
        <f ca="1">ROUNDUP((1-MIN(TblMili[[#This Row],[Smithies]]*smithy_bonus,smithy_bonus_cap) + tech_3_5*TblTech[[#This Row],[3-5]] + tech_5_3*TblTech[[#This Row],[5-3]] + tech_5_5*TblTech[[#This Row],[5-5]])*spec_op_plat,0)</f>
        <v>275</v>
      </c>
      <c r="BK100" s="97">
        <f ca="1">ROUNDUP(IF(race="Gnome",1,(1-MIN(TblMili[[#This Row],[Smithies]]*smithy_bonus,smithy_bonus_cap) + tech_3_5*TblTech[[#This Row],[3-5]] + tech_5_3*TblTech[[#This Row],[5-3]] + tech_5_5*TblTech[[#This Row],[5-5]]))*spec_op_ore,0)</f>
        <v>25</v>
      </c>
      <c r="BL100" s="97">
        <f ca="1">ROUNDUP((1-MIN(TblMili[[#This Row],[Smithies]]*smithy_bonus,smithy_bonus_cap) + tech_3_5*TblTech[[#This Row],[3-5]] + tech_5_3*TblTech[[#This Row],[5-3]] + tech_5_5*TblTech[[#This Row],[5-5]])*spec_dp_plat,0)</f>
        <v>275</v>
      </c>
      <c r="BM100" s="97">
        <f ca="1">ROUNDUP(IF(race="Gnome",1,(1-MIN(TblMili[[#This Row],[Smithies]]*smithy_bonus,smithy_bonus_cap) + tech_3_5*TblTech[[#This Row],[3-5]] + tech_5_3*TblTech[[#This Row],[5-3]] + tech_5_5*TblTech[[#This Row],[5-5]]))*spec_dp_ore,0)</f>
        <v>15</v>
      </c>
      <c r="BN100" s="97">
        <f ca="1">ROUNDUP((1-MIN(TblMili[[#This Row],[Smithies]]*smithy_bonus,smithy_bonus_cap) + tech_3_5*TblTech[[#This Row],[3-5]] + tech_5_3*TblTech[[#This Row],[5-3]] + tech_5_5*TblTech[[#This Row],[5-5]])*elite1_plat,0)</f>
        <v>1000</v>
      </c>
      <c r="BO100" s="97">
        <f ca="1">ROUNDUP(IF(race="Gnome",1,(1-MIN(TblMili[[#This Row],[Smithies]]*smithy_bonus,smithy_bonus_cap) + tech_3_5*TblTech[[#This Row],[3-5]] + tech_5_3*TblTech[[#This Row],[5-3]] + tech_5_5*TblTech[[#This Row],[5-5]]))*elite1_ore,0)</f>
        <v>75</v>
      </c>
      <c r="BP100" s="97">
        <f ca="1">ROUNDUP((1-MIN(TblMili[[#This Row],[Smithies]]*smithy_bonus,smithy_bonus_cap) + tech_3_5*TblTech[[#This Row],[3-5]] + tech_5_3*TblTech[[#This Row],[5-3]] + tech_5_5*TblTech[[#This Row],[5-5]])*elite2_plat,0)</f>
        <v>1250</v>
      </c>
      <c r="BQ100" s="97">
        <f ca="1">ROUNDUP(IF(race="Gnome",1,(1-MIN(TblMili[[#This Row],[Smithies]]*smithy_bonus,smithy_bonus_cap) + tech_3_5*TblTech[[#This Row],[3-5]] + tech_5_3*TblTech[[#This Row],[5-3]] + tech_5_5*TblTech[[#This Row],[5-5]]))*elite2_ore,0)</f>
        <v>100</v>
      </c>
      <c r="BR100" s="97">
        <f ca="1">ROUNDUP((1-MIN(ROUND(fh_spy_cost_red*TblMili[[#This Row],[FH''s]],4),fh_spy_cost_cap)+ tech_1_9*TblTech[[#This Row],[1-9]] + tech_9_1*TblTech[[#This Row],[9-1]])*spy_plat,0)</f>
        <v>500</v>
      </c>
      <c r="BS100" s="97">
        <f ca="1">ROUNDUP((1-MIN(ROUND(fh_spy_cost_red*TblMili[[#This Row],[FH''s]],4),fh_spy_cost_cap)+ tech_1_9*TblTech[[#This Row],[1-9]] + tech_9_1*TblTech[[#This Row],[9-1]])*archspy_plat,0)</f>
        <v>1000</v>
      </c>
      <c r="BT100" s="97">
        <f ca="1">ROUNDUP((1-MIN(ROUND(wg_wiz_cost_bonus*TblMili[[#This Row],[WG''s]],4),wg_wiz_cost_cap) + tech_1_9_2*TblTech[[#This Row],[1-9]] + tech_9_1_2*TblTech[[#This Row],[9-1]])*wizard_plat,0)</f>
        <v>500</v>
      </c>
      <c r="BU100" s="97">
        <f ca="1">ROUNDUP((1-MIN(ROUND(wg_wiz_cost_bonus*TblMili[[#This Row],[WG''s]],4),wg_wiz_cost_cap) + tech_1_9_2*TblTech[[#This Row],[1-9]] + tech_9_1_2*TblTech[[#This Row],[9-1]])*archmage_plat,0)</f>
        <v>1000</v>
      </c>
      <c r="BV100" s="145"/>
      <c r="BW100" s="160">
        <f ca="1">TblConstr[[#This Row],[Homeland]]/TblConstr[[#This Row],[Land]]</f>
        <v>0.44</v>
      </c>
      <c r="BX100" s="160">
        <f ca="1">TblMili[[#This Row],[WG''s]]</f>
        <v>0</v>
      </c>
      <c r="BY100" s="266">
        <f ca="1">IF(mystic_cap="none",TblMili[[#This Row],[Hill]]/mystic_bonus,MIN(mystic_cap,TblMili[[#This Row],[Hill]]/mystic_bonus))</f>
        <v>2.1999999999999997</v>
      </c>
      <c r="BZ100" s="266">
        <f ca="1">IF(druid_op_cap="none",TblMili[[#This Row],[Hill]]/druid_op_bonus,MIN(druid_op_cap,TblMili[[#This Row],[Hill]]/druid_op_bonus))</f>
        <v>2.1999999999999997</v>
      </c>
      <c r="CA100" s="266">
        <f ca="1">IF(druid_dp_cap="none",TblMili[[#This Row],[Hill]]/druid_dp_bonus,MIN(druid_dp_cap,TblMili[[#This Row],[Hill]]/druid_dp_bonus))</f>
        <v>2.1999999999999997</v>
      </c>
      <c r="CB100" s="266">
        <f ca="1">MIN(dryad_cap,TblMili[[#This Row],[Hill]]/dryad_bonus)</f>
        <v>2.1999999999999997</v>
      </c>
      <c r="CC100" s="266">
        <f ca="1">MIN(rocka_cap,TblMili[[#This Row],[Hill]]/rocka_bonus)</f>
        <v>2</v>
      </c>
      <c r="CD100" s="266">
        <f ca="1">MIN(adept_op_cap,TblMili[[#This Row],[WG]]/adept_op_bonus)</f>
        <v>0</v>
      </c>
      <c r="CE100" s="266">
        <f ca="1">MIN(adept_dp_cap,TblMili[[#This Row],[WG]]/adept_dp_bonus)</f>
        <v>0</v>
      </c>
      <c r="CF100" s="97">
        <f ca="1">MIN(TblMili[[#This Row],[Unit 3]],TblMili[[#This Row],[Unit 2]])*2</f>
        <v>0</v>
      </c>
      <c r="CG100" s="97">
        <f ca="1">MIN(TblMili[[#This Row],[Unit 1]],TblMili[[#This Row],[Unit 4]])*2</f>
        <v>0</v>
      </c>
      <c r="CH100" s="266">
        <f ca="1">MIN(frost_mage_cap,TblMili[[#This Row],[Hill]]/frost_mage_bonus)</f>
        <v>2.1999999999999997</v>
      </c>
      <c r="CI100" s="45">
        <f ca="1">MIN(ice_elem_cap,TblMili[[#This Row],[Raw (2)]]*ice_elem_bonus)</f>
        <v>0.1</v>
      </c>
      <c r="CJ100" s="266">
        <f t="shared" ref="CJ100:CJ136" si="4">MIN(bone_breaker_cap,250/bone_breaker_bonus)</f>
        <v>0.83333333333333337</v>
      </c>
      <c r="CK100" s="266">
        <f ca="1">MIN(nox_nightshade_cap,TblConstr[[#This Row],[Homeland]]/TblConstr[[#This Row],[Land]]/nox_nightshade_swamp_bonus)</f>
        <v>4</v>
      </c>
      <c r="CL100" s="267"/>
      <c r="CM100" s="267"/>
      <c r="CN100" s="267"/>
      <c r="CO100" s="266">
        <f ca="1">MIN(6,TblMili[[#This Row],[Mystic]]+Races!$F$19)*1.8 +  IF(TblMili[[#This Row],[Mystic]]+Races!$F$19&gt;6,(TblMili[[#This Row],[Mystic]]+Races!$F$19-6)*0.2,0) - Races!$I$19</f>
        <v>3.6399999999999997</v>
      </c>
      <c r="CP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0" s="97">
        <f ca="1">TblMili[[#This Row],[Mystic bonus]]*TblMili[[#This Row],[Unit 3]]+TblMili[[#This Row],[Druid bonus]]*TblMili[[#This Row],[Unit 4]]</f>
        <v>0</v>
      </c>
      <c r="CR100" s="158">
        <f ca="1">MIN(6,TblMili[[#This Row],[Dryad]]+Races!$F$35)*1.8 +  IF(TblMili[[#This Row],[Dryad]]+Races!$F$35&gt;6,(TblMili[[#This Row],[Dryad]]+Races!$F$35-6)*0.2,0) - Races!$I$19</f>
        <v>2.1599999999999993</v>
      </c>
      <c r="CS100" s="97">
        <f ca="1">sylvan*(TblMili[[#This Row],[Mystic bonus]]*TblMili[[#This Row],[Unit 3]])</f>
        <v>0</v>
      </c>
      <c r="CT100" s="158">
        <f ca="1">1.8 * MIN(MAX(Races!$E$27,TblMili[[#This Row],[Rockapult]]+Races!$F$27),6)  +  0.45 * MIN(MIN(Races!$E$27,TblMili[[#This Row],[Rockapult]]+Races!$F$27),6)  +  0.2 * ( MAX(Races!$E$27-6,0) + MAX(TblMili[[#This Row],[Rockapult]]+Races!$F$27-6,0) )  -  Races!$I$20</f>
        <v>5.8500000000000005</v>
      </c>
      <c r="CU100" s="97">
        <f ca="1">gnome*(TblMili[[#This Row],[Rockapult bonus]]*TblMili[[#This Row],[Unit 3]])</f>
        <v>0</v>
      </c>
      <c r="CV100" s="158">
        <f ca="1">1.8 * MIN(MAX(TblMili[[#This Row],[Spellblade]]+Races!$E$47,TblMili[[#This Row],[Adept-DP]]+Races!$F$47),6)  +  0.45 * MIN(MIN(TblMili[[#This Row],[Spellblade]]+Races!$E$47,TblMili[[#This Row],[Adept-DP]]+Races!$F$47),6)  +  0.2 * ( MAX(TblMili[[#This Row],[Spellblade]]+Races!$E$47-6,0) + MAX(TblMili[[#This Row],[Adept-DP]]+Races!$F$47-6,0) )  -  Races!$I$47</f>
        <v>0</v>
      </c>
      <c r="CW100" s="97">
        <f ca="1">dark_elf*(TblMili[[#This Row],[Adept bonus]]*TblMili[[#This Row],[Unit 3]])</f>
        <v>0</v>
      </c>
      <c r="CX100" s="158">
        <f ca="1">1.8 * MIN(MAX(TblMili[[#This Row],[Frost Mage]]+Races!$F$71,Races!$E$71),6)  +  0.45 * MIN(MIN(TblMili[[#This Row],[Frost Mage]]+Races!$F$71,Races!$E$71),6)  +  0.2 * ( MAX(TblMili[[#This Row],[Frost Mage]]+Races!$F$71-6,0) + MAX(Races!$E$71-6,0) )  -  Races!$I$71</f>
        <v>3.9599999999999991</v>
      </c>
      <c r="CY100" s="158">
        <f ca="1">1.8 * MIN(MAX(TblMili[[#This Row],[Ice Elemental]]+Races!$E$71,Races!$F$71),6)  +  0.45 * MIN(MIN(TblMili[[#This Row],[Ice Elemental]]+Races!$E$71,Races!$F$71),6)  +  0.2 * ( MAX(TblMili[[#This Row],[Ice Elemental]]+Races!$E$71-6,0) + MAX(Races!$F$71-6,0) )  -  Races!$I$71</f>
        <v>0.17999999999999972</v>
      </c>
      <c r="CZ100" s="97">
        <f ca="1">TblMili[[#This Row],[Frost Mage bonus]]*TblMili[[#This Row],[Unit 3]]+TblMili[[#This Row],[Ice Elemental bonus]]*TblMili[[#This Row],[Unit 4]]</f>
        <v>0</v>
      </c>
      <c r="DA100" s="268"/>
      <c r="DB100" s="146">
        <f ca="1">MIN(SUM(TblConstr[[#This Row],[Plain]:[Water]])/TblMili[[#This Row],[Land]]/favorable_terrain_bonus/100,favorable_terrain_max)</f>
        <v>0.1</v>
      </c>
      <c r="DC100" s="268"/>
      <c r="DD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0" s="145"/>
      <c r="DF100" s="269">
        <f ca="1">(TblMili[[#This Row],[Wizards]]+2*TblMili[[#This Row],[Archmages]])/TblConstr[[#This Row],[Land]]</f>
        <v>0.1</v>
      </c>
      <c r="DG100" s="269">
        <f ca="1">TblMili[[#This Row],[Raw (2)]]*(1+race_wizard_strength+IF(TblMili[[#This Row],[Hour]]&gt;72,tech_magical_weaponry_wiz*TblTech[[#This Row],[3-5]],0))</f>
        <v>0.1</v>
      </c>
    </row>
    <row r="101" spans="1:111"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45462.041666666431</v>
      </c>
      <c r="AG101" s="182"/>
      <c r="AH101" s="182"/>
      <c r="AI101" s="182"/>
      <c r="AJ101" s="182"/>
      <c r="AK101" s="182"/>
      <c r="AL101" s="182"/>
      <c r="AM101" s="182"/>
      <c r="AN101" s="182"/>
      <c r="AO101" s="449">
        <f ca="1">IF(AND(TblMagic[[#This Row],[Active DnD]]&lt;12,TblMagic[[#This Row],[Active DnD]]&gt;5),OFFSET(TblPop[[#This Row],[Draft Growth]],-1,0)/2,0)</f>
        <v>0</v>
      </c>
      <c r="AP101" s="145"/>
      <c r="AQ101" s="97">
        <f ca="1">TblProd[[#This Row],[Platinum]]</f>
        <v>653020</v>
      </c>
      <c r="AR101" s="97">
        <f ca="1">INDEX(TblProd[[#Headers],[Lumber]]:TblProd[[#This Row],[Ore]],COUNTA(TblProd[[#Headers],[Lumber]]:TblProd[[#This Row],[Lumber]]),MATCH(Military!$AQ$2,TblProd[[#Headers],[Lumber]:[Ore]],0))</f>
        <v>0</v>
      </c>
      <c r="AS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7">
        <f ca="1">TblMili[[#This Row],[Train Unit 1]]*TblMili[[#This Row],[OP Ore]]+TblMili[[#This Row],[Train Unit 2]]*TblMili[[#This Row],[DP Ore]]+TblMili[[#This Row],[Train Unit 3]]*TblMili[[#This Row],[E1 Ore]]+TblMili[[#This Row],[Train Unit 4]]*TblMili[[#This Row],[E2 Ore]]</f>
        <v>0</v>
      </c>
      <c r="AU101" s="145">
        <f>TblMili[[#This Row],[Hour]]</f>
        <v>98</v>
      </c>
      <c r="AV101" s="155">
        <f ca="1">TblMili[[#This Row],[Time]]</f>
        <v>45462.041666666431</v>
      </c>
      <c r="AW101" s="97">
        <f ca="1">TblMili[[#This Row],[Draftees]]</f>
        <v>626</v>
      </c>
      <c r="AX101" s="182"/>
      <c r="AY101" s="182"/>
      <c r="AZ101" s="182"/>
      <c r="BA101" s="182"/>
      <c r="BB101" s="182"/>
      <c r="BC101" s="182"/>
      <c r="BD101" s="182"/>
      <c r="BE101" s="182"/>
      <c r="BF101" s="182"/>
      <c r="BG101" s="145"/>
      <c r="BH101" s="160">
        <f ca="1">TblConstr[[#This Row],[Tot WG]]/TblConstr[[#This Row],[Land]]</f>
        <v>0</v>
      </c>
      <c r="BI101" s="160">
        <f ca="1">TblConstr[[#This Row],[Tot Hav]]/TblConstr[[#This Row],[Land]]</f>
        <v>0</v>
      </c>
      <c r="BJ101" s="97">
        <f ca="1">ROUNDUP((1-MIN(TblMili[[#This Row],[Smithies]]*smithy_bonus,smithy_bonus_cap) + tech_3_5*TblTech[[#This Row],[3-5]] + tech_5_3*TblTech[[#This Row],[5-3]] + tech_5_5*TblTech[[#This Row],[5-5]])*spec_op_plat,0)</f>
        <v>275</v>
      </c>
      <c r="BK101" s="97">
        <f ca="1">ROUNDUP(IF(race="Gnome",1,(1-MIN(TblMili[[#This Row],[Smithies]]*smithy_bonus,smithy_bonus_cap) + tech_3_5*TblTech[[#This Row],[3-5]] + tech_5_3*TblTech[[#This Row],[5-3]] + tech_5_5*TblTech[[#This Row],[5-5]]))*spec_op_ore,0)</f>
        <v>25</v>
      </c>
      <c r="BL101" s="97">
        <f ca="1">ROUNDUP((1-MIN(TblMili[[#This Row],[Smithies]]*smithy_bonus,smithy_bonus_cap) + tech_3_5*TblTech[[#This Row],[3-5]] + tech_5_3*TblTech[[#This Row],[5-3]] + tech_5_5*TblTech[[#This Row],[5-5]])*spec_dp_plat,0)</f>
        <v>275</v>
      </c>
      <c r="BM101" s="97">
        <f ca="1">ROUNDUP(IF(race="Gnome",1,(1-MIN(TblMili[[#This Row],[Smithies]]*smithy_bonus,smithy_bonus_cap) + tech_3_5*TblTech[[#This Row],[3-5]] + tech_5_3*TblTech[[#This Row],[5-3]] + tech_5_5*TblTech[[#This Row],[5-5]]))*spec_dp_ore,0)</f>
        <v>15</v>
      </c>
      <c r="BN101" s="97">
        <f ca="1">ROUNDUP((1-MIN(TblMili[[#This Row],[Smithies]]*smithy_bonus,smithy_bonus_cap) + tech_3_5*TblTech[[#This Row],[3-5]] + tech_5_3*TblTech[[#This Row],[5-3]] + tech_5_5*TblTech[[#This Row],[5-5]])*elite1_plat,0)</f>
        <v>1000</v>
      </c>
      <c r="BO101" s="97">
        <f ca="1">ROUNDUP(IF(race="Gnome",1,(1-MIN(TblMili[[#This Row],[Smithies]]*smithy_bonus,smithy_bonus_cap) + tech_3_5*TblTech[[#This Row],[3-5]] + tech_5_3*TblTech[[#This Row],[5-3]] + tech_5_5*TblTech[[#This Row],[5-5]]))*elite1_ore,0)</f>
        <v>75</v>
      </c>
      <c r="BP101" s="97">
        <f ca="1">ROUNDUP((1-MIN(TblMili[[#This Row],[Smithies]]*smithy_bonus,smithy_bonus_cap) + tech_3_5*TblTech[[#This Row],[3-5]] + tech_5_3*TblTech[[#This Row],[5-3]] + tech_5_5*TblTech[[#This Row],[5-5]])*elite2_plat,0)</f>
        <v>1250</v>
      </c>
      <c r="BQ101" s="97">
        <f ca="1">ROUNDUP(IF(race="Gnome",1,(1-MIN(TblMili[[#This Row],[Smithies]]*smithy_bonus,smithy_bonus_cap) + tech_3_5*TblTech[[#This Row],[3-5]] + tech_5_3*TblTech[[#This Row],[5-3]] + tech_5_5*TblTech[[#This Row],[5-5]]))*elite2_ore,0)</f>
        <v>100</v>
      </c>
      <c r="BR101" s="97">
        <f ca="1">ROUNDUP((1-MIN(ROUND(fh_spy_cost_red*TblMili[[#This Row],[FH''s]],4),fh_spy_cost_cap)+ tech_1_9*TblTech[[#This Row],[1-9]] + tech_9_1*TblTech[[#This Row],[9-1]])*spy_plat,0)</f>
        <v>500</v>
      </c>
      <c r="BS101" s="97">
        <f ca="1">ROUNDUP((1-MIN(ROUND(fh_spy_cost_red*TblMili[[#This Row],[FH''s]],4),fh_spy_cost_cap)+ tech_1_9*TblTech[[#This Row],[1-9]] + tech_9_1*TblTech[[#This Row],[9-1]])*archspy_plat,0)</f>
        <v>1000</v>
      </c>
      <c r="BT101" s="97">
        <f ca="1">ROUNDUP((1-MIN(ROUND(wg_wiz_cost_bonus*TblMili[[#This Row],[WG''s]],4),wg_wiz_cost_cap) + tech_1_9_2*TblTech[[#This Row],[1-9]] + tech_9_1_2*TblTech[[#This Row],[9-1]])*wizard_plat,0)</f>
        <v>500</v>
      </c>
      <c r="BU101" s="97">
        <f ca="1">ROUNDUP((1-MIN(ROUND(wg_wiz_cost_bonus*TblMili[[#This Row],[WG''s]],4),wg_wiz_cost_cap) + tech_1_9_2*TblTech[[#This Row],[1-9]] + tech_9_1_2*TblTech[[#This Row],[9-1]])*archmage_plat,0)</f>
        <v>1000</v>
      </c>
      <c r="BV101" s="145"/>
      <c r="BW101" s="160">
        <f ca="1">TblConstr[[#This Row],[Homeland]]/TblConstr[[#This Row],[Land]]</f>
        <v>0.44</v>
      </c>
      <c r="BX101" s="160">
        <f ca="1">TblMili[[#This Row],[WG''s]]</f>
        <v>0</v>
      </c>
      <c r="BY101" s="266">
        <f ca="1">IF(mystic_cap="none",TblMili[[#This Row],[Hill]]/mystic_bonus,MIN(mystic_cap,TblMili[[#This Row],[Hill]]/mystic_bonus))</f>
        <v>2.1999999999999997</v>
      </c>
      <c r="BZ101" s="266">
        <f ca="1">IF(druid_op_cap="none",TblMili[[#This Row],[Hill]]/druid_op_bonus,MIN(druid_op_cap,TblMili[[#This Row],[Hill]]/druid_op_bonus))</f>
        <v>2.1999999999999997</v>
      </c>
      <c r="CA101" s="266">
        <f ca="1">IF(druid_dp_cap="none",TblMili[[#This Row],[Hill]]/druid_dp_bonus,MIN(druid_dp_cap,TblMili[[#This Row],[Hill]]/druid_dp_bonus))</f>
        <v>2.1999999999999997</v>
      </c>
      <c r="CB101" s="266">
        <f ca="1">MIN(dryad_cap,TblMili[[#This Row],[Hill]]/dryad_bonus)</f>
        <v>2.1999999999999997</v>
      </c>
      <c r="CC101" s="266">
        <f ca="1">MIN(rocka_cap,TblMili[[#This Row],[Hill]]/rocka_bonus)</f>
        <v>2</v>
      </c>
      <c r="CD101" s="266">
        <f ca="1">MIN(adept_op_cap,TblMili[[#This Row],[WG]]/adept_op_bonus)</f>
        <v>0</v>
      </c>
      <c r="CE101" s="266">
        <f ca="1">MIN(adept_dp_cap,TblMili[[#This Row],[WG]]/adept_dp_bonus)</f>
        <v>0</v>
      </c>
      <c r="CF101" s="97">
        <f ca="1">MIN(TblMili[[#This Row],[Unit 3]],TblMili[[#This Row],[Unit 2]])*2</f>
        <v>0</v>
      </c>
      <c r="CG101" s="97">
        <f ca="1">MIN(TblMili[[#This Row],[Unit 1]],TblMili[[#This Row],[Unit 4]])*2</f>
        <v>0</v>
      </c>
      <c r="CH101" s="266">
        <f ca="1">MIN(frost_mage_cap,TblMili[[#This Row],[Hill]]/frost_mage_bonus)</f>
        <v>2.1999999999999997</v>
      </c>
      <c r="CI101" s="45">
        <f ca="1">MIN(ice_elem_cap,TblMili[[#This Row],[Raw (2)]]*ice_elem_bonus)</f>
        <v>0.1</v>
      </c>
      <c r="CJ101" s="266">
        <f t="shared" si="4"/>
        <v>0.83333333333333337</v>
      </c>
      <c r="CK101" s="266">
        <f ca="1">MIN(nox_nightshade_cap,TblConstr[[#This Row],[Homeland]]/TblConstr[[#This Row],[Land]]/nox_nightshade_swamp_bonus)</f>
        <v>4</v>
      </c>
      <c r="CL101" s="267"/>
      <c r="CM101" s="267"/>
      <c r="CN101" s="267"/>
      <c r="CO101" s="266">
        <f ca="1">MIN(6,TblMili[[#This Row],[Mystic]]+Races!$F$19)*1.8 +  IF(TblMili[[#This Row],[Mystic]]+Races!$F$19&gt;6,(TblMili[[#This Row],[Mystic]]+Races!$F$19-6)*0.2,0) - Races!$I$19</f>
        <v>3.6399999999999997</v>
      </c>
      <c r="CP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1" s="97">
        <f ca="1">TblMili[[#This Row],[Mystic bonus]]*TblMili[[#This Row],[Unit 3]]+TblMili[[#This Row],[Druid bonus]]*TblMili[[#This Row],[Unit 4]]</f>
        <v>0</v>
      </c>
      <c r="CR101" s="158">
        <f ca="1">MIN(6,TblMili[[#This Row],[Dryad]]+Races!$F$35)*1.8 +  IF(TblMili[[#This Row],[Dryad]]+Races!$F$35&gt;6,(TblMili[[#This Row],[Dryad]]+Races!$F$35-6)*0.2,0) - Races!$I$19</f>
        <v>2.1599999999999993</v>
      </c>
      <c r="CS101" s="97">
        <f ca="1">sylvan*(TblMili[[#This Row],[Mystic bonus]]*TblMili[[#This Row],[Unit 3]])</f>
        <v>0</v>
      </c>
      <c r="CT101" s="158">
        <f ca="1">1.8 * MIN(MAX(Races!$E$27,TblMili[[#This Row],[Rockapult]]+Races!$F$27),6)  +  0.45 * MIN(MIN(Races!$E$27,TblMili[[#This Row],[Rockapult]]+Races!$F$27),6)  +  0.2 * ( MAX(Races!$E$27-6,0) + MAX(TblMili[[#This Row],[Rockapult]]+Races!$F$27-6,0) )  -  Races!$I$20</f>
        <v>5.8500000000000005</v>
      </c>
      <c r="CU101" s="97">
        <f ca="1">gnome*(TblMili[[#This Row],[Rockapult bonus]]*TblMili[[#This Row],[Unit 3]])</f>
        <v>0</v>
      </c>
      <c r="CV101" s="158">
        <f ca="1">1.8 * MIN(MAX(TblMili[[#This Row],[Spellblade]]+Races!$E$47,TblMili[[#This Row],[Adept-DP]]+Races!$F$47),6)  +  0.45 * MIN(MIN(TblMili[[#This Row],[Spellblade]]+Races!$E$47,TblMili[[#This Row],[Adept-DP]]+Races!$F$47),6)  +  0.2 * ( MAX(TblMili[[#This Row],[Spellblade]]+Races!$E$47-6,0) + MAX(TblMili[[#This Row],[Adept-DP]]+Races!$F$47-6,0) )  -  Races!$I$47</f>
        <v>0</v>
      </c>
      <c r="CW101" s="97">
        <f ca="1">dark_elf*(TblMili[[#This Row],[Adept bonus]]*TblMili[[#This Row],[Unit 3]])</f>
        <v>0</v>
      </c>
      <c r="CX101" s="158">
        <f ca="1">1.8 * MIN(MAX(TblMili[[#This Row],[Frost Mage]]+Races!$F$71,Races!$E$71),6)  +  0.45 * MIN(MIN(TblMili[[#This Row],[Frost Mage]]+Races!$F$71,Races!$E$71),6)  +  0.2 * ( MAX(TblMili[[#This Row],[Frost Mage]]+Races!$F$71-6,0) + MAX(Races!$E$71-6,0) )  -  Races!$I$71</f>
        <v>3.9599999999999991</v>
      </c>
      <c r="CY101" s="158">
        <f ca="1">1.8 * MIN(MAX(TblMili[[#This Row],[Ice Elemental]]+Races!$E$71,Races!$F$71),6)  +  0.45 * MIN(MIN(TblMili[[#This Row],[Ice Elemental]]+Races!$E$71,Races!$F$71),6)  +  0.2 * ( MAX(TblMili[[#This Row],[Ice Elemental]]+Races!$E$71-6,0) + MAX(Races!$F$71-6,0) )  -  Races!$I$71</f>
        <v>0.17999999999999972</v>
      </c>
      <c r="CZ101" s="97">
        <f ca="1">TblMili[[#This Row],[Frost Mage bonus]]*TblMili[[#This Row],[Unit 3]]+TblMili[[#This Row],[Ice Elemental bonus]]*TblMili[[#This Row],[Unit 4]]</f>
        <v>0</v>
      </c>
      <c r="DA101" s="268"/>
      <c r="DB101" s="146">
        <f ca="1">MIN(SUM(TblConstr[[#This Row],[Plain]:[Water]])/TblMili[[#This Row],[Land]]/favorable_terrain_bonus/100,favorable_terrain_max)</f>
        <v>0.1</v>
      </c>
      <c r="DC101" s="268"/>
      <c r="DD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1" s="145"/>
      <c r="DF101" s="269">
        <f ca="1">(TblMili[[#This Row],[Wizards]]+2*TblMili[[#This Row],[Archmages]])/TblConstr[[#This Row],[Land]]</f>
        <v>0.1</v>
      </c>
      <c r="DG101" s="269">
        <f ca="1">TblMili[[#This Row],[Raw (2)]]*(1+race_wizard_strength+IF(TblMili[[#This Row],[Hour]]&gt;72,tech_magical_weaponry_wiz*TblTech[[#This Row],[3-5]],0))</f>
        <v>0.1</v>
      </c>
    </row>
    <row r="102" spans="1:111"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45462.083333333096</v>
      </c>
      <c r="AG102" s="182"/>
      <c r="AH102" s="182"/>
      <c r="AI102" s="182"/>
      <c r="AJ102" s="182"/>
      <c r="AK102" s="182"/>
      <c r="AL102" s="182"/>
      <c r="AM102" s="182"/>
      <c r="AN102" s="182"/>
      <c r="AO102" s="449">
        <f ca="1">IF(AND(TblMagic[[#This Row],[Active DnD]]&lt;12,TblMagic[[#This Row],[Active DnD]]&gt;5),OFFSET(TblPop[[#This Row],[Draft Growth]],-1,0)/2,0)</f>
        <v>0</v>
      </c>
      <c r="AP102" s="145"/>
      <c r="AQ102" s="97">
        <f ca="1">TblProd[[#This Row],[Platinum]]</f>
        <v>658506</v>
      </c>
      <c r="AR102" s="97">
        <f ca="1">INDEX(TblProd[[#Headers],[Lumber]]:TblProd[[#This Row],[Ore]],COUNTA(TblProd[[#Headers],[Lumber]]:TblProd[[#This Row],[Lumber]]),MATCH(Military!$AQ$2,TblProd[[#Headers],[Lumber]:[Ore]],0))</f>
        <v>0</v>
      </c>
      <c r="AS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7">
        <f ca="1">TblMili[[#This Row],[Train Unit 1]]*TblMili[[#This Row],[OP Ore]]+TblMili[[#This Row],[Train Unit 2]]*TblMili[[#This Row],[DP Ore]]+TblMili[[#This Row],[Train Unit 3]]*TblMili[[#This Row],[E1 Ore]]+TblMili[[#This Row],[Train Unit 4]]*TblMili[[#This Row],[E2 Ore]]</f>
        <v>0</v>
      </c>
      <c r="AU102" s="145">
        <f>TblMili[[#This Row],[Hour]]</f>
        <v>99</v>
      </c>
      <c r="AV102" s="155">
        <f ca="1">TblMili[[#This Row],[Time]]</f>
        <v>45462.083333333096</v>
      </c>
      <c r="AW102" s="97">
        <f ca="1">TblMili[[#This Row],[Draftees]]</f>
        <v>626</v>
      </c>
      <c r="AX102" s="182"/>
      <c r="AY102" s="182"/>
      <c r="AZ102" s="182"/>
      <c r="BA102" s="182"/>
      <c r="BB102" s="182"/>
      <c r="BC102" s="182"/>
      <c r="BD102" s="182"/>
      <c r="BE102" s="182"/>
      <c r="BF102" s="182"/>
      <c r="BG102" s="145"/>
      <c r="BH102" s="160">
        <f ca="1">TblConstr[[#This Row],[Tot WG]]/TblConstr[[#This Row],[Land]]</f>
        <v>0</v>
      </c>
      <c r="BI102" s="160">
        <f ca="1">TblConstr[[#This Row],[Tot Hav]]/TblConstr[[#This Row],[Land]]</f>
        <v>0</v>
      </c>
      <c r="BJ102" s="97">
        <f ca="1">ROUNDUP((1-MIN(TblMili[[#This Row],[Smithies]]*smithy_bonus,smithy_bonus_cap) + tech_3_5*TblTech[[#This Row],[3-5]] + tech_5_3*TblTech[[#This Row],[5-3]] + tech_5_5*TblTech[[#This Row],[5-5]])*spec_op_plat,0)</f>
        <v>275</v>
      </c>
      <c r="BK102" s="97">
        <f ca="1">ROUNDUP(IF(race="Gnome",1,(1-MIN(TblMili[[#This Row],[Smithies]]*smithy_bonus,smithy_bonus_cap) + tech_3_5*TblTech[[#This Row],[3-5]] + tech_5_3*TblTech[[#This Row],[5-3]] + tech_5_5*TblTech[[#This Row],[5-5]]))*spec_op_ore,0)</f>
        <v>25</v>
      </c>
      <c r="BL102" s="97">
        <f ca="1">ROUNDUP((1-MIN(TblMili[[#This Row],[Smithies]]*smithy_bonus,smithy_bonus_cap) + tech_3_5*TblTech[[#This Row],[3-5]] + tech_5_3*TblTech[[#This Row],[5-3]] + tech_5_5*TblTech[[#This Row],[5-5]])*spec_dp_plat,0)</f>
        <v>275</v>
      </c>
      <c r="BM102" s="97">
        <f ca="1">ROUNDUP(IF(race="Gnome",1,(1-MIN(TblMili[[#This Row],[Smithies]]*smithy_bonus,smithy_bonus_cap) + tech_3_5*TblTech[[#This Row],[3-5]] + tech_5_3*TblTech[[#This Row],[5-3]] + tech_5_5*TblTech[[#This Row],[5-5]]))*spec_dp_ore,0)</f>
        <v>15</v>
      </c>
      <c r="BN102" s="97">
        <f ca="1">ROUNDUP((1-MIN(TblMili[[#This Row],[Smithies]]*smithy_bonus,smithy_bonus_cap) + tech_3_5*TblTech[[#This Row],[3-5]] + tech_5_3*TblTech[[#This Row],[5-3]] + tech_5_5*TblTech[[#This Row],[5-5]])*elite1_plat,0)</f>
        <v>1000</v>
      </c>
      <c r="BO102" s="97">
        <f ca="1">ROUNDUP(IF(race="Gnome",1,(1-MIN(TblMili[[#This Row],[Smithies]]*smithy_bonus,smithy_bonus_cap) + tech_3_5*TblTech[[#This Row],[3-5]] + tech_5_3*TblTech[[#This Row],[5-3]] + tech_5_5*TblTech[[#This Row],[5-5]]))*elite1_ore,0)</f>
        <v>75</v>
      </c>
      <c r="BP102" s="97">
        <f ca="1">ROUNDUP((1-MIN(TblMili[[#This Row],[Smithies]]*smithy_bonus,smithy_bonus_cap) + tech_3_5*TblTech[[#This Row],[3-5]] + tech_5_3*TblTech[[#This Row],[5-3]] + tech_5_5*TblTech[[#This Row],[5-5]])*elite2_plat,0)</f>
        <v>1250</v>
      </c>
      <c r="BQ102" s="97">
        <f ca="1">ROUNDUP(IF(race="Gnome",1,(1-MIN(TblMili[[#This Row],[Smithies]]*smithy_bonus,smithy_bonus_cap) + tech_3_5*TblTech[[#This Row],[3-5]] + tech_5_3*TblTech[[#This Row],[5-3]] + tech_5_5*TblTech[[#This Row],[5-5]]))*elite2_ore,0)</f>
        <v>100</v>
      </c>
      <c r="BR102" s="97">
        <f ca="1">ROUNDUP((1-MIN(ROUND(fh_spy_cost_red*TblMili[[#This Row],[FH''s]],4),fh_spy_cost_cap)+ tech_1_9*TblTech[[#This Row],[1-9]] + tech_9_1*TblTech[[#This Row],[9-1]])*spy_plat,0)</f>
        <v>500</v>
      </c>
      <c r="BS102" s="97">
        <f ca="1">ROUNDUP((1-MIN(ROUND(fh_spy_cost_red*TblMili[[#This Row],[FH''s]],4),fh_spy_cost_cap)+ tech_1_9*TblTech[[#This Row],[1-9]] + tech_9_1*TblTech[[#This Row],[9-1]])*archspy_plat,0)</f>
        <v>1000</v>
      </c>
      <c r="BT102" s="97">
        <f ca="1">ROUNDUP((1-MIN(ROUND(wg_wiz_cost_bonus*TblMili[[#This Row],[WG''s]],4),wg_wiz_cost_cap) + tech_1_9_2*TblTech[[#This Row],[1-9]] + tech_9_1_2*TblTech[[#This Row],[9-1]])*wizard_plat,0)</f>
        <v>500</v>
      </c>
      <c r="BU102" s="97">
        <f ca="1">ROUNDUP((1-MIN(ROUND(wg_wiz_cost_bonus*TblMili[[#This Row],[WG''s]],4),wg_wiz_cost_cap) + tech_1_9_2*TblTech[[#This Row],[1-9]] + tech_9_1_2*TblTech[[#This Row],[9-1]])*archmage_plat,0)</f>
        <v>1000</v>
      </c>
      <c r="BV102" s="145"/>
      <c r="BW102" s="160">
        <f ca="1">TblConstr[[#This Row],[Homeland]]/TblConstr[[#This Row],[Land]]</f>
        <v>0.44</v>
      </c>
      <c r="BX102" s="160">
        <f ca="1">TblMili[[#This Row],[WG''s]]</f>
        <v>0</v>
      </c>
      <c r="BY102" s="266">
        <f ca="1">IF(mystic_cap="none",TblMili[[#This Row],[Hill]]/mystic_bonus,MIN(mystic_cap,TblMili[[#This Row],[Hill]]/mystic_bonus))</f>
        <v>2.1999999999999997</v>
      </c>
      <c r="BZ102" s="266">
        <f ca="1">IF(druid_op_cap="none",TblMili[[#This Row],[Hill]]/druid_op_bonus,MIN(druid_op_cap,TblMili[[#This Row],[Hill]]/druid_op_bonus))</f>
        <v>2.1999999999999997</v>
      </c>
      <c r="CA102" s="266">
        <f ca="1">IF(druid_dp_cap="none",TblMili[[#This Row],[Hill]]/druid_dp_bonus,MIN(druid_dp_cap,TblMili[[#This Row],[Hill]]/druid_dp_bonus))</f>
        <v>2.1999999999999997</v>
      </c>
      <c r="CB102" s="266">
        <f ca="1">MIN(dryad_cap,TblMili[[#This Row],[Hill]]/dryad_bonus)</f>
        <v>2.1999999999999997</v>
      </c>
      <c r="CC102" s="266">
        <f ca="1">MIN(rocka_cap,TblMili[[#This Row],[Hill]]/rocka_bonus)</f>
        <v>2</v>
      </c>
      <c r="CD102" s="266">
        <f ca="1">MIN(adept_op_cap,TblMili[[#This Row],[WG]]/adept_op_bonus)</f>
        <v>0</v>
      </c>
      <c r="CE102" s="266">
        <f ca="1">MIN(adept_dp_cap,TblMili[[#This Row],[WG]]/adept_dp_bonus)</f>
        <v>0</v>
      </c>
      <c r="CF102" s="97">
        <f ca="1">MIN(TblMili[[#This Row],[Unit 3]],TblMili[[#This Row],[Unit 2]])*2</f>
        <v>0</v>
      </c>
      <c r="CG102" s="97">
        <f ca="1">MIN(TblMili[[#This Row],[Unit 1]],TblMili[[#This Row],[Unit 4]])*2</f>
        <v>0</v>
      </c>
      <c r="CH102" s="266">
        <f ca="1">MIN(frost_mage_cap,TblMili[[#This Row],[Hill]]/frost_mage_bonus)</f>
        <v>2.1999999999999997</v>
      </c>
      <c r="CI102" s="45">
        <f ca="1">MIN(ice_elem_cap,TblMili[[#This Row],[Raw (2)]]*ice_elem_bonus)</f>
        <v>0.1</v>
      </c>
      <c r="CJ102" s="266">
        <f t="shared" si="4"/>
        <v>0.83333333333333337</v>
      </c>
      <c r="CK102" s="266">
        <f ca="1">MIN(nox_nightshade_cap,TblConstr[[#This Row],[Homeland]]/TblConstr[[#This Row],[Land]]/nox_nightshade_swamp_bonus)</f>
        <v>4</v>
      </c>
      <c r="CL102" s="267"/>
      <c r="CM102" s="267"/>
      <c r="CN102" s="267"/>
      <c r="CO102" s="266">
        <f ca="1">MIN(6,TblMili[[#This Row],[Mystic]]+Races!$F$19)*1.8 +  IF(TblMili[[#This Row],[Mystic]]+Races!$F$19&gt;6,(TblMili[[#This Row],[Mystic]]+Races!$F$19-6)*0.2,0) - Races!$I$19</f>
        <v>3.6399999999999997</v>
      </c>
      <c r="CP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2" s="97">
        <f ca="1">TblMili[[#This Row],[Mystic bonus]]*TblMili[[#This Row],[Unit 3]]+TblMili[[#This Row],[Druid bonus]]*TblMili[[#This Row],[Unit 4]]</f>
        <v>0</v>
      </c>
      <c r="CR102" s="158">
        <f ca="1">MIN(6,TblMili[[#This Row],[Dryad]]+Races!$F$35)*1.8 +  IF(TblMili[[#This Row],[Dryad]]+Races!$F$35&gt;6,(TblMili[[#This Row],[Dryad]]+Races!$F$35-6)*0.2,0) - Races!$I$19</f>
        <v>2.1599999999999993</v>
      </c>
      <c r="CS102" s="97">
        <f ca="1">sylvan*(TblMili[[#This Row],[Mystic bonus]]*TblMili[[#This Row],[Unit 3]])</f>
        <v>0</v>
      </c>
      <c r="CT102" s="158">
        <f ca="1">1.8 * MIN(MAX(Races!$E$27,TblMili[[#This Row],[Rockapult]]+Races!$F$27),6)  +  0.45 * MIN(MIN(Races!$E$27,TblMili[[#This Row],[Rockapult]]+Races!$F$27),6)  +  0.2 * ( MAX(Races!$E$27-6,0) + MAX(TblMili[[#This Row],[Rockapult]]+Races!$F$27-6,0) )  -  Races!$I$20</f>
        <v>5.8500000000000005</v>
      </c>
      <c r="CU102" s="97">
        <f ca="1">gnome*(TblMili[[#This Row],[Rockapult bonus]]*TblMili[[#This Row],[Unit 3]])</f>
        <v>0</v>
      </c>
      <c r="CV102" s="158">
        <f ca="1">1.8 * MIN(MAX(TblMili[[#This Row],[Spellblade]]+Races!$E$47,TblMili[[#This Row],[Adept-DP]]+Races!$F$47),6)  +  0.45 * MIN(MIN(TblMili[[#This Row],[Spellblade]]+Races!$E$47,TblMili[[#This Row],[Adept-DP]]+Races!$F$47),6)  +  0.2 * ( MAX(TblMili[[#This Row],[Spellblade]]+Races!$E$47-6,0) + MAX(TblMili[[#This Row],[Adept-DP]]+Races!$F$47-6,0) )  -  Races!$I$47</f>
        <v>0</v>
      </c>
      <c r="CW102" s="97">
        <f ca="1">dark_elf*(TblMili[[#This Row],[Adept bonus]]*TblMili[[#This Row],[Unit 3]])</f>
        <v>0</v>
      </c>
      <c r="CX102" s="158">
        <f ca="1">1.8 * MIN(MAX(TblMili[[#This Row],[Frost Mage]]+Races!$F$71,Races!$E$71),6)  +  0.45 * MIN(MIN(TblMili[[#This Row],[Frost Mage]]+Races!$F$71,Races!$E$71),6)  +  0.2 * ( MAX(TblMili[[#This Row],[Frost Mage]]+Races!$F$71-6,0) + MAX(Races!$E$71-6,0) )  -  Races!$I$71</f>
        <v>3.9599999999999991</v>
      </c>
      <c r="CY102" s="158">
        <f ca="1">1.8 * MIN(MAX(TblMili[[#This Row],[Ice Elemental]]+Races!$E$71,Races!$F$71),6)  +  0.45 * MIN(MIN(TblMili[[#This Row],[Ice Elemental]]+Races!$E$71,Races!$F$71),6)  +  0.2 * ( MAX(TblMili[[#This Row],[Ice Elemental]]+Races!$E$71-6,0) + MAX(Races!$F$71-6,0) )  -  Races!$I$71</f>
        <v>0.17999999999999972</v>
      </c>
      <c r="CZ102" s="97">
        <f ca="1">TblMili[[#This Row],[Frost Mage bonus]]*TblMili[[#This Row],[Unit 3]]+TblMili[[#This Row],[Ice Elemental bonus]]*TblMili[[#This Row],[Unit 4]]</f>
        <v>0</v>
      </c>
      <c r="DA102" s="268"/>
      <c r="DB102" s="146">
        <f ca="1">MIN(SUM(TblConstr[[#This Row],[Plain]:[Water]])/TblMili[[#This Row],[Land]]/favorable_terrain_bonus/100,favorable_terrain_max)</f>
        <v>0.1</v>
      </c>
      <c r="DC102" s="268"/>
      <c r="DD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2" s="145"/>
      <c r="DF102" s="269">
        <f ca="1">(TblMili[[#This Row],[Wizards]]+2*TblMili[[#This Row],[Archmages]])/TblConstr[[#This Row],[Land]]</f>
        <v>0.1</v>
      </c>
      <c r="DG102" s="269">
        <f ca="1">TblMili[[#This Row],[Raw (2)]]*(1+race_wizard_strength+IF(TblMili[[#This Row],[Hour]]&gt;72,tech_magical_weaponry_wiz*TblTech[[#This Row],[3-5]],0))</f>
        <v>0.1</v>
      </c>
    </row>
    <row r="103" spans="1:111"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45462.12499999976</v>
      </c>
      <c r="AG103" s="182"/>
      <c r="AH103" s="182"/>
      <c r="AI103" s="182"/>
      <c r="AJ103" s="182"/>
      <c r="AK103" s="182"/>
      <c r="AL103" s="182"/>
      <c r="AM103" s="182"/>
      <c r="AN103" s="182"/>
      <c r="AO103" s="449">
        <f ca="1">IF(AND(TblMagic[[#This Row],[Active DnD]]&lt;12,TblMagic[[#This Row],[Active DnD]]&gt;5),OFFSET(TblPop[[#This Row],[Draft Growth]],-1,0)/2,0)</f>
        <v>0</v>
      </c>
      <c r="AP103" s="145"/>
      <c r="AQ103" s="97">
        <f ca="1">TblProd[[#This Row],[Platinum]]</f>
        <v>663992</v>
      </c>
      <c r="AR103" s="97">
        <f ca="1">INDEX(TblProd[[#Headers],[Lumber]]:TblProd[[#This Row],[Ore]],COUNTA(TblProd[[#Headers],[Lumber]]:TblProd[[#This Row],[Lumber]]),MATCH(Military!$AQ$2,TblProd[[#Headers],[Lumber]:[Ore]],0))</f>
        <v>0</v>
      </c>
      <c r="AS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7">
        <f ca="1">TblMili[[#This Row],[Train Unit 1]]*TblMili[[#This Row],[OP Ore]]+TblMili[[#This Row],[Train Unit 2]]*TblMili[[#This Row],[DP Ore]]+TblMili[[#This Row],[Train Unit 3]]*TblMili[[#This Row],[E1 Ore]]+TblMili[[#This Row],[Train Unit 4]]*TblMili[[#This Row],[E2 Ore]]</f>
        <v>0</v>
      </c>
      <c r="AU103" s="145">
        <f>TblMili[[#This Row],[Hour]]</f>
        <v>100</v>
      </c>
      <c r="AV103" s="155">
        <f ca="1">TblMili[[#This Row],[Time]]</f>
        <v>45462.12499999976</v>
      </c>
      <c r="AW103" s="97">
        <f ca="1">TblMili[[#This Row],[Draftees]]</f>
        <v>626</v>
      </c>
      <c r="AX103" s="182"/>
      <c r="AY103" s="182"/>
      <c r="AZ103" s="182"/>
      <c r="BA103" s="182"/>
      <c r="BB103" s="182"/>
      <c r="BC103" s="182"/>
      <c r="BD103" s="182"/>
      <c r="BE103" s="182"/>
      <c r="BF103" s="182"/>
      <c r="BG103" s="145"/>
      <c r="BH103" s="160">
        <f ca="1">TblConstr[[#This Row],[Tot WG]]/TblConstr[[#This Row],[Land]]</f>
        <v>0</v>
      </c>
      <c r="BI103" s="160">
        <f ca="1">TblConstr[[#This Row],[Tot Hav]]/TblConstr[[#This Row],[Land]]</f>
        <v>0</v>
      </c>
      <c r="BJ103" s="97">
        <f ca="1">ROUNDUP((1-MIN(TblMili[[#This Row],[Smithies]]*smithy_bonus,smithy_bonus_cap) + tech_3_5*TblTech[[#This Row],[3-5]] + tech_5_3*TblTech[[#This Row],[5-3]] + tech_5_5*TblTech[[#This Row],[5-5]])*spec_op_plat,0)</f>
        <v>275</v>
      </c>
      <c r="BK103" s="97">
        <f ca="1">ROUNDUP(IF(race="Gnome",1,(1-MIN(TblMili[[#This Row],[Smithies]]*smithy_bonus,smithy_bonus_cap) + tech_3_5*TblTech[[#This Row],[3-5]] + tech_5_3*TblTech[[#This Row],[5-3]] + tech_5_5*TblTech[[#This Row],[5-5]]))*spec_op_ore,0)</f>
        <v>25</v>
      </c>
      <c r="BL103" s="97">
        <f ca="1">ROUNDUP((1-MIN(TblMili[[#This Row],[Smithies]]*smithy_bonus,smithy_bonus_cap) + tech_3_5*TblTech[[#This Row],[3-5]] + tech_5_3*TblTech[[#This Row],[5-3]] + tech_5_5*TblTech[[#This Row],[5-5]])*spec_dp_plat,0)</f>
        <v>275</v>
      </c>
      <c r="BM103" s="97">
        <f ca="1">ROUNDUP(IF(race="Gnome",1,(1-MIN(TblMili[[#This Row],[Smithies]]*smithy_bonus,smithy_bonus_cap) + tech_3_5*TblTech[[#This Row],[3-5]] + tech_5_3*TblTech[[#This Row],[5-3]] + tech_5_5*TblTech[[#This Row],[5-5]]))*spec_dp_ore,0)</f>
        <v>15</v>
      </c>
      <c r="BN103" s="97">
        <f ca="1">ROUNDUP((1-MIN(TblMili[[#This Row],[Smithies]]*smithy_bonus,smithy_bonus_cap) + tech_3_5*TblTech[[#This Row],[3-5]] + tech_5_3*TblTech[[#This Row],[5-3]] + tech_5_5*TblTech[[#This Row],[5-5]])*elite1_plat,0)</f>
        <v>1000</v>
      </c>
      <c r="BO103" s="97">
        <f ca="1">ROUNDUP(IF(race="Gnome",1,(1-MIN(TblMili[[#This Row],[Smithies]]*smithy_bonus,smithy_bonus_cap) + tech_3_5*TblTech[[#This Row],[3-5]] + tech_5_3*TblTech[[#This Row],[5-3]] + tech_5_5*TblTech[[#This Row],[5-5]]))*elite1_ore,0)</f>
        <v>75</v>
      </c>
      <c r="BP103" s="97">
        <f ca="1">ROUNDUP((1-MIN(TblMili[[#This Row],[Smithies]]*smithy_bonus,smithy_bonus_cap) + tech_3_5*TblTech[[#This Row],[3-5]] + tech_5_3*TblTech[[#This Row],[5-3]] + tech_5_5*TblTech[[#This Row],[5-5]])*elite2_plat,0)</f>
        <v>1250</v>
      </c>
      <c r="BQ103" s="97">
        <f ca="1">ROUNDUP(IF(race="Gnome",1,(1-MIN(TblMili[[#This Row],[Smithies]]*smithy_bonus,smithy_bonus_cap) + tech_3_5*TblTech[[#This Row],[3-5]] + tech_5_3*TblTech[[#This Row],[5-3]] + tech_5_5*TblTech[[#This Row],[5-5]]))*elite2_ore,0)</f>
        <v>100</v>
      </c>
      <c r="BR103" s="97">
        <f ca="1">ROUNDUP((1-MIN(ROUND(fh_spy_cost_red*TblMili[[#This Row],[FH''s]],4),fh_spy_cost_cap)+ tech_1_9*TblTech[[#This Row],[1-9]] + tech_9_1*TblTech[[#This Row],[9-1]])*spy_plat,0)</f>
        <v>500</v>
      </c>
      <c r="BS103" s="97">
        <f ca="1">ROUNDUP((1-MIN(ROUND(fh_spy_cost_red*TblMili[[#This Row],[FH''s]],4),fh_spy_cost_cap)+ tech_1_9*TblTech[[#This Row],[1-9]] + tech_9_1*TblTech[[#This Row],[9-1]])*archspy_plat,0)</f>
        <v>1000</v>
      </c>
      <c r="BT103" s="97">
        <f ca="1">ROUNDUP((1-MIN(ROUND(wg_wiz_cost_bonus*TblMili[[#This Row],[WG''s]],4),wg_wiz_cost_cap) + tech_1_9_2*TblTech[[#This Row],[1-9]] + tech_9_1_2*TblTech[[#This Row],[9-1]])*wizard_plat,0)</f>
        <v>500</v>
      </c>
      <c r="BU103" s="97">
        <f ca="1">ROUNDUP((1-MIN(ROUND(wg_wiz_cost_bonus*TblMili[[#This Row],[WG''s]],4),wg_wiz_cost_cap) + tech_1_9_2*TblTech[[#This Row],[1-9]] + tech_9_1_2*TblTech[[#This Row],[9-1]])*archmage_plat,0)</f>
        <v>1000</v>
      </c>
      <c r="BV103" s="145"/>
      <c r="BW103" s="160">
        <f ca="1">TblConstr[[#This Row],[Homeland]]/TblConstr[[#This Row],[Land]]</f>
        <v>0.44</v>
      </c>
      <c r="BX103" s="160">
        <f ca="1">TblMili[[#This Row],[WG''s]]</f>
        <v>0</v>
      </c>
      <c r="BY103" s="266">
        <f ca="1">IF(mystic_cap="none",TblMili[[#This Row],[Hill]]/mystic_bonus,MIN(mystic_cap,TblMili[[#This Row],[Hill]]/mystic_bonus))</f>
        <v>2.1999999999999997</v>
      </c>
      <c r="BZ103" s="266">
        <f ca="1">IF(druid_op_cap="none",TblMili[[#This Row],[Hill]]/druid_op_bonus,MIN(druid_op_cap,TblMili[[#This Row],[Hill]]/druid_op_bonus))</f>
        <v>2.1999999999999997</v>
      </c>
      <c r="CA103" s="266">
        <f ca="1">IF(druid_dp_cap="none",TblMili[[#This Row],[Hill]]/druid_dp_bonus,MIN(druid_dp_cap,TblMili[[#This Row],[Hill]]/druid_dp_bonus))</f>
        <v>2.1999999999999997</v>
      </c>
      <c r="CB103" s="266">
        <f ca="1">MIN(dryad_cap,TblMili[[#This Row],[Hill]]/dryad_bonus)</f>
        <v>2.1999999999999997</v>
      </c>
      <c r="CC103" s="266">
        <f ca="1">MIN(rocka_cap,TblMili[[#This Row],[Hill]]/rocka_bonus)</f>
        <v>2</v>
      </c>
      <c r="CD103" s="266">
        <f ca="1">MIN(adept_op_cap,TblMili[[#This Row],[WG]]/adept_op_bonus)</f>
        <v>0</v>
      </c>
      <c r="CE103" s="266">
        <f ca="1">MIN(adept_dp_cap,TblMili[[#This Row],[WG]]/adept_dp_bonus)</f>
        <v>0</v>
      </c>
      <c r="CF103" s="97">
        <f ca="1">MIN(TblMili[[#This Row],[Unit 3]],TblMili[[#This Row],[Unit 2]])*2</f>
        <v>0</v>
      </c>
      <c r="CG103" s="97">
        <f ca="1">MIN(TblMili[[#This Row],[Unit 1]],TblMili[[#This Row],[Unit 4]])*2</f>
        <v>0</v>
      </c>
      <c r="CH103" s="266">
        <f ca="1">MIN(frost_mage_cap,TblMili[[#This Row],[Hill]]/frost_mage_bonus)</f>
        <v>2.1999999999999997</v>
      </c>
      <c r="CI103" s="45">
        <f ca="1">MIN(ice_elem_cap,TblMili[[#This Row],[Raw (2)]]*ice_elem_bonus)</f>
        <v>0.1</v>
      </c>
      <c r="CJ103" s="266">
        <f t="shared" si="4"/>
        <v>0.83333333333333337</v>
      </c>
      <c r="CK103" s="266">
        <f ca="1">MIN(nox_nightshade_cap,TblConstr[[#This Row],[Homeland]]/TblConstr[[#This Row],[Land]]/nox_nightshade_swamp_bonus)</f>
        <v>4</v>
      </c>
      <c r="CL103" s="267"/>
      <c r="CM103" s="267"/>
      <c r="CN103" s="267"/>
      <c r="CO103" s="266">
        <f ca="1">MIN(6,TblMili[[#This Row],[Mystic]]+Races!$F$19)*1.8 +  IF(TblMili[[#This Row],[Mystic]]+Races!$F$19&gt;6,(TblMili[[#This Row],[Mystic]]+Races!$F$19-6)*0.2,0) - Races!$I$19</f>
        <v>3.6399999999999997</v>
      </c>
      <c r="CP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3" s="97">
        <f ca="1">TblMili[[#This Row],[Mystic bonus]]*TblMili[[#This Row],[Unit 3]]+TblMili[[#This Row],[Druid bonus]]*TblMili[[#This Row],[Unit 4]]</f>
        <v>0</v>
      </c>
      <c r="CR103" s="158">
        <f ca="1">MIN(6,TblMili[[#This Row],[Dryad]]+Races!$F$35)*1.8 +  IF(TblMili[[#This Row],[Dryad]]+Races!$F$35&gt;6,(TblMili[[#This Row],[Dryad]]+Races!$F$35-6)*0.2,0) - Races!$I$19</f>
        <v>2.1599999999999993</v>
      </c>
      <c r="CS103" s="97">
        <f ca="1">sylvan*(TblMili[[#This Row],[Mystic bonus]]*TblMili[[#This Row],[Unit 3]])</f>
        <v>0</v>
      </c>
      <c r="CT103" s="158">
        <f ca="1">1.8 * MIN(MAX(Races!$E$27,TblMili[[#This Row],[Rockapult]]+Races!$F$27),6)  +  0.45 * MIN(MIN(Races!$E$27,TblMili[[#This Row],[Rockapult]]+Races!$F$27),6)  +  0.2 * ( MAX(Races!$E$27-6,0) + MAX(TblMili[[#This Row],[Rockapult]]+Races!$F$27-6,0) )  -  Races!$I$20</f>
        <v>5.8500000000000005</v>
      </c>
      <c r="CU103" s="97">
        <f ca="1">gnome*(TblMili[[#This Row],[Rockapult bonus]]*TblMili[[#This Row],[Unit 3]])</f>
        <v>0</v>
      </c>
      <c r="CV103" s="158">
        <f ca="1">1.8 * MIN(MAX(TblMili[[#This Row],[Spellblade]]+Races!$E$47,TblMili[[#This Row],[Adept-DP]]+Races!$F$47),6)  +  0.45 * MIN(MIN(TblMili[[#This Row],[Spellblade]]+Races!$E$47,TblMili[[#This Row],[Adept-DP]]+Races!$F$47),6)  +  0.2 * ( MAX(TblMili[[#This Row],[Spellblade]]+Races!$E$47-6,0) + MAX(TblMili[[#This Row],[Adept-DP]]+Races!$F$47-6,0) )  -  Races!$I$47</f>
        <v>0</v>
      </c>
      <c r="CW103" s="97">
        <f ca="1">dark_elf*(TblMili[[#This Row],[Adept bonus]]*TblMili[[#This Row],[Unit 3]])</f>
        <v>0</v>
      </c>
      <c r="CX103" s="158">
        <f ca="1">1.8 * MIN(MAX(TblMili[[#This Row],[Frost Mage]]+Races!$F$71,Races!$E$71),6)  +  0.45 * MIN(MIN(TblMili[[#This Row],[Frost Mage]]+Races!$F$71,Races!$E$71),6)  +  0.2 * ( MAX(TblMili[[#This Row],[Frost Mage]]+Races!$F$71-6,0) + MAX(Races!$E$71-6,0) )  -  Races!$I$71</f>
        <v>3.9599999999999991</v>
      </c>
      <c r="CY103" s="158">
        <f ca="1">1.8 * MIN(MAX(TblMili[[#This Row],[Ice Elemental]]+Races!$E$71,Races!$F$71),6)  +  0.45 * MIN(MIN(TblMili[[#This Row],[Ice Elemental]]+Races!$E$71,Races!$F$71),6)  +  0.2 * ( MAX(TblMili[[#This Row],[Ice Elemental]]+Races!$E$71-6,0) + MAX(Races!$F$71-6,0) )  -  Races!$I$71</f>
        <v>0.17999999999999972</v>
      </c>
      <c r="CZ103" s="97">
        <f ca="1">TblMili[[#This Row],[Frost Mage bonus]]*TblMili[[#This Row],[Unit 3]]+TblMili[[#This Row],[Ice Elemental bonus]]*TblMili[[#This Row],[Unit 4]]</f>
        <v>0</v>
      </c>
      <c r="DA103" s="268"/>
      <c r="DB103" s="146">
        <f ca="1">MIN(SUM(TblConstr[[#This Row],[Plain]:[Water]])/TblMili[[#This Row],[Land]]/favorable_terrain_bonus/100,favorable_terrain_max)</f>
        <v>0.1</v>
      </c>
      <c r="DC103" s="268"/>
      <c r="DD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3" s="145"/>
      <c r="DF103" s="269">
        <f ca="1">(TblMili[[#This Row],[Wizards]]+2*TblMili[[#This Row],[Archmages]])/TblConstr[[#This Row],[Land]]</f>
        <v>0.1</v>
      </c>
      <c r="DG103" s="269">
        <f ca="1">TblMili[[#This Row],[Raw (2)]]*(1+race_wizard_strength+IF(TblMili[[#This Row],[Hour]]&gt;72,tech_magical_weaponry_wiz*TblTech[[#This Row],[3-5]],0))</f>
        <v>0.1</v>
      </c>
    </row>
    <row r="104" spans="1:111"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45462.166666666424</v>
      </c>
      <c r="AG104" s="182"/>
      <c r="AH104" s="182"/>
      <c r="AI104" s="182"/>
      <c r="AJ104" s="182"/>
      <c r="AK104" s="182"/>
      <c r="AL104" s="182"/>
      <c r="AM104" s="182"/>
      <c r="AN104" s="182"/>
      <c r="AO104" s="449">
        <f ca="1">IF(AND(TblMagic[[#This Row],[Active DnD]]&lt;12,TblMagic[[#This Row],[Active DnD]]&gt;5),OFFSET(TblPop[[#This Row],[Draft Growth]],-1,0)/2,0)</f>
        <v>0</v>
      </c>
      <c r="AP104" s="145"/>
      <c r="AQ104" s="97">
        <f ca="1">TblProd[[#This Row],[Platinum]]</f>
        <v>669478</v>
      </c>
      <c r="AR104" s="97">
        <f ca="1">INDEX(TblProd[[#Headers],[Lumber]]:TblProd[[#This Row],[Ore]],COUNTA(TblProd[[#Headers],[Lumber]]:TblProd[[#This Row],[Lumber]]),MATCH(Military!$AQ$2,TblProd[[#Headers],[Lumber]:[Ore]],0))</f>
        <v>0</v>
      </c>
      <c r="AS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7">
        <f ca="1">TblMili[[#This Row],[Train Unit 1]]*TblMili[[#This Row],[OP Ore]]+TblMili[[#This Row],[Train Unit 2]]*TblMili[[#This Row],[DP Ore]]+TblMili[[#This Row],[Train Unit 3]]*TblMili[[#This Row],[E1 Ore]]+TblMili[[#This Row],[Train Unit 4]]*TblMili[[#This Row],[E2 Ore]]</f>
        <v>0</v>
      </c>
      <c r="AU104" s="145">
        <f>TblMili[[#This Row],[Hour]]</f>
        <v>101</v>
      </c>
      <c r="AV104" s="155">
        <f ca="1">TblMili[[#This Row],[Time]]</f>
        <v>45462.166666666424</v>
      </c>
      <c r="AW104" s="97">
        <f ca="1">TblMili[[#This Row],[Draftees]]</f>
        <v>626</v>
      </c>
      <c r="AX104" s="182"/>
      <c r="AY104" s="182"/>
      <c r="AZ104" s="182"/>
      <c r="BA104" s="182"/>
      <c r="BB104" s="182"/>
      <c r="BC104" s="182"/>
      <c r="BD104" s="182"/>
      <c r="BE104" s="182"/>
      <c r="BF104" s="182"/>
      <c r="BG104" s="145"/>
      <c r="BH104" s="160">
        <f ca="1">TblConstr[[#This Row],[Tot WG]]/TblConstr[[#This Row],[Land]]</f>
        <v>0</v>
      </c>
      <c r="BI104" s="160">
        <f ca="1">TblConstr[[#This Row],[Tot Hav]]/TblConstr[[#This Row],[Land]]</f>
        <v>0</v>
      </c>
      <c r="BJ104" s="97">
        <f ca="1">ROUNDUP((1-MIN(TblMili[[#This Row],[Smithies]]*smithy_bonus,smithy_bonus_cap) + tech_3_5*TblTech[[#This Row],[3-5]] + tech_5_3*TblTech[[#This Row],[5-3]] + tech_5_5*TblTech[[#This Row],[5-5]])*spec_op_plat,0)</f>
        <v>275</v>
      </c>
      <c r="BK104" s="97">
        <f ca="1">ROUNDUP(IF(race="Gnome",1,(1-MIN(TblMili[[#This Row],[Smithies]]*smithy_bonus,smithy_bonus_cap) + tech_3_5*TblTech[[#This Row],[3-5]] + tech_5_3*TblTech[[#This Row],[5-3]] + tech_5_5*TblTech[[#This Row],[5-5]]))*spec_op_ore,0)</f>
        <v>25</v>
      </c>
      <c r="BL104" s="97">
        <f ca="1">ROUNDUP((1-MIN(TblMili[[#This Row],[Smithies]]*smithy_bonus,smithy_bonus_cap) + tech_3_5*TblTech[[#This Row],[3-5]] + tech_5_3*TblTech[[#This Row],[5-3]] + tech_5_5*TblTech[[#This Row],[5-5]])*spec_dp_plat,0)</f>
        <v>275</v>
      </c>
      <c r="BM104" s="97">
        <f ca="1">ROUNDUP(IF(race="Gnome",1,(1-MIN(TblMili[[#This Row],[Smithies]]*smithy_bonus,smithy_bonus_cap) + tech_3_5*TblTech[[#This Row],[3-5]] + tech_5_3*TblTech[[#This Row],[5-3]] + tech_5_5*TblTech[[#This Row],[5-5]]))*spec_dp_ore,0)</f>
        <v>15</v>
      </c>
      <c r="BN104" s="97">
        <f ca="1">ROUNDUP((1-MIN(TblMili[[#This Row],[Smithies]]*smithy_bonus,smithy_bonus_cap) + tech_3_5*TblTech[[#This Row],[3-5]] + tech_5_3*TblTech[[#This Row],[5-3]] + tech_5_5*TblTech[[#This Row],[5-5]])*elite1_plat,0)</f>
        <v>1000</v>
      </c>
      <c r="BO104" s="97">
        <f ca="1">ROUNDUP(IF(race="Gnome",1,(1-MIN(TblMili[[#This Row],[Smithies]]*smithy_bonus,smithy_bonus_cap) + tech_3_5*TblTech[[#This Row],[3-5]] + tech_5_3*TblTech[[#This Row],[5-3]] + tech_5_5*TblTech[[#This Row],[5-5]]))*elite1_ore,0)</f>
        <v>75</v>
      </c>
      <c r="BP104" s="97">
        <f ca="1">ROUNDUP((1-MIN(TblMili[[#This Row],[Smithies]]*smithy_bonus,smithy_bonus_cap) + tech_3_5*TblTech[[#This Row],[3-5]] + tech_5_3*TblTech[[#This Row],[5-3]] + tech_5_5*TblTech[[#This Row],[5-5]])*elite2_plat,0)</f>
        <v>1250</v>
      </c>
      <c r="BQ104" s="97">
        <f ca="1">ROUNDUP(IF(race="Gnome",1,(1-MIN(TblMili[[#This Row],[Smithies]]*smithy_bonus,smithy_bonus_cap) + tech_3_5*TblTech[[#This Row],[3-5]] + tech_5_3*TblTech[[#This Row],[5-3]] + tech_5_5*TblTech[[#This Row],[5-5]]))*elite2_ore,0)</f>
        <v>100</v>
      </c>
      <c r="BR104" s="97">
        <f ca="1">ROUNDUP((1-MIN(ROUND(fh_spy_cost_red*TblMili[[#This Row],[FH''s]],4),fh_spy_cost_cap)+ tech_1_9*TblTech[[#This Row],[1-9]] + tech_9_1*TblTech[[#This Row],[9-1]])*spy_plat,0)</f>
        <v>500</v>
      </c>
      <c r="BS104" s="97">
        <f ca="1">ROUNDUP((1-MIN(ROUND(fh_spy_cost_red*TblMili[[#This Row],[FH''s]],4),fh_spy_cost_cap)+ tech_1_9*TblTech[[#This Row],[1-9]] + tech_9_1*TblTech[[#This Row],[9-1]])*archspy_plat,0)</f>
        <v>1000</v>
      </c>
      <c r="BT104" s="97">
        <f ca="1">ROUNDUP((1-MIN(ROUND(wg_wiz_cost_bonus*TblMili[[#This Row],[WG''s]],4),wg_wiz_cost_cap) + tech_1_9_2*TblTech[[#This Row],[1-9]] + tech_9_1_2*TblTech[[#This Row],[9-1]])*wizard_plat,0)</f>
        <v>500</v>
      </c>
      <c r="BU104" s="97">
        <f ca="1">ROUNDUP((1-MIN(ROUND(wg_wiz_cost_bonus*TblMili[[#This Row],[WG''s]],4),wg_wiz_cost_cap) + tech_1_9_2*TblTech[[#This Row],[1-9]] + tech_9_1_2*TblTech[[#This Row],[9-1]])*archmage_plat,0)</f>
        <v>1000</v>
      </c>
      <c r="BV104" s="145"/>
      <c r="BW104" s="160">
        <f ca="1">TblConstr[[#This Row],[Homeland]]/TblConstr[[#This Row],[Land]]</f>
        <v>0.44</v>
      </c>
      <c r="BX104" s="160">
        <f ca="1">TblMili[[#This Row],[WG''s]]</f>
        <v>0</v>
      </c>
      <c r="BY104" s="266">
        <f ca="1">IF(mystic_cap="none",TblMili[[#This Row],[Hill]]/mystic_bonus,MIN(mystic_cap,TblMili[[#This Row],[Hill]]/mystic_bonus))</f>
        <v>2.1999999999999997</v>
      </c>
      <c r="BZ104" s="266">
        <f ca="1">IF(druid_op_cap="none",TblMili[[#This Row],[Hill]]/druid_op_bonus,MIN(druid_op_cap,TblMili[[#This Row],[Hill]]/druid_op_bonus))</f>
        <v>2.1999999999999997</v>
      </c>
      <c r="CA104" s="266">
        <f ca="1">IF(druid_dp_cap="none",TblMili[[#This Row],[Hill]]/druid_dp_bonus,MIN(druid_dp_cap,TblMili[[#This Row],[Hill]]/druid_dp_bonus))</f>
        <v>2.1999999999999997</v>
      </c>
      <c r="CB104" s="266">
        <f ca="1">MIN(dryad_cap,TblMili[[#This Row],[Hill]]/dryad_bonus)</f>
        <v>2.1999999999999997</v>
      </c>
      <c r="CC104" s="266">
        <f ca="1">MIN(rocka_cap,TblMili[[#This Row],[Hill]]/rocka_bonus)</f>
        <v>2</v>
      </c>
      <c r="CD104" s="266">
        <f ca="1">MIN(adept_op_cap,TblMili[[#This Row],[WG]]/adept_op_bonus)</f>
        <v>0</v>
      </c>
      <c r="CE104" s="266">
        <f ca="1">MIN(adept_dp_cap,TblMili[[#This Row],[WG]]/adept_dp_bonus)</f>
        <v>0</v>
      </c>
      <c r="CF104" s="97">
        <f ca="1">MIN(TblMili[[#This Row],[Unit 3]],TblMili[[#This Row],[Unit 2]])*2</f>
        <v>0</v>
      </c>
      <c r="CG104" s="97">
        <f ca="1">MIN(TblMili[[#This Row],[Unit 1]],TblMili[[#This Row],[Unit 4]])*2</f>
        <v>0</v>
      </c>
      <c r="CH104" s="266">
        <f ca="1">MIN(frost_mage_cap,TblMili[[#This Row],[Hill]]/frost_mage_bonus)</f>
        <v>2.1999999999999997</v>
      </c>
      <c r="CI104" s="45">
        <f ca="1">MIN(ice_elem_cap,TblMili[[#This Row],[Raw (2)]]*ice_elem_bonus)</f>
        <v>0.1</v>
      </c>
      <c r="CJ104" s="266">
        <f t="shared" si="4"/>
        <v>0.83333333333333337</v>
      </c>
      <c r="CK104" s="266">
        <f ca="1">MIN(nox_nightshade_cap,TblConstr[[#This Row],[Homeland]]/TblConstr[[#This Row],[Land]]/nox_nightshade_swamp_bonus)</f>
        <v>4</v>
      </c>
      <c r="CL104" s="267"/>
      <c r="CM104" s="267"/>
      <c r="CN104" s="267"/>
      <c r="CO104" s="266">
        <f ca="1">MIN(6,TblMili[[#This Row],[Mystic]]+Races!$F$19)*1.8 +  IF(TblMili[[#This Row],[Mystic]]+Races!$F$19&gt;6,(TblMili[[#This Row],[Mystic]]+Races!$F$19-6)*0.2,0) - Races!$I$19</f>
        <v>3.6399999999999997</v>
      </c>
      <c r="CP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4" s="97">
        <f ca="1">TblMili[[#This Row],[Mystic bonus]]*TblMili[[#This Row],[Unit 3]]+TblMili[[#This Row],[Druid bonus]]*TblMili[[#This Row],[Unit 4]]</f>
        <v>0</v>
      </c>
      <c r="CR104" s="158">
        <f ca="1">MIN(6,TblMili[[#This Row],[Dryad]]+Races!$F$35)*1.8 +  IF(TblMili[[#This Row],[Dryad]]+Races!$F$35&gt;6,(TblMili[[#This Row],[Dryad]]+Races!$F$35-6)*0.2,0) - Races!$I$19</f>
        <v>2.1599999999999993</v>
      </c>
      <c r="CS104" s="97">
        <f ca="1">sylvan*(TblMili[[#This Row],[Mystic bonus]]*TblMili[[#This Row],[Unit 3]])</f>
        <v>0</v>
      </c>
      <c r="CT104" s="158">
        <f ca="1">1.8 * MIN(MAX(Races!$E$27,TblMili[[#This Row],[Rockapult]]+Races!$F$27),6)  +  0.45 * MIN(MIN(Races!$E$27,TblMili[[#This Row],[Rockapult]]+Races!$F$27),6)  +  0.2 * ( MAX(Races!$E$27-6,0) + MAX(TblMili[[#This Row],[Rockapult]]+Races!$F$27-6,0) )  -  Races!$I$20</f>
        <v>5.8500000000000005</v>
      </c>
      <c r="CU104" s="97">
        <f ca="1">gnome*(TblMili[[#This Row],[Rockapult bonus]]*TblMili[[#This Row],[Unit 3]])</f>
        <v>0</v>
      </c>
      <c r="CV104" s="158">
        <f ca="1">1.8 * MIN(MAX(TblMili[[#This Row],[Spellblade]]+Races!$E$47,TblMili[[#This Row],[Adept-DP]]+Races!$F$47),6)  +  0.45 * MIN(MIN(TblMili[[#This Row],[Spellblade]]+Races!$E$47,TblMili[[#This Row],[Adept-DP]]+Races!$F$47),6)  +  0.2 * ( MAX(TblMili[[#This Row],[Spellblade]]+Races!$E$47-6,0) + MAX(TblMili[[#This Row],[Adept-DP]]+Races!$F$47-6,0) )  -  Races!$I$47</f>
        <v>0</v>
      </c>
      <c r="CW104" s="97">
        <f ca="1">dark_elf*(TblMili[[#This Row],[Adept bonus]]*TblMili[[#This Row],[Unit 3]])</f>
        <v>0</v>
      </c>
      <c r="CX104" s="158">
        <f ca="1">1.8 * MIN(MAX(TblMili[[#This Row],[Frost Mage]]+Races!$F$71,Races!$E$71),6)  +  0.45 * MIN(MIN(TblMili[[#This Row],[Frost Mage]]+Races!$F$71,Races!$E$71),6)  +  0.2 * ( MAX(TblMili[[#This Row],[Frost Mage]]+Races!$F$71-6,0) + MAX(Races!$E$71-6,0) )  -  Races!$I$71</f>
        <v>3.9599999999999991</v>
      </c>
      <c r="CY104" s="158">
        <f ca="1">1.8 * MIN(MAX(TblMili[[#This Row],[Ice Elemental]]+Races!$E$71,Races!$F$71),6)  +  0.45 * MIN(MIN(TblMili[[#This Row],[Ice Elemental]]+Races!$E$71,Races!$F$71),6)  +  0.2 * ( MAX(TblMili[[#This Row],[Ice Elemental]]+Races!$E$71-6,0) + MAX(Races!$F$71-6,0) )  -  Races!$I$71</f>
        <v>0.17999999999999972</v>
      </c>
      <c r="CZ104" s="97">
        <f ca="1">TblMili[[#This Row],[Frost Mage bonus]]*TblMili[[#This Row],[Unit 3]]+TblMili[[#This Row],[Ice Elemental bonus]]*TblMili[[#This Row],[Unit 4]]</f>
        <v>0</v>
      </c>
      <c r="DA104" s="268"/>
      <c r="DB104" s="146">
        <f ca="1">MIN(SUM(TblConstr[[#This Row],[Plain]:[Water]])/TblMili[[#This Row],[Land]]/favorable_terrain_bonus/100,favorable_terrain_max)</f>
        <v>0.1</v>
      </c>
      <c r="DC104" s="268"/>
      <c r="DD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4" s="145"/>
      <c r="DF104" s="269">
        <f ca="1">(TblMili[[#This Row],[Wizards]]+2*TblMili[[#This Row],[Archmages]])/TblConstr[[#This Row],[Land]]</f>
        <v>0.1</v>
      </c>
      <c r="DG104" s="269">
        <f ca="1">TblMili[[#This Row],[Raw (2)]]*(1+race_wizard_strength+IF(TblMili[[#This Row],[Hour]]&gt;72,tech_magical_weaponry_wiz*TblTech[[#This Row],[3-5]],0))</f>
        <v>0.1</v>
      </c>
    </row>
    <row r="105" spans="1:111"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45462.208333333088</v>
      </c>
      <c r="AG105" s="182"/>
      <c r="AH105" s="182"/>
      <c r="AI105" s="182"/>
      <c r="AJ105" s="182"/>
      <c r="AK105" s="182"/>
      <c r="AL105" s="182"/>
      <c r="AM105" s="182"/>
      <c r="AN105" s="182"/>
      <c r="AO105" s="449">
        <f ca="1">IF(AND(TblMagic[[#This Row],[Active DnD]]&lt;12,TblMagic[[#This Row],[Active DnD]]&gt;5),OFFSET(TblPop[[#This Row],[Draft Growth]],-1,0)/2,0)</f>
        <v>0</v>
      </c>
      <c r="AP105" s="145"/>
      <c r="AQ105" s="97">
        <f ca="1">TblProd[[#This Row],[Platinum]]</f>
        <v>674964</v>
      </c>
      <c r="AR105" s="97">
        <f ca="1">INDEX(TblProd[[#Headers],[Lumber]]:TblProd[[#This Row],[Ore]],COUNTA(TblProd[[#Headers],[Lumber]]:TblProd[[#This Row],[Lumber]]),MATCH(Military!$AQ$2,TblProd[[#Headers],[Lumber]:[Ore]],0))</f>
        <v>0</v>
      </c>
      <c r="AS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7">
        <f ca="1">TblMili[[#This Row],[Train Unit 1]]*TblMili[[#This Row],[OP Ore]]+TblMili[[#This Row],[Train Unit 2]]*TblMili[[#This Row],[DP Ore]]+TblMili[[#This Row],[Train Unit 3]]*TblMili[[#This Row],[E1 Ore]]+TblMili[[#This Row],[Train Unit 4]]*TblMili[[#This Row],[E2 Ore]]</f>
        <v>0</v>
      </c>
      <c r="AU105" s="145">
        <f>TblMili[[#This Row],[Hour]]</f>
        <v>102</v>
      </c>
      <c r="AV105" s="155">
        <f ca="1">TblMili[[#This Row],[Time]]</f>
        <v>45462.208333333088</v>
      </c>
      <c r="AW105" s="97">
        <f ca="1">TblMili[[#This Row],[Draftees]]</f>
        <v>626</v>
      </c>
      <c r="AX105" s="182"/>
      <c r="AY105" s="182"/>
      <c r="AZ105" s="182"/>
      <c r="BA105" s="182"/>
      <c r="BB105" s="182"/>
      <c r="BC105" s="182"/>
      <c r="BD105" s="182"/>
      <c r="BE105" s="182"/>
      <c r="BF105" s="182"/>
      <c r="BG105" s="145"/>
      <c r="BH105" s="160">
        <f ca="1">TblConstr[[#This Row],[Tot WG]]/TblConstr[[#This Row],[Land]]</f>
        <v>0</v>
      </c>
      <c r="BI105" s="160">
        <f ca="1">TblConstr[[#This Row],[Tot Hav]]/TblConstr[[#This Row],[Land]]</f>
        <v>0</v>
      </c>
      <c r="BJ105" s="97">
        <f ca="1">ROUNDUP((1-MIN(TblMili[[#This Row],[Smithies]]*smithy_bonus,smithy_bonus_cap) + tech_3_5*TblTech[[#This Row],[3-5]] + tech_5_3*TblTech[[#This Row],[5-3]] + tech_5_5*TblTech[[#This Row],[5-5]])*spec_op_plat,0)</f>
        <v>275</v>
      </c>
      <c r="BK105" s="97">
        <f ca="1">ROUNDUP(IF(race="Gnome",1,(1-MIN(TblMili[[#This Row],[Smithies]]*smithy_bonus,smithy_bonus_cap) + tech_3_5*TblTech[[#This Row],[3-5]] + tech_5_3*TblTech[[#This Row],[5-3]] + tech_5_5*TblTech[[#This Row],[5-5]]))*spec_op_ore,0)</f>
        <v>25</v>
      </c>
      <c r="BL105" s="97">
        <f ca="1">ROUNDUP((1-MIN(TblMili[[#This Row],[Smithies]]*smithy_bonus,smithy_bonus_cap) + tech_3_5*TblTech[[#This Row],[3-5]] + tech_5_3*TblTech[[#This Row],[5-3]] + tech_5_5*TblTech[[#This Row],[5-5]])*spec_dp_plat,0)</f>
        <v>275</v>
      </c>
      <c r="BM105" s="97">
        <f ca="1">ROUNDUP(IF(race="Gnome",1,(1-MIN(TblMili[[#This Row],[Smithies]]*smithy_bonus,smithy_bonus_cap) + tech_3_5*TblTech[[#This Row],[3-5]] + tech_5_3*TblTech[[#This Row],[5-3]] + tech_5_5*TblTech[[#This Row],[5-5]]))*spec_dp_ore,0)</f>
        <v>15</v>
      </c>
      <c r="BN105" s="97">
        <f ca="1">ROUNDUP((1-MIN(TblMili[[#This Row],[Smithies]]*smithy_bonus,smithy_bonus_cap) + tech_3_5*TblTech[[#This Row],[3-5]] + tech_5_3*TblTech[[#This Row],[5-3]] + tech_5_5*TblTech[[#This Row],[5-5]])*elite1_plat,0)</f>
        <v>1000</v>
      </c>
      <c r="BO105" s="97">
        <f ca="1">ROUNDUP(IF(race="Gnome",1,(1-MIN(TblMili[[#This Row],[Smithies]]*smithy_bonus,smithy_bonus_cap) + tech_3_5*TblTech[[#This Row],[3-5]] + tech_5_3*TblTech[[#This Row],[5-3]] + tech_5_5*TblTech[[#This Row],[5-5]]))*elite1_ore,0)</f>
        <v>75</v>
      </c>
      <c r="BP105" s="97">
        <f ca="1">ROUNDUP((1-MIN(TblMili[[#This Row],[Smithies]]*smithy_bonus,smithy_bonus_cap) + tech_3_5*TblTech[[#This Row],[3-5]] + tech_5_3*TblTech[[#This Row],[5-3]] + tech_5_5*TblTech[[#This Row],[5-5]])*elite2_plat,0)</f>
        <v>1250</v>
      </c>
      <c r="BQ105" s="97">
        <f ca="1">ROUNDUP(IF(race="Gnome",1,(1-MIN(TblMili[[#This Row],[Smithies]]*smithy_bonus,smithy_bonus_cap) + tech_3_5*TblTech[[#This Row],[3-5]] + tech_5_3*TblTech[[#This Row],[5-3]] + tech_5_5*TblTech[[#This Row],[5-5]]))*elite2_ore,0)</f>
        <v>100</v>
      </c>
      <c r="BR105" s="97">
        <f ca="1">ROUNDUP((1-MIN(ROUND(fh_spy_cost_red*TblMili[[#This Row],[FH''s]],4),fh_spy_cost_cap)+ tech_1_9*TblTech[[#This Row],[1-9]] + tech_9_1*TblTech[[#This Row],[9-1]])*spy_plat,0)</f>
        <v>500</v>
      </c>
      <c r="BS105" s="97">
        <f ca="1">ROUNDUP((1-MIN(ROUND(fh_spy_cost_red*TblMili[[#This Row],[FH''s]],4),fh_spy_cost_cap)+ tech_1_9*TblTech[[#This Row],[1-9]] + tech_9_1*TblTech[[#This Row],[9-1]])*archspy_plat,0)</f>
        <v>1000</v>
      </c>
      <c r="BT105" s="97">
        <f ca="1">ROUNDUP((1-MIN(ROUND(wg_wiz_cost_bonus*TblMili[[#This Row],[WG''s]],4),wg_wiz_cost_cap) + tech_1_9_2*TblTech[[#This Row],[1-9]] + tech_9_1_2*TblTech[[#This Row],[9-1]])*wizard_plat,0)</f>
        <v>500</v>
      </c>
      <c r="BU105" s="97">
        <f ca="1">ROUNDUP((1-MIN(ROUND(wg_wiz_cost_bonus*TblMili[[#This Row],[WG''s]],4),wg_wiz_cost_cap) + tech_1_9_2*TblTech[[#This Row],[1-9]] + tech_9_1_2*TblTech[[#This Row],[9-1]])*archmage_plat,0)</f>
        <v>1000</v>
      </c>
      <c r="BV105" s="145"/>
      <c r="BW105" s="160">
        <f ca="1">TblConstr[[#This Row],[Homeland]]/TblConstr[[#This Row],[Land]]</f>
        <v>0.44</v>
      </c>
      <c r="BX105" s="160">
        <f ca="1">TblMili[[#This Row],[WG''s]]</f>
        <v>0</v>
      </c>
      <c r="BY105" s="266">
        <f ca="1">IF(mystic_cap="none",TblMili[[#This Row],[Hill]]/mystic_bonus,MIN(mystic_cap,TblMili[[#This Row],[Hill]]/mystic_bonus))</f>
        <v>2.1999999999999997</v>
      </c>
      <c r="BZ105" s="266">
        <f ca="1">IF(druid_op_cap="none",TblMili[[#This Row],[Hill]]/druid_op_bonus,MIN(druid_op_cap,TblMili[[#This Row],[Hill]]/druid_op_bonus))</f>
        <v>2.1999999999999997</v>
      </c>
      <c r="CA105" s="266">
        <f ca="1">IF(druid_dp_cap="none",TblMili[[#This Row],[Hill]]/druid_dp_bonus,MIN(druid_dp_cap,TblMili[[#This Row],[Hill]]/druid_dp_bonus))</f>
        <v>2.1999999999999997</v>
      </c>
      <c r="CB105" s="266">
        <f ca="1">MIN(dryad_cap,TblMili[[#This Row],[Hill]]/dryad_bonus)</f>
        <v>2.1999999999999997</v>
      </c>
      <c r="CC105" s="266">
        <f ca="1">MIN(rocka_cap,TblMili[[#This Row],[Hill]]/rocka_bonus)</f>
        <v>2</v>
      </c>
      <c r="CD105" s="266">
        <f ca="1">MIN(adept_op_cap,TblMili[[#This Row],[WG]]/adept_op_bonus)</f>
        <v>0</v>
      </c>
      <c r="CE105" s="266">
        <f ca="1">MIN(adept_dp_cap,TblMili[[#This Row],[WG]]/adept_dp_bonus)</f>
        <v>0</v>
      </c>
      <c r="CF105" s="97">
        <f ca="1">MIN(TblMili[[#This Row],[Unit 3]],TblMili[[#This Row],[Unit 2]])*2</f>
        <v>0</v>
      </c>
      <c r="CG105" s="97">
        <f ca="1">MIN(TblMili[[#This Row],[Unit 1]],TblMili[[#This Row],[Unit 4]])*2</f>
        <v>0</v>
      </c>
      <c r="CH105" s="266">
        <f ca="1">MIN(frost_mage_cap,TblMili[[#This Row],[Hill]]/frost_mage_bonus)</f>
        <v>2.1999999999999997</v>
      </c>
      <c r="CI105" s="45">
        <f ca="1">MIN(ice_elem_cap,TblMili[[#This Row],[Raw (2)]]*ice_elem_bonus)</f>
        <v>0.1</v>
      </c>
      <c r="CJ105" s="266">
        <f t="shared" si="4"/>
        <v>0.83333333333333337</v>
      </c>
      <c r="CK105" s="266">
        <f ca="1">MIN(nox_nightshade_cap,TblConstr[[#This Row],[Homeland]]/TblConstr[[#This Row],[Land]]/nox_nightshade_swamp_bonus)</f>
        <v>4</v>
      </c>
      <c r="CL105" s="267"/>
      <c r="CM105" s="267"/>
      <c r="CN105" s="267"/>
      <c r="CO105" s="266">
        <f ca="1">MIN(6,TblMili[[#This Row],[Mystic]]+Races!$F$19)*1.8 +  IF(TblMili[[#This Row],[Mystic]]+Races!$F$19&gt;6,(TblMili[[#This Row],[Mystic]]+Races!$F$19-6)*0.2,0) - Races!$I$19</f>
        <v>3.6399999999999997</v>
      </c>
      <c r="CP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5" s="97">
        <f ca="1">TblMili[[#This Row],[Mystic bonus]]*TblMili[[#This Row],[Unit 3]]+TblMili[[#This Row],[Druid bonus]]*TblMili[[#This Row],[Unit 4]]</f>
        <v>0</v>
      </c>
      <c r="CR105" s="158">
        <f ca="1">MIN(6,TblMili[[#This Row],[Dryad]]+Races!$F$35)*1.8 +  IF(TblMili[[#This Row],[Dryad]]+Races!$F$35&gt;6,(TblMili[[#This Row],[Dryad]]+Races!$F$35-6)*0.2,0) - Races!$I$19</f>
        <v>2.1599999999999993</v>
      </c>
      <c r="CS105" s="97">
        <f ca="1">sylvan*(TblMili[[#This Row],[Mystic bonus]]*TblMili[[#This Row],[Unit 3]])</f>
        <v>0</v>
      </c>
      <c r="CT105" s="158">
        <f ca="1">1.8 * MIN(MAX(Races!$E$27,TblMili[[#This Row],[Rockapult]]+Races!$F$27),6)  +  0.45 * MIN(MIN(Races!$E$27,TblMili[[#This Row],[Rockapult]]+Races!$F$27),6)  +  0.2 * ( MAX(Races!$E$27-6,0) + MAX(TblMili[[#This Row],[Rockapult]]+Races!$F$27-6,0) )  -  Races!$I$20</f>
        <v>5.8500000000000005</v>
      </c>
      <c r="CU105" s="97">
        <f ca="1">gnome*(TblMili[[#This Row],[Rockapult bonus]]*TblMili[[#This Row],[Unit 3]])</f>
        <v>0</v>
      </c>
      <c r="CV105" s="158">
        <f ca="1">1.8 * MIN(MAX(TblMili[[#This Row],[Spellblade]]+Races!$E$47,TblMili[[#This Row],[Adept-DP]]+Races!$F$47),6)  +  0.45 * MIN(MIN(TblMili[[#This Row],[Spellblade]]+Races!$E$47,TblMili[[#This Row],[Adept-DP]]+Races!$F$47),6)  +  0.2 * ( MAX(TblMili[[#This Row],[Spellblade]]+Races!$E$47-6,0) + MAX(TblMili[[#This Row],[Adept-DP]]+Races!$F$47-6,0) )  -  Races!$I$47</f>
        <v>0</v>
      </c>
      <c r="CW105" s="97">
        <f ca="1">dark_elf*(TblMili[[#This Row],[Adept bonus]]*TblMili[[#This Row],[Unit 3]])</f>
        <v>0</v>
      </c>
      <c r="CX105" s="158">
        <f ca="1">1.8 * MIN(MAX(TblMili[[#This Row],[Frost Mage]]+Races!$F$71,Races!$E$71),6)  +  0.45 * MIN(MIN(TblMili[[#This Row],[Frost Mage]]+Races!$F$71,Races!$E$71),6)  +  0.2 * ( MAX(TblMili[[#This Row],[Frost Mage]]+Races!$F$71-6,0) + MAX(Races!$E$71-6,0) )  -  Races!$I$71</f>
        <v>3.9599999999999991</v>
      </c>
      <c r="CY105" s="158">
        <f ca="1">1.8 * MIN(MAX(TblMili[[#This Row],[Ice Elemental]]+Races!$E$71,Races!$F$71),6)  +  0.45 * MIN(MIN(TblMili[[#This Row],[Ice Elemental]]+Races!$E$71,Races!$F$71),6)  +  0.2 * ( MAX(TblMili[[#This Row],[Ice Elemental]]+Races!$E$71-6,0) + MAX(Races!$F$71-6,0) )  -  Races!$I$71</f>
        <v>0.17999999999999972</v>
      </c>
      <c r="CZ105" s="97">
        <f ca="1">TblMili[[#This Row],[Frost Mage bonus]]*TblMili[[#This Row],[Unit 3]]+TblMili[[#This Row],[Ice Elemental bonus]]*TblMili[[#This Row],[Unit 4]]</f>
        <v>0</v>
      </c>
      <c r="DA105" s="268"/>
      <c r="DB105" s="146">
        <f ca="1">MIN(SUM(TblConstr[[#This Row],[Plain]:[Water]])/TblMili[[#This Row],[Land]]/favorable_terrain_bonus/100,favorable_terrain_max)</f>
        <v>0.1</v>
      </c>
      <c r="DC105" s="268"/>
      <c r="DD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5" s="145"/>
      <c r="DF105" s="269">
        <f ca="1">(TblMili[[#This Row],[Wizards]]+2*TblMili[[#This Row],[Archmages]])/TblConstr[[#This Row],[Land]]</f>
        <v>0.1</v>
      </c>
      <c r="DG105" s="269">
        <f ca="1">TblMili[[#This Row],[Raw (2)]]*(1+race_wizard_strength+IF(TblMili[[#This Row],[Hour]]&gt;72,tech_magical_weaponry_wiz*TblTech[[#This Row],[3-5]],0))</f>
        <v>0.1</v>
      </c>
    </row>
    <row r="106" spans="1:111"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45462.249999999753</v>
      </c>
      <c r="AG106" s="182"/>
      <c r="AH106" s="182"/>
      <c r="AI106" s="182"/>
      <c r="AJ106" s="182"/>
      <c r="AK106" s="182"/>
      <c r="AL106" s="182"/>
      <c r="AM106" s="182"/>
      <c r="AN106" s="182"/>
      <c r="AO106" s="449">
        <f ca="1">IF(AND(TblMagic[[#This Row],[Active DnD]]&lt;12,TblMagic[[#This Row],[Active DnD]]&gt;5),OFFSET(TblPop[[#This Row],[Draft Growth]],-1,0)/2,0)</f>
        <v>0</v>
      </c>
      <c r="AP106" s="145"/>
      <c r="AQ106" s="97">
        <f ca="1">TblProd[[#This Row],[Platinum]]</f>
        <v>680450</v>
      </c>
      <c r="AR106" s="97">
        <f ca="1">INDEX(TblProd[[#Headers],[Lumber]]:TblProd[[#This Row],[Ore]],COUNTA(TblProd[[#Headers],[Lumber]]:TblProd[[#This Row],[Lumber]]),MATCH(Military!$AQ$2,TblProd[[#Headers],[Lumber]:[Ore]],0))</f>
        <v>0</v>
      </c>
      <c r="AS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7">
        <f ca="1">TblMili[[#This Row],[Train Unit 1]]*TblMili[[#This Row],[OP Ore]]+TblMili[[#This Row],[Train Unit 2]]*TblMili[[#This Row],[DP Ore]]+TblMili[[#This Row],[Train Unit 3]]*TblMili[[#This Row],[E1 Ore]]+TblMili[[#This Row],[Train Unit 4]]*TblMili[[#This Row],[E2 Ore]]</f>
        <v>0</v>
      </c>
      <c r="AU106" s="145">
        <f>TblMili[[#This Row],[Hour]]</f>
        <v>103</v>
      </c>
      <c r="AV106" s="155">
        <f ca="1">TblMili[[#This Row],[Time]]</f>
        <v>45462.249999999753</v>
      </c>
      <c r="AW106" s="97">
        <f ca="1">TblMili[[#This Row],[Draftees]]</f>
        <v>626</v>
      </c>
      <c r="AX106" s="182"/>
      <c r="AY106" s="182"/>
      <c r="AZ106" s="182"/>
      <c r="BA106" s="182"/>
      <c r="BB106" s="182"/>
      <c r="BC106" s="182"/>
      <c r="BD106" s="182"/>
      <c r="BE106" s="182"/>
      <c r="BF106" s="182"/>
      <c r="BG106" s="145"/>
      <c r="BH106" s="160">
        <f ca="1">TblConstr[[#This Row],[Tot WG]]/TblConstr[[#This Row],[Land]]</f>
        <v>0</v>
      </c>
      <c r="BI106" s="160">
        <f ca="1">TblConstr[[#This Row],[Tot Hav]]/TblConstr[[#This Row],[Land]]</f>
        <v>0</v>
      </c>
      <c r="BJ106" s="97">
        <f ca="1">ROUNDUP((1-MIN(TblMili[[#This Row],[Smithies]]*smithy_bonus,smithy_bonus_cap) + tech_3_5*TblTech[[#This Row],[3-5]] + tech_5_3*TblTech[[#This Row],[5-3]] + tech_5_5*TblTech[[#This Row],[5-5]])*spec_op_plat,0)</f>
        <v>275</v>
      </c>
      <c r="BK106" s="97">
        <f ca="1">ROUNDUP(IF(race="Gnome",1,(1-MIN(TblMili[[#This Row],[Smithies]]*smithy_bonus,smithy_bonus_cap) + tech_3_5*TblTech[[#This Row],[3-5]] + tech_5_3*TblTech[[#This Row],[5-3]] + tech_5_5*TblTech[[#This Row],[5-5]]))*spec_op_ore,0)</f>
        <v>25</v>
      </c>
      <c r="BL106" s="97">
        <f ca="1">ROUNDUP((1-MIN(TblMili[[#This Row],[Smithies]]*smithy_bonus,smithy_bonus_cap) + tech_3_5*TblTech[[#This Row],[3-5]] + tech_5_3*TblTech[[#This Row],[5-3]] + tech_5_5*TblTech[[#This Row],[5-5]])*spec_dp_plat,0)</f>
        <v>275</v>
      </c>
      <c r="BM106" s="97">
        <f ca="1">ROUNDUP(IF(race="Gnome",1,(1-MIN(TblMili[[#This Row],[Smithies]]*smithy_bonus,smithy_bonus_cap) + tech_3_5*TblTech[[#This Row],[3-5]] + tech_5_3*TblTech[[#This Row],[5-3]] + tech_5_5*TblTech[[#This Row],[5-5]]))*spec_dp_ore,0)</f>
        <v>15</v>
      </c>
      <c r="BN106" s="97">
        <f ca="1">ROUNDUP((1-MIN(TblMili[[#This Row],[Smithies]]*smithy_bonus,smithy_bonus_cap) + tech_3_5*TblTech[[#This Row],[3-5]] + tech_5_3*TblTech[[#This Row],[5-3]] + tech_5_5*TblTech[[#This Row],[5-5]])*elite1_plat,0)</f>
        <v>1000</v>
      </c>
      <c r="BO106" s="97">
        <f ca="1">ROUNDUP(IF(race="Gnome",1,(1-MIN(TblMili[[#This Row],[Smithies]]*smithy_bonus,smithy_bonus_cap) + tech_3_5*TblTech[[#This Row],[3-5]] + tech_5_3*TblTech[[#This Row],[5-3]] + tech_5_5*TblTech[[#This Row],[5-5]]))*elite1_ore,0)</f>
        <v>75</v>
      </c>
      <c r="BP106" s="97">
        <f ca="1">ROUNDUP((1-MIN(TblMili[[#This Row],[Smithies]]*smithy_bonus,smithy_bonus_cap) + tech_3_5*TblTech[[#This Row],[3-5]] + tech_5_3*TblTech[[#This Row],[5-3]] + tech_5_5*TblTech[[#This Row],[5-5]])*elite2_plat,0)</f>
        <v>1250</v>
      </c>
      <c r="BQ106" s="97">
        <f ca="1">ROUNDUP(IF(race="Gnome",1,(1-MIN(TblMili[[#This Row],[Smithies]]*smithy_bonus,smithy_bonus_cap) + tech_3_5*TblTech[[#This Row],[3-5]] + tech_5_3*TblTech[[#This Row],[5-3]] + tech_5_5*TblTech[[#This Row],[5-5]]))*elite2_ore,0)</f>
        <v>100</v>
      </c>
      <c r="BR106" s="97">
        <f ca="1">ROUNDUP((1-MIN(ROUND(fh_spy_cost_red*TblMili[[#This Row],[FH''s]],4),fh_spy_cost_cap)+ tech_1_9*TblTech[[#This Row],[1-9]] + tech_9_1*TblTech[[#This Row],[9-1]])*spy_plat,0)</f>
        <v>500</v>
      </c>
      <c r="BS106" s="97">
        <f ca="1">ROUNDUP((1-MIN(ROUND(fh_spy_cost_red*TblMili[[#This Row],[FH''s]],4),fh_spy_cost_cap)+ tech_1_9*TblTech[[#This Row],[1-9]] + tech_9_1*TblTech[[#This Row],[9-1]])*archspy_plat,0)</f>
        <v>1000</v>
      </c>
      <c r="BT106" s="97">
        <f ca="1">ROUNDUP((1-MIN(ROUND(wg_wiz_cost_bonus*TblMili[[#This Row],[WG''s]],4),wg_wiz_cost_cap) + tech_1_9_2*TblTech[[#This Row],[1-9]] + tech_9_1_2*TblTech[[#This Row],[9-1]])*wizard_plat,0)</f>
        <v>500</v>
      </c>
      <c r="BU106" s="97">
        <f ca="1">ROUNDUP((1-MIN(ROUND(wg_wiz_cost_bonus*TblMili[[#This Row],[WG''s]],4),wg_wiz_cost_cap) + tech_1_9_2*TblTech[[#This Row],[1-9]] + tech_9_1_2*TblTech[[#This Row],[9-1]])*archmage_plat,0)</f>
        <v>1000</v>
      </c>
      <c r="BV106" s="145"/>
      <c r="BW106" s="160">
        <f ca="1">TblConstr[[#This Row],[Homeland]]/TblConstr[[#This Row],[Land]]</f>
        <v>0.44</v>
      </c>
      <c r="BX106" s="160">
        <f ca="1">TblMili[[#This Row],[WG''s]]</f>
        <v>0</v>
      </c>
      <c r="BY106" s="266">
        <f ca="1">IF(mystic_cap="none",TblMili[[#This Row],[Hill]]/mystic_bonus,MIN(mystic_cap,TblMili[[#This Row],[Hill]]/mystic_bonus))</f>
        <v>2.1999999999999997</v>
      </c>
      <c r="BZ106" s="266">
        <f ca="1">IF(druid_op_cap="none",TblMili[[#This Row],[Hill]]/druid_op_bonus,MIN(druid_op_cap,TblMili[[#This Row],[Hill]]/druid_op_bonus))</f>
        <v>2.1999999999999997</v>
      </c>
      <c r="CA106" s="266">
        <f ca="1">IF(druid_dp_cap="none",TblMili[[#This Row],[Hill]]/druid_dp_bonus,MIN(druid_dp_cap,TblMili[[#This Row],[Hill]]/druid_dp_bonus))</f>
        <v>2.1999999999999997</v>
      </c>
      <c r="CB106" s="266">
        <f ca="1">MIN(dryad_cap,TblMili[[#This Row],[Hill]]/dryad_bonus)</f>
        <v>2.1999999999999997</v>
      </c>
      <c r="CC106" s="266">
        <f ca="1">MIN(rocka_cap,TblMili[[#This Row],[Hill]]/rocka_bonus)</f>
        <v>2</v>
      </c>
      <c r="CD106" s="266">
        <f ca="1">MIN(adept_op_cap,TblMili[[#This Row],[WG]]/adept_op_bonus)</f>
        <v>0</v>
      </c>
      <c r="CE106" s="266">
        <f ca="1">MIN(adept_dp_cap,TblMili[[#This Row],[WG]]/adept_dp_bonus)</f>
        <v>0</v>
      </c>
      <c r="CF106" s="97">
        <f ca="1">MIN(TblMili[[#This Row],[Unit 3]],TblMili[[#This Row],[Unit 2]])*2</f>
        <v>0</v>
      </c>
      <c r="CG106" s="97">
        <f ca="1">MIN(TblMili[[#This Row],[Unit 1]],TblMili[[#This Row],[Unit 4]])*2</f>
        <v>0</v>
      </c>
      <c r="CH106" s="266">
        <f ca="1">MIN(frost_mage_cap,TblMili[[#This Row],[Hill]]/frost_mage_bonus)</f>
        <v>2.1999999999999997</v>
      </c>
      <c r="CI106" s="45">
        <f ca="1">MIN(ice_elem_cap,TblMili[[#This Row],[Raw (2)]]*ice_elem_bonus)</f>
        <v>0.1</v>
      </c>
      <c r="CJ106" s="266">
        <f t="shared" si="4"/>
        <v>0.83333333333333337</v>
      </c>
      <c r="CK106" s="266">
        <f ca="1">MIN(nox_nightshade_cap,TblConstr[[#This Row],[Homeland]]/TblConstr[[#This Row],[Land]]/nox_nightshade_swamp_bonus)</f>
        <v>4</v>
      </c>
      <c r="CL106" s="267"/>
      <c r="CM106" s="267"/>
      <c r="CN106" s="267"/>
      <c r="CO106" s="266">
        <f ca="1">MIN(6,TblMili[[#This Row],[Mystic]]+Races!$F$19)*1.8 +  IF(TblMili[[#This Row],[Mystic]]+Races!$F$19&gt;6,(TblMili[[#This Row],[Mystic]]+Races!$F$19-6)*0.2,0) - Races!$I$19</f>
        <v>3.6399999999999997</v>
      </c>
      <c r="CP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6" s="97">
        <f ca="1">TblMili[[#This Row],[Mystic bonus]]*TblMili[[#This Row],[Unit 3]]+TblMili[[#This Row],[Druid bonus]]*TblMili[[#This Row],[Unit 4]]</f>
        <v>0</v>
      </c>
      <c r="CR106" s="158">
        <f ca="1">MIN(6,TblMili[[#This Row],[Dryad]]+Races!$F$35)*1.8 +  IF(TblMili[[#This Row],[Dryad]]+Races!$F$35&gt;6,(TblMili[[#This Row],[Dryad]]+Races!$F$35-6)*0.2,0) - Races!$I$19</f>
        <v>2.1599999999999993</v>
      </c>
      <c r="CS106" s="97">
        <f ca="1">sylvan*(TblMili[[#This Row],[Mystic bonus]]*TblMili[[#This Row],[Unit 3]])</f>
        <v>0</v>
      </c>
      <c r="CT106" s="158">
        <f ca="1">1.8 * MIN(MAX(Races!$E$27,TblMili[[#This Row],[Rockapult]]+Races!$F$27),6)  +  0.45 * MIN(MIN(Races!$E$27,TblMili[[#This Row],[Rockapult]]+Races!$F$27),6)  +  0.2 * ( MAX(Races!$E$27-6,0) + MAX(TblMili[[#This Row],[Rockapult]]+Races!$F$27-6,0) )  -  Races!$I$20</f>
        <v>5.8500000000000005</v>
      </c>
      <c r="CU106" s="97">
        <f ca="1">gnome*(TblMili[[#This Row],[Rockapult bonus]]*TblMili[[#This Row],[Unit 3]])</f>
        <v>0</v>
      </c>
      <c r="CV106" s="158">
        <f ca="1">1.8 * MIN(MAX(TblMili[[#This Row],[Spellblade]]+Races!$E$47,TblMili[[#This Row],[Adept-DP]]+Races!$F$47),6)  +  0.45 * MIN(MIN(TblMili[[#This Row],[Spellblade]]+Races!$E$47,TblMili[[#This Row],[Adept-DP]]+Races!$F$47),6)  +  0.2 * ( MAX(TblMili[[#This Row],[Spellblade]]+Races!$E$47-6,0) + MAX(TblMili[[#This Row],[Adept-DP]]+Races!$F$47-6,0) )  -  Races!$I$47</f>
        <v>0</v>
      </c>
      <c r="CW106" s="97">
        <f ca="1">dark_elf*(TblMili[[#This Row],[Adept bonus]]*TblMili[[#This Row],[Unit 3]])</f>
        <v>0</v>
      </c>
      <c r="CX106" s="158">
        <f ca="1">1.8 * MIN(MAX(TblMili[[#This Row],[Frost Mage]]+Races!$F$71,Races!$E$71),6)  +  0.45 * MIN(MIN(TblMili[[#This Row],[Frost Mage]]+Races!$F$71,Races!$E$71),6)  +  0.2 * ( MAX(TblMili[[#This Row],[Frost Mage]]+Races!$F$71-6,0) + MAX(Races!$E$71-6,0) )  -  Races!$I$71</f>
        <v>3.9599999999999991</v>
      </c>
      <c r="CY106" s="158">
        <f ca="1">1.8 * MIN(MAX(TblMili[[#This Row],[Ice Elemental]]+Races!$E$71,Races!$F$71),6)  +  0.45 * MIN(MIN(TblMili[[#This Row],[Ice Elemental]]+Races!$E$71,Races!$F$71),6)  +  0.2 * ( MAX(TblMili[[#This Row],[Ice Elemental]]+Races!$E$71-6,0) + MAX(Races!$F$71-6,0) )  -  Races!$I$71</f>
        <v>0.17999999999999972</v>
      </c>
      <c r="CZ106" s="97">
        <f ca="1">TblMili[[#This Row],[Frost Mage bonus]]*TblMili[[#This Row],[Unit 3]]+TblMili[[#This Row],[Ice Elemental bonus]]*TblMili[[#This Row],[Unit 4]]</f>
        <v>0</v>
      </c>
      <c r="DA106" s="268"/>
      <c r="DB106" s="146">
        <f ca="1">MIN(SUM(TblConstr[[#This Row],[Plain]:[Water]])/TblMili[[#This Row],[Land]]/favorable_terrain_bonus/100,favorable_terrain_max)</f>
        <v>0.1</v>
      </c>
      <c r="DC106" s="268"/>
      <c r="DD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6" s="145"/>
      <c r="DF106" s="269">
        <f ca="1">(TblMili[[#This Row],[Wizards]]+2*TblMili[[#This Row],[Archmages]])/TblConstr[[#This Row],[Land]]</f>
        <v>0.1</v>
      </c>
      <c r="DG106" s="269">
        <f ca="1">TblMili[[#This Row],[Raw (2)]]*(1+race_wizard_strength+IF(TblMili[[#This Row],[Hour]]&gt;72,tech_magical_weaponry_wiz*TblTech[[#This Row],[3-5]],0))</f>
        <v>0.1</v>
      </c>
    </row>
    <row r="107" spans="1:111"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45462.291666666417</v>
      </c>
      <c r="AG107" s="182"/>
      <c r="AH107" s="182"/>
      <c r="AI107" s="182"/>
      <c r="AJ107" s="182"/>
      <c r="AK107" s="182"/>
      <c r="AL107" s="182"/>
      <c r="AM107" s="182"/>
      <c r="AN107" s="182"/>
      <c r="AO107" s="449">
        <f ca="1">IF(AND(TblMagic[[#This Row],[Active DnD]]&lt;12,TblMagic[[#This Row],[Active DnD]]&gt;5),OFFSET(TblPop[[#This Row],[Draft Growth]],-1,0)/2,0)</f>
        <v>0</v>
      </c>
      <c r="AP107" s="145"/>
      <c r="AQ107" s="97">
        <f ca="1">TblProd[[#This Row],[Platinum]]</f>
        <v>685936</v>
      </c>
      <c r="AR107" s="97">
        <f ca="1">INDEX(TblProd[[#Headers],[Lumber]]:TblProd[[#This Row],[Ore]],COUNTA(TblProd[[#Headers],[Lumber]]:TblProd[[#This Row],[Lumber]]),MATCH(Military!$AQ$2,TblProd[[#Headers],[Lumber]:[Ore]],0))</f>
        <v>0</v>
      </c>
      <c r="AS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7">
        <f ca="1">TblMili[[#This Row],[Train Unit 1]]*TblMili[[#This Row],[OP Ore]]+TblMili[[#This Row],[Train Unit 2]]*TblMili[[#This Row],[DP Ore]]+TblMili[[#This Row],[Train Unit 3]]*TblMili[[#This Row],[E1 Ore]]+TblMili[[#This Row],[Train Unit 4]]*TblMili[[#This Row],[E2 Ore]]</f>
        <v>0</v>
      </c>
      <c r="AU107" s="145">
        <f>TblMili[[#This Row],[Hour]]</f>
        <v>104</v>
      </c>
      <c r="AV107" s="155">
        <f ca="1">TblMili[[#This Row],[Time]]</f>
        <v>45462.291666666417</v>
      </c>
      <c r="AW107" s="97">
        <f ca="1">TblMili[[#This Row],[Draftees]]</f>
        <v>626</v>
      </c>
      <c r="AX107" s="182"/>
      <c r="AY107" s="182"/>
      <c r="AZ107" s="182"/>
      <c r="BA107" s="182"/>
      <c r="BB107" s="182"/>
      <c r="BC107" s="182"/>
      <c r="BD107" s="182"/>
      <c r="BE107" s="182"/>
      <c r="BF107" s="182"/>
      <c r="BG107" s="145"/>
      <c r="BH107" s="160">
        <f ca="1">TblConstr[[#This Row],[Tot WG]]/TblConstr[[#This Row],[Land]]</f>
        <v>0</v>
      </c>
      <c r="BI107" s="160">
        <f ca="1">TblConstr[[#This Row],[Tot Hav]]/TblConstr[[#This Row],[Land]]</f>
        <v>0</v>
      </c>
      <c r="BJ107" s="97">
        <f ca="1">ROUNDUP((1-MIN(TblMili[[#This Row],[Smithies]]*smithy_bonus,smithy_bonus_cap) + tech_3_5*TblTech[[#This Row],[3-5]] + tech_5_3*TblTech[[#This Row],[5-3]] + tech_5_5*TblTech[[#This Row],[5-5]])*spec_op_plat,0)</f>
        <v>275</v>
      </c>
      <c r="BK107" s="97">
        <f ca="1">ROUNDUP(IF(race="Gnome",1,(1-MIN(TblMili[[#This Row],[Smithies]]*smithy_bonus,smithy_bonus_cap) + tech_3_5*TblTech[[#This Row],[3-5]] + tech_5_3*TblTech[[#This Row],[5-3]] + tech_5_5*TblTech[[#This Row],[5-5]]))*spec_op_ore,0)</f>
        <v>25</v>
      </c>
      <c r="BL107" s="97">
        <f ca="1">ROUNDUP((1-MIN(TblMili[[#This Row],[Smithies]]*smithy_bonus,smithy_bonus_cap) + tech_3_5*TblTech[[#This Row],[3-5]] + tech_5_3*TblTech[[#This Row],[5-3]] + tech_5_5*TblTech[[#This Row],[5-5]])*spec_dp_plat,0)</f>
        <v>275</v>
      </c>
      <c r="BM107" s="97">
        <f ca="1">ROUNDUP(IF(race="Gnome",1,(1-MIN(TblMili[[#This Row],[Smithies]]*smithy_bonus,smithy_bonus_cap) + tech_3_5*TblTech[[#This Row],[3-5]] + tech_5_3*TblTech[[#This Row],[5-3]] + tech_5_5*TblTech[[#This Row],[5-5]]))*spec_dp_ore,0)</f>
        <v>15</v>
      </c>
      <c r="BN107" s="97">
        <f ca="1">ROUNDUP((1-MIN(TblMili[[#This Row],[Smithies]]*smithy_bonus,smithy_bonus_cap) + tech_3_5*TblTech[[#This Row],[3-5]] + tech_5_3*TblTech[[#This Row],[5-3]] + tech_5_5*TblTech[[#This Row],[5-5]])*elite1_plat,0)</f>
        <v>1000</v>
      </c>
      <c r="BO107" s="97">
        <f ca="1">ROUNDUP(IF(race="Gnome",1,(1-MIN(TblMili[[#This Row],[Smithies]]*smithy_bonus,smithy_bonus_cap) + tech_3_5*TblTech[[#This Row],[3-5]] + tech_5_3*TblTech[[#This Row],[5-3]] + tech_5_5*TblTech[[#This Row],[5-5]]))*elite1_ore,0)</f>
        <v>75</v>
      </c>
      <c r="BP107" s="97">
        <f ca="1">ROUNDUP((1-MIN(TblMili[[#This Row],[Smithies]]*smithy_bonus,smithy_bonus_cap) + tech_3_5*TblTech[[#This Row],[3-5]] + tech_5_3*TblTech[[#This Row],[5-3]] + tech_5_5*TblTech[[#This Row],[5-5]])*elite2_plat,0)</f>
        <v>1250</v>
      </c>
      <c r="BQ107" s="97">
        <f ca="1">ROUNDUP(IF(race="Gnome",1,(1-MIN(TblMili[[#This Row],[Smithies]]*smithy_bonus,smithy_bonus_cap) + tech_3_5*TblTech[[#This Row],[3-5]] + tech_5_3*TblTech[[#This Row],[5-3]] + tech_5_5*TblTech[[#This Row],[5-5]]))*elite2_ore,0)</f>
        <v>100</v>
      </c>
      <c r="BR107" s="97">
        <f ca="1">ROUNDUP((1-MIN(ROUND(fh_spy_cost_red*TblMili[[#This Row],[FH''s]],4),fh_spy_cost_cap)+ tech_1_9*TblTech[[#This Row],[1-9]] + tech_9_1*TblTech[[#This Row],[9-1]])*spy_plat,0)</f>
        <v>500</v>
      </c>
      <c r="BS107" s="97">
        <f ca="1">ROUNDUP((1-MIN(ROUND(fh_spy_cost_red*TblMili[[#This Row],[FH''s]],4),fh_spy_cost_cap)+ tech_1_9*TblTech[[#This Row],[1-9]] + tech_9_1*TblTech[[#This Row],[9-1]])*archspy_plat,0)</f>
        <v>1000</v>
      </c>
      <c r="BT107" s="97">
        <f ca="1">ROUNDUP((1-MIN(ROUND(wg_wiz_cost_bonus*TblMili[[#This Row],[WG''s]],4),wg_wiz_cost_cap) + tech_1_9_2*TblTech[[#This Row],[1-9]] + tech_9_1_2*TblTech[[#This Row],[9-1]])*wizard_plat,0)</f>
        <v>500</v>
      </c>
      <c r="BU107" s="97">
        <f ca="1">ROUNDUP((1-MIN(ROUND(wg_wiz_cost_bonus*TblMili[[#This Row],[WG''s]],4),wg_wiz_cost_cap) + tech_1_9_2*TblTech[[#This Row],[1-9]] + tech_9_1_2*TblTech[[#This Row],[9-1]])*archmage_plat,0)</f>
        <v>1000</v>
      </c>
      <c r="BV107" s="145"/>
      <c r="BW107" s="160">
        <f ca="1">TblConstr[[#This Row],[Homeland]]/TblConstr[[#This Row],[Land]]</f>
        <v>0.44</v>
      </c>
      <c r="BX107" s="160">
        <f ca="1">TblMili[[#This Row],[WG''s]]</f>
        <v>0</v>
      </c>
      <c r="BY107" s="266">
        <f ca="1">IF(mystic_cap="none",TblMili[[#This Row],[Hill]]/mystic_bonus,MIN(mystic_cap,TblMili[[#This Row],[Hill]]/mystic_bonus))</f>
        <v>2.1999999999999997</v>
      </c>
      <c r="BZ107" s="266">
        <f ca="1">IF(druid_op_cap="none",TblMili[[#This Row],[Hill]]/druid_op_bonus,MIN(druid_op_cap,TblMili[[#This Row],[Hill]]/druid_op_bonus))</f>
        <v>2.1999999999999997</v>
      </c>
      <c r="CA107" s="266">
        <f ca="1">IF(druid_dp_cap="none",TblMili[[#This Row],[Hill]]/druid_dp_bonus,MIN(druid_dp_cap,TblMili[[#This Row],[Hill]]/druid_dp_bonus))</f>
        <v>2.1999999999999997</v>
      </c>
      <c r="CB107" s="266">
        <f ca="1">MIN(dryad_cap,TblMili[[#This Row],[Hill]]/dryad_bonus)</f>
        <v>2.1999999999999997</v>
      </c>
      <c r="CC107" s="266">
        <f ca="1">MIN(rocka_cap,TblMili[[#This Row],[Hill]]/rocka_bonus)</f>
        <v>2</v>
      </c>
      <c r="CD107" s="266">
        <f ca="1">MIN(adept_op_cap,TblMili[[#This Row],[WG]]/adept_op_bonus)</f>
        <v>0</v>
      </c>
      <c r="CE107" s="266">
        <f ca="1">MIN(adept_dp_cap,TblMili[[#This Row],[WG]]/adept_dp_bonus)</f>
        <v>0</v>
      </c>
      <c r="CF107" s="97">
        <f ca="1">MIN(TblMili[[#This Row],[Unit 3]],TblMili[[#This Row],[Unit 2]])*2</f>
        <v>0</v>
      </c>
      <c r="CG107" s="97">
        <f ca="1">MIN(TblMili[[#This Row],[Unit 1]],TblMili[[#This Row],[Unit 4]])*2</f>
        <v>0</v>
      </c>
      <c r="CH107" s="266">
        <f ca="1">MIN(frost_mage_cap,TblMili[[#This Row],[Hill]]/frost_mage_bonus)</f>
        <v>2.1999999999999997</v>
      </c>
      <c r="CI107" s="45">
        <f ca="1">MIN(ice_elem_cap,TblMili[[#This Row],[Raw (2)]]*ice_elem_bonus)</f>
        <v>0.1</v>
      </c>
      <c r="CJ107" s="266">
        <f t="shared" si="4"/>
        <v>0.83333333333333337</v>
      </c>
      <c r="CK107" s="266">
        <f ca="1">MIN(nox_nightshade_cap,TblConstr[[#This Row],[Homeland]]/TblConstr[[#This Row],[Land]]/nox_nightshade_swamp_bonus)</f>
        <v>4</v>
      </c>
      <c r="CL107" s="267"/>
      <c r="CM107" s="267"/>
      <c r="CN107" s="267"/>
      <c r="CO107" s="266">
        <f ca="1">MIN(6,TblMili[[#This Row],[Mystic]]+Races!$F$19)*1.8 +  IF(TblMili[[#This Row],[Mystic]]+Races!$F$19&gt;6,(TblMili[[#This Row],[Mystic]]+Races!$F$19-6)*0.2,0) - Races!$I$19</f>
        <v>3.6399999999999997</v>
      </c>
      <c r="CP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7" s="97">
        <f ca="1">TblMili[[#This Row],[Mystic bonus]]*TblMili[[#This Row],[Unit 3]]+TblMili[[#This Row],[Druid bonus]]*TblMili[[#This Row],[Unit 4]]</f>
        <v>0</v>
      </c>
      <c r="CR107" s="158">
        <f ca="1">MIN(6,TblMili[[#This Row],[Dryad]]+Races!$F$35)*1.8 +  IF(TblMili[[#This Row],[Dryad]]+Races!$F$35&gt;6,(TblMili[[#This Row],[Dryad]]+Races!$F$35-6)*0.2,0) - Races!$I$19</f>
        <v>2.1599999999999993</v>
      </c>
      <c r="CS107" s="97">
        <f ca="1">sylvan*(TblMili[[#This Row],[Mystic bonus]]*TblMili[[#This Row],[Unit 3]])</f>
        <v>0</v>
      </c>
      <c r="CT107" s="158">
        <f ca="1">1.8 * MIN(MAX(Races!$E$27,TblMili[[#This Row],[Rockapult]]+Races!$F$27),6)  +  0.45 * MIN(MIN(Races!$E$27,TblMili[[#This Row],[Rockapult]]+Races!$F$27),6)  +  0.2 * ( MAX(Races!$E$27-6,0) + MAX(TblMili[[#This Row],[Rockapult]]+Races!$F$27-6,0) )  -  Races!$I$20</f>
        <v>5.8500000000000005</v>
      </c>
      <c r="CU107" s="97">
        <f ca="1">gnome*(TblMili[[#This Row],[Rockapult bonus]]*TblMili[[#This Row],[Unit 3]])</f>
        <v>0</v>
      </c>
      <c r="CV107" s="158">
        <f ca="1">1.8 * MIN(MAX(TblMili[[#This Row],[Spellblade]]+Races!$E$47,TblMili[[#This Row],[Adept-DP]]+Races!$F$47),6)  +  0.45 * MIN(MIN(TblMili[[#This Row],[Spellblade]]+Races!$E$47,TblMili[[#This Row],[Adept-DP]]+Races!$F$47),6)  +  0.2 * ( MAX(TblMili[[#This Row],[Spellblade]]+Races!$E$47-6,0) + MAX(TblMili[[#This Row],[Adept-DP]]+Races!$F$47-6,0) )  -  Races!$I$47</f>
        <v>0</v>
      </c>
      <c r="CW107" s="97">
        <f ca="1">dark_elf*(TblMili[[#This Row],[Adept bonus]]*TblMili[[#This Row],[Unit 3]])</f>
        <v>0</v>
      </c>
      <c r="CX107" s="158">
        <f ca="1">1.8 * MIN(MAX(TblMili[[#This Row],[Frost Mage]]+Races!$F$71,Races!$E$71),6)  +  0.45 * MIN(MIN(TblMili[[#This Row],[Frost Mage]]+Races!$F$71,Races!$E$71),6)  +  0.2 * ( MAX(TblMili[[#This Row],[Frost Mage]]+Races!$F$71-6,0) + MAX(Races!$E$71-6,0) )  -  Races!$I$71</f>
        <v>3.9599999999999991</v>
      </c>
      <c r="CY107" s="158">
        <f ca="1">1.8 * MIN(MAX(TblMili[[#This Row],[Ice Elemental]]+Races!$E$71,Races!$F$71),6)  +  0.45 * MIN(MIN(TblMili[[#This Row],[Ice Elemental]]+Races!$E$71,Races!$F$71),6)  +  0.2 * ( MAX(TblMili[[#This Row],[Ice Elemental]]+Races!$E$71-6,0) + MAX(Races!$F$71-6,0) )  -  Races!$I$71</f>
        <v>0.17999999999999972</v>
      </c>
      <c r="CZ107" s="97">
        <f ca="1">TblMili[[#This Row],[Frost Mage bonus]]*TblMili[[#This Row],[Unit 3]]+TblMili[[#This Row],[Ice Elemental bonus]]*TblMili[[#This Row],[Unit 4]]</f>
        <v>0</v>
      </c>
      <c r="DA107" s="268"/>
      <c r="DB107" s="146">
        <f ca="1">MIN(SUM(TblConstr[[#This Row],[Plain]:[Water]])/TblMili[[#This Row],[Land]]/favorable_terrain_bonus/100,favorable_terrain_max)</f>
        <v>0.1</v>
      </c>
      <c r="DC107" s="268"/>
      <c r="DD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7" s="145"/>
      <c r="DF107" s="269">
        <f ca="1">(TblMili[[#This Row],[Wizards]]+2*TblMili[[#This Row],[Archmages]])/TblConstr[[#This Row],[Land]]</f>
        <v>0.1</v>
      </c>
      <c r="DG107" s="269">
        <f ca="1">TblMili[[#This Row],[Raw (2)]]*(1+race_wizard_strength+IF(TblMili[[#This Row],[Hour]]&gt;72,tech_magical_weaponry_wiz*TblTech[[#This Row],[3-5]],0))</f>
        <v>0.1</v>
      </c>
    </row>
    <row r="108" spans="1:111"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45462.333333333081</v>
      </c>
      <c r="AG108" s="182"/>
      <c r="AH108" s="182"/>
      <c r="AI108" s="182"/>
      <c r="AJ108" s="182"/>
      <c r="AK108" s="182"/>
      <c r="AL108" s="182"/>
      <c r="AM108" s="182"/>
      <c r="AN108" s="182"/>
      <c r="AO108" s="449">
        <f ca="1">IF(AND(TblMagic[[#This Row],[Active DnD]]&lt;12,TblMagic[[#This Row],[Active DnD]]&gt;5),OFFSET(TblPop[[#This Row],[Draft Growth]],-1,0)/2,0)</f>
        <v>0</v>
      </c>
      <c r="AP108" s="145"/>
      <c r="AQ108" s="97">
        <f ca="1">TblProd[[#This Row],[Platinum]]</f>
        <v>691422</v>
      </c>
      <c r="AR108" s="97">
        <f ca="1">INDEX(TblProd[[#Headers],[Lumber]]:TblProd[[#This Row],[Ore]],COUNTA(TblProd[[#Headers],[Lumber]]:TblProd[[#This Row],[Lumber]]),MATCH(Military!$AQ$2,TblProd[[#Headers],[Lumber]:[Ore]],0))</f>
        <v>0</v>
      </c>
      <c r="AS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7">
        <f ca="1">TblMili[[#This Row],[Train Unit 1]]*TblMili[[#This Row],[OP Ore]]+TblMili[[#This Row],[Train Unit 2]]*TblMili[[#This Row],[DP Ore]]+TblMili[[#This Row],[Train Unit 3]]*TblMili[[#This Row],[E1 Ore]]+TblMili[[#This Row],[Train Unit 4]]*TblMili[[#This Row],[E2 Ore]]</f>
        <v>0</v>
      </c>
      <c r="AU108" s="145">
        <f>TblMili[[#This Row],[Hour]]</f>
        <v>105</v>
      </c>
      <c r="AV108" s="155">
        <f ca="1">TblMili[[#This Row],[Time]]</f>
        <v>45462.333333333081</v>
      </c>
      <c r="AW108" s="97">
        <f ca="1">TblMili[[#This Row],[Draftees]]</f>
        <v>626</v>
      </c>
      <c r="AX108" s="182"/>
      <c r="AY108" s="182"/>
      <c r="AZ108" s="182"/>
      <c r="BA108" s="182"/>
      <c r="BB108" s="182"/>
      <c r="BC108" s="182"/>
      <c r="BD108" s="182"/>
      <c r="BE108" s="182"/>
      <c r="BF108" s="182"/>
      <c r="BG108" s="145"/>
      <c r="BH108" s="160">
        <f ca="1">TblConstr[[#This Row],[Tot WG]]/TblConstr[[#This Row],[Land]]</f>
        <v>0</v>
      </c>
      <c r="BI108" s="160">
        <f ca="1">TblConstr[[#This Row],[Tot Hav]]/TblConstr[[#This Row],[Land]]</f>
        <v>0</v>
      </c>
      <c r="BJ108" s="97">
        <f ca="1">ROUNDUP((1-MIN(TblMili[[#This Row],[Smithies]]*smithy_bonus,smithy_bonus_cap) + tech_3_5*TblTech[[#This Row],[3-5]] + tech_5_3*TblTech[[#This Row],[5-3]] + tech_5_5*TblTech[[#This Row],[5-5]])*spec_op_plat,0)</f>
        <v>275</v>
      </c>
      <c r="BK108" s="97">
        <f ca="1">ROUNDUP(IF(race="Gnome",1,(1-MIN(TblMili[[#This Row],[Smithies]]*smithy_bonus,smithy_bonus_cap) + tech_3_5*TblTech[[#This Row],[3-5]] + tech_5_3*TblTech[[#This Row],[5-3]] + tech_5_5*TblTech[[#This Row],[5-5]]))*spec_op_ore,0)</f>
        <v>25</v>
      </c>
      <c r="BL108" s="97">
        <f ca="1">ROUNDUP((1-MIN(TblMili[[#This Row],[Smithies]]*smithy_bonus,smithy_bonus_cap) + tech_3_5*TblTech[[#This Row],[3-5]] + tech_5_3*TblTech[[#This Row],[5-3]] + tech_5_5*TblTech[[#This Row],[5-5]])*spec_dp_plat,0)</f>
        <v>275</v>
      </c>
      <c r="BM108" s="97">
        <f ca="1">ROUNDUP(IF(race="Gnome",1,(1-MIN(TblMili[[#This Row],[Smithies]]*smithy_bonus,smithy_bonus_cap) + tech_3_5*TblTech[[#This Row],[3-5]] + tech_5_3*TblTech[[#This Row],[5-3]] + tech_5_5*TblTech[[#This Row],[5-5]]))*spec_dp_ore,0)</f>
        <v>15</v>
      </c>
      <c r="BN108" s="97">
        <f ca="1">ROUNDUP((1-MIN(TblMili[[#This Row],[Smithies]]*smithy_bonus,smithy_bonus_cap) + tech_3_5*TblTech[[#This Row],[3-5]] + tech_5_3*TblTech[[#This Row],[5-3]] + tech_5_5*TblTech[[#This Row],[5-5]])*elite1_plat,0)</f>
        <v>1000</v>
      </c>
      <c r="BO108" s="97">
        <f ca="1">ROUNDUP(IF(race="Gnome",1,(1-MIN(TblMili[[#This Row],[Smithies]]*smithy_bonus,smithy_bonus_cap) + tech_3_5*TblTech[[#This Row],[3-5]] + tech_5_3*TblTech[[#This Row],[5-3]] + tech_5_5*TblTech[[#This Row],[5-5]]))*elite1_ore,0)</f>
        <v>75</v>
      </c>
      <c r="BP108" s="97">
        <f ca="1">ROUNDUP((1-MIN(TblMili[[#This Row],[Smithies]]*smithy_bonus,smithy_bonus_cap) + tech_3_5*TblTech[[#This Row],[3-5]] + tech_5_3*TblTech[[#This Row],[5-3]] + tech_5_5*TblTech[[#This Row],[5-5]])*elite2_plat,0)</f>
        <v>1250</v>
      </c>
      <c r="BQ108" s="97">
        <f ca="1">ROUNDUP(IF(race="Gnome",1,(1-MIN(TblMili[[#This Row],[Smithies]]*smithy_bonus,smithy_bonus_cap) + tech_3_5*TblTech[[#This Row],[3-5]] + tech_5_3*TblTech[[#This Row],[5-3]] + tech_5_5*TblTech[[#This Row],[5-5]]))*elite2_ore,0)</f>
        <v>100</v>
      </c>
      <c r="BR108" s="97">
        <f ca="1">ROUNDUP((1-MIN(ROUND(fh_spy_cost_red*TblMili[[#This Row],[FH''s]],4),fh_spy_cost_cap)+ tech_1_9*TblTech[[#This Row],[1-9]] + tech_9_1*TblTech[[#This Row],[9-1]])*spy_plat,0)</f>
        <v>500</v>
      </c>
      <c r="BS108" s="97">
        <f ca="1">ROUNDUP((1-MIN(ROUND(fh_spy_cost_red*TblMili[[#This Row],[FH''s]],4),fh_spy_cost_cap)+ tech_1_9*TblTech[[#This Row],[1-9]] + tech_9_1*TblTech[[#This Row],[9-1]])*archspy_plat,0)</f>
        <v>1000</v>
      </c>
      <c r="BT108" s="97">
        <f ca="1">ROUNDUP((1-MIN(ROUND(wg_wiz_cost_bonus*TblMili[[#This Row],[WG''s]],4),wg_wiz_cost_cap) + tech_1_9_2*TblTech[[#This Row],[1-9]] + tech_9_1_2*TblTech[[#This Row],[9-1]])*wizard_plat,0)</f>
        <v>500</v>
      </c>
      <c r="BU108" s="97">
        <f ca="1">ROUNDUP((1-MIN(ROUND(wg_wiz_cost_bonus*TblMili[[#This Row],[WG''s]],4),wg_wiz_cost_cap) + tech_1_9_2*TblTech[[#This Row],[1-9]] + tech_9_1_2*TblTech[[#This Row],[9-1]])*archmage_plat,0)</f>
        <v>1000</v>
      </c>
      <c r="BV108" s="145"/>
      <c r="BW108" s="160">
        <f ca="1">TblConstr[[#This Row],[Homeland]]/TblConstr[[#This Row],[Land]]</f>
        <v>0.44</v>
      </c>
      <c r="BX108" s="160">
        <f ca="1">TblMili[[#This Row],[WG''s]]</f>
        <v>0</v>
      </c>
      <c r="BY108" s="266">
        <f ca="1">IF(mystic_cap="none",TblMili[[#This Row],[Hill]]/mystic_bonus,MIN(mystic_cap,TblMili[[#This Row],[Hill]]/mystic_bonus))</f>
        <v>2.1999999999999997</v>
      </c>
      <c r="BZ108" s="266">
        <f ca="1">IF(druid_op_cap="none",TblMili[[#This Row],[Hill]]/druid_op_bonus,MIN(druid_op_cap,TblMili[[#This Row],[Hill]]/druid_op_bonus))</f>
        <v>2.1999999999999997</v>
      </c>
      <c r="CA108" s="266">
        <f ca="1">IF(druid_dp_cap="none",TblMili[[#This Row],[Hill]]/druid_dp_bonus,MIN(druid_dp_cap,TblMili[[#This Row],[Hill]]/druid_dp_bonus))</f>
        <v>2.1999999999999997</v>
      </c>
      <c r="CB108" s="266">
        <f ca="1">MIN(dryad_cap,TblMili[[#This Row],[Hill]]/dryad_bonus)</f>
        <v>2.1999999999999997</v>
      </c>
      <c r="CC108" s="266">
        <f ca="1">MIN(rocka_cap,TblMili[[#This Row],[Hill]]/rocka_bonus)</f>
        <v>2</v>
      </c>
      <c r="CD108" s="266">
        <f ca="1">MIN(adept_op_cap,TblMili[[#This Row],[WG]]/adept_op_bonus)</f>
        <v>0</v>
      </c>
      <c r="CE108" s="266">
        <f ca="1">MIN(adept_dp_cap,TblMili[[#This Row],[WG]]/adept_dp_bonus)</f>
        <v>0</v>
      </c>
      <c r="CF108" s="97">
        <f ca="1">MIN(TblMili[[#This Row],[Unit 3]],TblMili[[#This Row],[Unit 2]])*2</f>
        <v>0</v>
      </c>
      <c r="CG108" s="97">
        <f ca="1">MIN(TblMili[[#This Row],[Unit 1]],TblMili[[#This Row],[Unit 4]])*2</f>
        <v>0</v>
      </c>
      <c r="CH108" s="266">
        <f ca="1">MIN(frost_mage_cap,TblMili[[#This Row],[Hill]]/frost_mage_bonus)</f>
        <v>2.1999999999999997</v>
      </c>
      <c r="CI108" s="45">
        <f ca="1">MIN(ice_elem_cap,TblMili[[#This Row],[Raw (2)]]*ice_elem_bonus)</f>
        <v>0.1</v>
      </c>
      <c r="CJ108" s="266">
        <f t="shared" si="4"/>
        <v>0.83333333333333337</v>
      </c>
      <c r="CK108" s="266">
        <f ca="1">MIN(nox_nightshade_cap,TblConstr[[#This Row],[Homeland]]/TblConstr[[#This Row],[Land]]/nox_nightshade_swamp_bonus)</f>
        <v>4</v>
      </c>
      <c r="CL108" s="267"/>
      <c r="CM108" s="267"/>
      <c r="CN108" s="267"/>
      <c r="CO108" s="266">
        <f ca="1">MIN(6,TblMili[[#This Row],[Mystic]]+Races!$F$19)*1.8 +  IF(TblMili[[#This Row],[Mystic]]+Races!$F$19&gt;6,(TblMili[[#This Row],[Mystic]]+Races!$F$19-6)*0.2,0) - Races!$I$19</f>
        <v>3.6399999999999997</v>
      </c>
      <c r="CP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8" s="97">
        <f ca="1">TblMili[[#This Row],[Mystic bonus]]*TblMili[[#This Row],[Unit 3]]+TblMili[[#This Row],[Druid bonus]]*TblMili[[#This Row],[Unit 4]]</f>
        <v>0</v>
      </c>
      <c r="CR108" s="158">
        <f ca="1">MIN(6,TblMili[[#This Row],[Dryad]]+Races!$F$35)*1.8 +  IF(TblMili[[#This Row],[Dryad]]+Races!$F$35&gt;6,(TblMili[[#This Row],[Dryad]]+Races!$F$35-6)*0.2,0) - Races!$I$19</f>
        <v>2.1599999999999993</v>
      </c>
      <c r="CS108" s="97">
        <f ca="1">sylvan*(TblMili[[#This Row],[Mystic bonus]]*TblMili[[#This Row],[Unit 3]])</f>
        <v>0</v>
      </c>
      <c r="CT108" s="158">
        <f ca="1">1.8 * MIN(MAX(Races!$E$27,TblMili[[#This Row],[Rockapult]]+Races!$F$27),6)  +  0.45 * MIN(MIN(Races!$E$27,TblMili[[#This Row],[Rockapult]]+Races!$F$27),6)  +  0.2 * ( MAX(Races!$E$27-6,0) + MAX(TblMili[[#This Row],[Rockapult]]+Races!$F$27-6,0) )  -  Races!$I$20</f>
        <v>5.8500000000000005</v>
      </c>
      <c r="CU108" s="97">
        <f ca="1">gnome*(TblMili[[#This Row],[Rockapult bonus]]*TblMili[[#This Row],[Unit 3]])</f>
        <v>0</v>
      </c>
      <c r="CV108" s="158">
        <f ca="1">1.8 * MIN(MAX(TblMili[[#This Row],[Spellblade]]+Races!$E$47,TblMili[[#This Row],[Adept-DP]]+Races!$F$47),6)  +  0.45 * MIN(MIN(TblMili[[#This Row],[Spellblade]]+Races!$E$47,TblMili[[#This Row],[Adept-DP]]+Races!$F$47),6)  +  0.2 * ( MAX(TblMili[[#This Row],[Spellblade]]+Races!$E$47-6,0) + MAX(TblMili[[#This Row],[Adept-DP]]+Races!$F$47-6,0) )  -  Races!$I$47</f>
        <v>0</v>
      </c>
      <c r="CW108" s="97">
        <f ca="1">dark_elf*(TblMili[[#This Row],[Adept bonus]]*TblMili[[#This Row],[Unit 3]])</f>
        <v>0</v>
      </c>
      <c r="CX108" s="158">
        <f ca="1">1.8 * MIN(MAX(TblMili[[#This Row],[Frost Mage]]+Races!$F$71,Races!$E$71),6)  +  0.45 * MIN(MIN(TblMili[[#This Row],[Frost Mage]]+Races!$F$71,Races!$E$71),6)  +  0.2 * ( MAX(TblMili[[#This Row],[Frost Mage]]+Races!$F$71-6,0) + MAX(Races!$E$71-6,0) )  -  Races!$I$71</f>
        <v>3.9599999999999991</v>
      </c>
      <c r="CY108" s="158">
        <f ca="1">1.8 * MIN(MAX(TblMili[[#This Row],[Ice Elemental]]+Races!$E$71,Races!$F$71),6)  +  0.45 * MIN(MIN(TblMili[[#This Row],[Ice Elemental]]+Races!$E$71,Races!$F$71),6)  +  0.2 * ( MAX(TblMili[[#This Row],[Ice Elemental]]+Races!$E$71-6,0) + MAX(Races!$F$71-6,0) )  -  Races!$I$71</f>
        <v>0.17999999999999972</v>
      </c>
      <c r="CZ108" s="97">
        <f ca="1">TblMili[[#This Row],[Frost Mage bonus]]*TblMili[[#This Row],[Unit 3]]+TblMili[[#This Row],[Ice Elemental bonus]]*TblMili[[#This Row],[Unit 4]]</f>
        <v>0</v>
      </c>
      <c r="DA108" s="268"/>
      <c r="DB108" s="146">
        <f ca="1">MIN(SUM(TblConstr[[#This Row],[Plain]:[Water]])/TblMili[[#This Row],[Land]]/favorable_terrain_bonus/100,favorable_terrain_max)</f>
        <v>0.1</v>
      </c>
      <c r="DC108" s="268"/>
      <c r="DD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8" s="145"/>
      <c r="DF108" s="269">
        <f ca="1">(TblMili[[#This Row],[Wizards]]+2*TblMili[[#This Row],[Archmages]])/TblConstr[[#This Row],[Land]]</f>
        <v>0.1</v>
      </c>
      <c r="DG108" s="269">
        <f ca="1">TblMili[[#This Row],[Raw (2)]]*(1+race_wizard_strength+IF(TblMili[[#This Row],[Hour]]&gt;72,tech_magical_weaponry_wiz*TblTech[[#This Row],[3-5]],0))</f>
        <v>0.1</v>
      </c>
    </row>
    <row r="109" spans="1:111"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45462.374999999745</v>
      </c>
      <c r="AG109" s="182"/>
      <c r="AH109" s="182"/>
      <c r="AI109" s="182"/>
      <c r="AJ109" s="182"/>
      <c r="AK109" s="182"/>
      <c r="AL109" s="182"/>
      <c r="AM109" s="182"/>
      <c r="AN109" s="182"/>
      <c r="AO109" s="449">
        <f ca="1">IF(AND(TblMagic[[#This Row],[Active DnD]]&lt;12,TblMagic[[#This Row],[Active DnD]]&gt;5),OFFSET(TblPop[[#This Row],[Draft Growth]],-1,0)/2,0)</f>
        <v>0</v>
      </c>
      <c r="AP109" s="145"/>
      <c r="AQ109" s="97">
        <f ca="1">TblProd[[#This Row],[Platinum]]</f>
        <v>696908</v>
      </c>
      <c r="AR109" s="97">
        <f ca="1">INDEX(TblProd[[#Headers],[Lumber]]:TblProd[[#This Row],[Ore]],COUNTA(TblProd[[#Headers],[Lumber]]:TblProd[[#This Row],[Lumber]]),MATCH(Military!$AQ$2,TblProd[[#Headers],[Lumber]:[Ore]],0))</f>
        <v>0</v>
      </c>
      <c r="AS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7">
        <f ca="1">TblMili[[#This Row],[Train Unit 1]]*TblMili[[#This Row],[OP Ore]]+TblMili[[#This Row],[Train Unit 2]]*TblMili[[#This Row],[DP Ore]]+TblMili[[#This Row],[Train Unit 3]]*TblMili[[#This Row],[E1 Ore]]+TblMili[[#This Row],[Train Unit 4]]*TblMili[[#This Row],[E2 Ore]]</f>
        <v>0</v>
      </c>
      <c r="AU109" s="145">
        <f>TblMili[[#This Row],[Hour]]</f>
        <v>106</v>
      </c>
      <c r="AV109" s="155">
        <f ca="1">TblMili[[#This Row],[Time]]</f>
        <v>45462.374999999745</v>
      </c>
      <c r="AW109" s="97">
        <f ca="1">TblMili[[#This Row],[Draftees]]</f>
        <v>626</v>
      </c>
      <c r="AX109" s="182"/>
      <c r="AY109" s="182"/>
      <c r="AZ109" s="182"/>
      <c r="BA109" s="182"/>
      <c r="BB109" s="182"/>
      <c r="BC109" s="182"/>
      <c r="BD109" s="182"/>
      <c r="BE109" s="182"/>
      <c r="BF109" s="182"/>
      <c r="BG109" s="145"/>
      <c r="BH109" s="160">
        <f ca="1">TblConstr[[#This Row],[Tot WG]]/TblConstr[[#This Row],[Land]]</f>
        <v>0</v>
      </c>
      <c r="BI109" s="160">
        <f ca="1">TblConstr[[#This Row],[Tot Hav]]/TblConstr[[#This Row],[Land]]</f>
        <v>0</v>
      </c>
      <c r="BJ109" s="97">
        <f ca="1">ROUNDUP((1-MIN(TblMili[[#This Row],[Smithies]]*smithy_bonus,smithy_bonus_cap) + tech_3_5*TblTech[[#This Row],[3-5]] + tech_5_3*TblTech[[#This Row],[5-3]] + tech_5_5*TblTech[[#This Row],[5-5]])*spec_op_plat,0)</f>
        <v>275</v>
      </c>
      <c r="BK109" s="97">
        <f ca="1">ROUNDUP(IF(race="Gnome",1,(1-MIN(TblMili[[#This Row],[Smithies]]*smithy_bonus,smithy_bonus_cap) + tech_3_5*TblTech[[#This Row],[3-5]] + tech_5_3*TblTech[[#This Row],[5-3]] + tech_5_5*TblTech[[#This Row],[5-5]]))*spec_op_ore,0)</f>
        <v>25</v>
      </c>
      <c r="BL109" s="97">
        <f ca="1">ROUNDUP((1-MIN(TblMili[[#This Row],[Smithies]]*smithy_bonus,smithy_bonus_cap) + tech_3_5*TblTech[[#This Row],[3-5]] + tech_5_3*TblTech[[#This Row],[5-3]] + tech_5_5*TblTech[[#This Row],[5-5]])*spec_dp_plat,0)</f>
        <v>275</v>
      </c>
      <c r="BM109" s="97">
        <f ca="1">ROUNDUP(IF(race="Gnome",1,(1-MIN(TblMili[[#This Row],[Smithies]]*smithy_bonus,smithy_bonus_cap) + tech_3_5*TblTech[[#This Row],[3-5]] + tech_5_3*TblTech[[#This Row],[5-3]] + tech_5_5*TblTech[[#This Row],[5-5]]))*spec_dp_ore,0)</f>
        <v>15</v>
      </c>
      <c r="BN109" s="97">
        <f ca="1">ROUNDUP((1-MIN(TblMili[[#This Row],[Smithies]]*smithy_bonus,smithy_bonus_cap) + tech_3_5*TblTech[[#This Row],[3-5]] + tech_5_3*TblTech[[#This Row],[5-3]] + tech_5_5*TblTech[[#This Row],[5-5]])*elite1_plat,0)</f>
        <v>1000</v>
      </c>
      <c r="BO109" s="97">
        <f ca="1">ROUNDUP(IF(race="Gnome",1,(1-MIN(TblMili[[#This Row],[Smithies]]*smithy_bonus,smithy_bonus_cap) + tech_3_5*TblTech[[#This Row],[3-5]] + tech_5_3*TblTech[[#This Row],[5-3]] + tech_5_5*TblTech[[#This Row],[5-5]]))*elite1_ore,0)</f>
        <v>75</v>
      </c>
      <c r="BP109" s="97">
        <f ca="1">ROUNDUP((1-MIN(TblMili[[#This Row],[Smithies]]*smithy_bonus,smithy_bonus_cap) + tech_3_5*TblTech[[#This Row],[3-5]] + tech_5_3*TblTech[[#This Row],[5-3]] + tech_5_5*TblTech[[#This Row],[5-5]])*elite2_plat,0)</f>
        <v>1250</v>
      </c>
      <c r="BQ109" s="97">
        <f ca="1">ROUNDUP(IF(race="Gnome",1,(1-MIN(TblMili[[#This Row],[Smithies]]*smithy_bonus,smithy_bonus_cap) + tech_3_5*TblTech[[#This Row],[3-5]] + tech_5_3*TblTech[[#This Row],[5-3]] + tech_5_5*TblTech[[#This Row],[5-5]]))*elite2_ore,0)</f>
        <v>100</v>
      </c>
      <c r="BR109" s="97">
        <f ca="1">ROUNDUP((1-MIN(ROUND(fh_spy_cost_red*TblMili[[#This Row],[FH''s]],4),fh_spy_cost_cap)+ tech_1_9*TblTech[[#This Row],[1-9]] + tech_9_1*TblTech[[#This Row],[9-1]])*spy_plat,0)</f>
        <v>500</v>
      </c>
      <c r="BS109" s="97">
        <f ca="1">ROUNDUP((1-MIN(ROUND(fh_spy_cost_red*TblMili[[#This Row],[FH''s]],4),fh_spy_cost_cap)+ tech_1_9*TblTech[[#This Row],[1-9]] + tech_9_1*TblTech[[#This Row],[9-1]])*archspy_plat,0)</f>
        <v>1000</v>
      </c>
      <c r="BT109" s="97">
        <f ca="1">ROUNDUP((1-MIN(ROUND(wg_wiz_cost_bonus*TblMili[[#This Row],[WG''s]],4),wg_wiz_cost_cap) + tech_1_9_2*TblTech[[#This Row],[1-9]] + tech_9_1_2*TblTech[[#This Row],[9-1]])*wizard_plat,0)</f>
        <v>500</v>
      </c>
      <c r="BU109" s="97">
        <f ca="1">ROUNDUP((1-MIN(ROUND(wg_wiz_cost_bonus*TblMili[[#This Row],[WG''s]],4),wg_wiz_cost_cap) + tech_1_9_2*TblTech[[#This Row],[1-9]] + tech_9_1_2*TblTech[[#This Row],[9-1]])*archmage_plat,0)</f>
        <v>1000</v>
      </c>
      <c r="BV109" s="145"/>
      <c r="BW109" s="160">
        <f ca="1">TblConstr[[#This Row],[Homeland]]/TblConstr[[#This Row],[Land]]</f>
        <v>0.44</v>
      </c>
      <c r="BX109" s="160">
        <f ca="1">TblMili[[#This Row],[WG''s]]</f>
        <v>0</v>
      </c>
      <c r="BY109" s="266">
        <f ca="1">IF(mystic_cap="none",TblMili[[#This Row],[Hill]]/mystic_bonus,MIN(mystic_cap,TblMili[[#This Row],[Hill]]/mystic_bonus))</f>
        <v>2.1999999999999997</v>
      </c>
      <c r="BZ109" s="266">
        <f ca="1">IF(druid_op_cap="none",TblMili[[#This Row],[Hill]]/druid_op_bonus,MIN(druid_op_cap,TblMili[[#This Row],[Hill]]/druid_op_bonus))</f>
        <v>2.1999999999999997</v>
      </c>
      <c r="CA109" s="266">
        <f ca="1">IF(druid_dp_cap="none",TblMili[[#This Row],[Hill]]/druid_dp_bonus,MIN(druid_dp_cap,TblMili[[#This Row],[Hill]]/druid_dp_bonus))</f>
        <v>2.1999999999999997</v>
      </c>
      <c r="CB109" s="266">
        <f ca="1">MIN(dryad_cap,TblMili[[#This Row],[Hill]]/dryad_bonus)</f>
        <v>2.1999999999999997</v>
      </c>
      <c r="CC109" s="266">
        <f ca="1">MIN(rocka_cap,TblMili[[#This Row],[Hill]]/rocka_bonus)</f>
        <v>2</v>
      </c>
      <c r="CD109" s="266">
        <f ca="1">MIN(adept_op_cap,TblMili[[#This Row],[WG]]/adept_op_bonus)</f>
        <v>0</v>
      </c>
      <c r="CE109" s="266">
        <f ca="1">MIN(adept_dp_cap,TblMili[[#This Row],[WG]]/adept_dp_bonus)</f>
        <v>0</v>
      </c>
      <c r="CF109" s="97">
        <f ca="1">MIN(TblMili[[#This Row],[Unit 3]],TblMili[[#This Row],[Unit 2]])*2</f>
        <v>0</v>
      </c>
      <c r="CG109" s="97">
        <f ca="1">MIN(TblMili[[#This Row],[Unit 1]],TblMili[[#This Row],[Unit 4]])*2</f>
        <v>0</v>
      </c>
      <c r="CH109" s="266">
        <f ca="1">MIN(frost_mage_cap,TblMili[[#This Row],[Hill]]/frost_mage_bonus)</f>
        <v>2.1999999999999997</v>
      </c>
      <c r="CI109" s="45">
        <f ca="1">MIN(ice_elem_cap,TblMili[[#This Row],[Raw (2)]]*ice_elem_bonus)</f>
        <v>0.1</v>
      </c>
      <c r="CJ109" s="266">
        <f t="shared" si="4"/>
        <v>0.83333333333333337</v>
      </c>
      <c r="CK109" s="266">
        <f ca="1">MIN(nox_nightshade_cap,TblConstr[[#This Row],[Homeland]]/TblConstr[[#This Row],[Land]]/nox_nightshade_swamp_bonus)</f>
        <v>4</v>
      </c>
      <c r="CL109" s="267"/>
      <c r="CM109" s="267"/>
      <c r="CN109" s="267"/>
      <c r="CO109" s="266">
        <f ca="1">MIN(6,TblMili[[#This Row],[Mystic]]+Races!$F$19)*1.8 +  IF(TblMili[[#This Row],[Mystic]]+Races!$F$19&gt;6,(TblMili[[#This Row],[Mystic]]+Races!$F$19-6)*0.2,0) - Races!$I$19</f>
        <v>3.6399999999999997</v>
      </c>
      <c r="CP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9" s="97">
        <f ca="1">TblMili[[#This Row],[Mystic bonus]]*TblMili[[#This Row],[Unit 3]]+TblMili[[#This Row],[Druid bonus]]*TblMili[[#This Row],[Unit 4]]</f>
        <v>0</v>
      </c>
      <c r="CR109" s="158">
        <f ca="1">MIN(6,TblMili[[#This Row],[Dryad]]+Races!$F$35)*1.8 +  IF(TblMili[[#This Row],[Dryad]]+Races!$F$35&gt;6,(TblMili[[#This Row],[Dryad]]+Races!$F$35-6)*0.2,0) - Races!$I$19</f>
        <v>2.1599999999999993</v>
      </c>
      <c r="CS109" s="97">
        <f ca="1">sylvan*(TblMili[[#This Row],[Mystic bonus]]*TblMili[[#This Row],[Unit 3]])</f>
        <v>0</v>
      </c>
      <c r="CT109" s="158">
        <f ca="1">1.8 * MIN(MAX(Races!$E$27,TblMili[[#This Row],[Rockapult]]+Races!$F$27),6)  +  0.45 * MIN(MIN(Races!$E$27,TblMili[[#This Row],[Rockapult]]+Races!$F$27),6)  +  0.2 * ( MAX(Races!$E$27-6,0) + MAX(TblMili[[#This Row],[Rockapult]]+Races!$F$27-6,0) )  -  Races!$I$20</f>
        <v>5.8500000000000005</v>
      </c>
      <c r="CU109" s="97">
        <f ca="1">gnome*(TblMili[[#This Row],[Rockapult bonus]]*TblMili[[#This Row],[Unit 3]])</f>
        <v>0</v>
      </c>
      <c r="CV109" s="158">
        <f ca="1">1.8 * MIN(MAX(TblMili[[#This Row],[Spellblade]]+Races!$E$47,TblMili[[#This Row],[Adept-DP]]+Races!$F$47),6)  +  0.45 * MIN(MIN(TblMili[[#This Row],[Spellblade]]+Races!$E$47,TblMili[[#This Row],[Adept-DP]]+Races!$F$47),6)  +  0.2 * ( MAX(TblMili[[#This Row],[Spellblade]]+Races!$E$47-6,0) + MAX(TblMili[[#This Row],[Adept-DP]]+Races!$F$47-6,0) )  -  Races!$I$47</f>
        <v>0</v>
      </c>
      <c r="CW109" s="97">
        <f ca="1">dark_elf*(TblMili[[#This Row],[Adept bonus]]*TblMili[[#This Row],[Unit 3]])</f>
        <v>0</v>
      </c>
      <c r="CX109" s="158">
        <f ca="1">1.8 * MIN(MAX(TblMili[[#This Row],[Frost Mage]]+Races!$F$71,Races!$E$71),6)  +  0.45 * MIN(MIN(TblMili[[#This Row],[Frost Mage]]+Races!$F$71,Races!$E$71),6)  +  0.2 * ( MAX(TblMili[[#This Row],[Frost Mage]]+Races!$F$71-6,0) + MAX(Races!$E$71-6,0) )  -  Races!$I$71</f>
        <v>3.9599999999999991</v>
      </c>
      <c r="CY109" s="158">
        <f ca="1">1.8 * MIN(MAX(TblMili[[#This Row],[Ice Elemental]]+Races!$E$71,Races!$F$71),6)  +  0.45 * MIN(MIN(TblMili[[#This Row],[Ice Elemental]]+Races!$E$71,Races!$F$71),6)  +  0.2 * ( MAX(TblMili[[#This Row],[Ice Elemental]]+Races!$E$71-6,0) + MAX(Races!$F$71-6,0) )  -  Races!$I$71</f>
        <v>0.17999999999999972</v>
      </c>
      <c r="CZ109" s="97">
        <f ca="1">TblMili[[#This Row],[Frost Mage bonus]]*TblMili[[#This Row],[Unit 3]]+TblMili[[#This Row],[Ice Elemental bonus]]*TblMili[[#This Row],[Unit 4]]</f>
        <v>0</v>
      </c>
      <c r="DA109" s="268"/>
      <c r="DB109" s="146">
        <f ca="1">MIN(SUM(TblConstr[[#This Row],[Plain]:[Water]])/TblMili[[#This Row],[Land]]/favorable_terrain_bonus/100,favorable_terrain_max)</f>
        <v>0.1</v>
      </c>
      <c r="DC109" s="268"/>
      <c r="DD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9" s="145"/>
      <c r="DF109" s="269">
        <f ca="1">(TblMili[[#This Row],[Wizards]]+2*TblMili[[#This Row],[Archmages]])/TblConstr[[#This Row],[Land]]</f>
        <v>0.1</v>
      </c>
      <c r="DG109" s="269">
        <f ca="1">TblMili[[#This Row],[Raw (2)]]*(1+race_wizard_strength+IF(TblMili[[#This Row],[Hour]]&gt;72,tech_magical_weaponry_wiz*TblTech[[#This Row],[3-5]],0))</f>
        <v>0.1</v>
      </c>
    </row>
    <row r="110" spans="1:111"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45462.41666666641</v>
      </c>
      <c r="AG110" s="182"/>
      <c r="AH110" s="182"/>
      <c r="AI110" s="182"/>
      <c r="AJ110" s="182"/>
      <c r="AK110" s="182"/>
      <c r="AL110" s="182"/>
      <c r="AM110" s="182"/>
      <c r="AN110" s="182"/>
      <c r="AO110" s="449">
        <f ca="1">IF(AND(TblMagic[[#This Row],[Active DnD]]&lt;12,TblMagic[[#This Row],[Active DnD]]&gt;5),OFFSET(TblPop[[#This Row],[Draft Growth]],-1,0)/2,0)</f>
        <v>0</v>
      </c>
      <c r="AP110" s="145"/>
      <c r="AQ110" s="97">
        <f ca="1">TblProd[[#This Row],[Platinum]]</f>
        <v>702394</v>
      </c>
      <c r="AR110" s="97">
        <f ca="1">INDEX(TblProd[[#Headers],[Lumber]]:TblProd[[#This Row],[Ore]],COUNTA(TblProd[[#Headers],[Lumber]]:TblProd[[#This Row],[Lumber]]),MATCH(Military!$AQ$2,TblProd[[#Headers],[Lumber]:[Ore]],0))</f>
        <v>0</v>
      </c>
      <c r="AS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7">
        <f ca="1">TblMili[[#This Row],[Train Unit 1]]*TblMili[[#This Row],[OP Ore]]+TblMili[[#This Row],[Train Unit 2]]*TblMili[[#This Row],[DP Ore]]+TblMili[[#This Row],[Train Unit 3]]*TblMili[[#This Row],[E1 Ore]]+TblMili[[#This Row],[Train Unit 4]]*TblMili[[#This Row],[E2 Ore]]</f>
        <v>0</v>
      </c>
      <c r="AU110" s="145">
        <f>TblMili[[#This Row],[Hour]]</f>
        <v>107</v>
      </c>
      <c r="AV110" s="155">
        <f ca="1">TblMili[[#This Row],[Time]]</f>
        <v>45462.41666666641</v>
      </c>
      <c r="AW110" s="97">
        <f ca="1">TblMili[[#This Row],[Draftees]]</f>
        <v>626</v>
      </c>
      <c r="AX110" s="182"/>
      <c r="AY110" s="182"/>
      <c r="AZ110" s="182"/>
      <c r="BA110" s="182"/>
      <c r="BB110" s="182"/>
      <c r="BC110" s="182"/>
      <c r="BD110" s="182"/>
      <c r="BE110" s="182"/>
      <c r="BF110" s="182"/>
      <c r="BG110" s="145"/>
      <c r="BH110" s="160">
        <f ca="1">TblConstr[[#This Row],[Tot WG]]/TblConstr[[#This Row],[Land]]</f>
        <v>0</v>
      </c>
      <c r="BI110" s="160">
        <f ca="1">TblConstr[[#This Row],[Tot Hav]]/TblConstr[[#This Row],[Land]]</f>
        <v>0</v>
      </c>
      <c r="BJ110" s="97">
        <f ca="1">ROUNDUP((1-MIN(TblMili[[#This Row],[Smithies]]*smithy_bonus,smithy_bonus_cap) + tech_3_5*TblTech[[#This Row],[3-5]] + tech_5_3*TblTech[[#This Row],[5-3]] + tech_5_5*TblTech[[#This Row],[5-5]])*spec_op_plat,0)</f>
        <v>275</v>
      </c>
      <c r="BK110" s="97">
        <f ca="1">ROUNDUP(IF(race="Gnome",1,(1-MIN(TblMili[[#This Row],[Smithies]]*smithy_bonus,smithy_bonus_cap) + tech_3_5*TblTech[[#This Row],[3-5]] + tech_5_3*TblTech[[#This Row],[5-3]] + tech_5_5*TblTech[[#This Row],[5-5]]))*spec_op_ore,0)</f>
        <v>25</v>
      </c>
      <c r="BL110" s="97">
        <f ca="1">ROUNDUP((1-MIN(TblMili[[#This Row],[Smithies]]*smithy_bonus,smithy_bonus_cap) + tech_3_5*TblTech[[#This Row],[3-5]] + tech_5_3*TblTech[[#This Row],[5-3]] + tech_5_5*TblTech[[#This Row],[5-5]])*spec_dp_plat,0)</f>
        <v>275</v>
      </c>
      <c r="BM110" s="97">
        <f ca="1">ROUNDUP(IF(race="Gnome",1,(1-MIN(TblMili[[#This Row],[Smithies]]*smithy_bonus,smithy_bonus_cap) + tech_3_5*TblTech[[#This Row],[3-5]] + tech_5_3*TblTech[[#This Row],[5-3]] + tech_5_5*TblTech[[#This Row],[5-5]]))*spec_dp_ore,0)</f>
        <v>15</v>
      </c>
      <c r="BN110" s="97">
        <f ca="1">ROUNDUP((1-MIN(TblMili[[#This Row],[Smithies]]*smithy_bonus,smithy_bonus_cap) + tech_3_5*TblTech[[#This Row],[3-5]] + tech_5_3*TblTech[[#This Row],[5-3]] + tech_5_5*TblTech[[#This Row],[5-5]])*elite1_plat,0)</f>
        <v>1000</v>
      </c>
      <c r="BO110" s="97">
        <f ca="1">ROUNDUP(IF(race="Gnome",1,(1-MIN(TblMili[[#This Row],[Smithies]]*smithy_bonus,smithy_bonus_cap) + tech_3_5*TblTech[[#This Row],[3-5]] + tech_5_3*TblTech[[#This Row],[5-3]] + tech_5_5*TblTech[[#This Row],[5-5]]))*elite1_ore,0)</f>
        <v>75</v>
      </c>
      <c r="BP110" s="97">
        <f ca="1">ROUNDUP((1-MIN(TblMili[[#This Row],[Smithies]]*smithy_bonus,smithy_bonus_cap) + tech_3_5*TblTech[[#This Row],[3-5]] + tech_5_3*TblTech[[#This Row],[5-3]] + tech_5_5*TblTech[[#This Row],[5-5]])*elite2_plat,0)</f>
        <v>1250</v>
      </c>
      <c r="BQ110" s="97">
        <f ca="1">ROUNDUP(IF(race="Gnome",1,(1-MIN(TblMili[[#This Row],[Smithies]]*smithy_bonus,smithy_bonus_cap) + tech_3_5*TblTech[[#This Row],[3-5]] + tech_5_3*TblTech[[#This Row],[5-3]] + tech_5_5*TblTech[[#This Row],[5-5]]))*elite2_ore,0)</f>
        <v>100</v>
      </c>
      <c r="BR110" s="97">
        <f ca="1">ROUNDUP((1-MIN(ROUND(fh_spy_cost_red*TblMili[[#This Row],[FH''s]],4),fh_spy_cost_cap)+ tech_1_9*TblTech[[#This Row],[1-9]] + tech_9_1*TblTech[[#This Row],[9-1]])*spy_plat,0)</f>
        <v>500</v>
      </c>
      <c r="BS110" s="97">
        <f ca="1">ROUNDUP((1-MIN(ROUND(fh_spy_cost_red*TblMili[[#This Row],[FH''s]],4),fh_spy_cost_cap)+ tech_1_9*TblTech[[#This Row],[1-9]] + tech_9_1*TblTech[[#This Row],[9-1]])*archspy_plat,0)</f>
        <v>1000</v>
      </c>
      <c r="BT110" s="97">
        <f ca="1">ROUNDUP((1-MIN(ROUND(wg_wiz_cost_bonus*TblMili[[#This Row],[WG''s]],4),wg_wiz_cost_cap) + tech_1_9_2*TblTech[[#This Row],[1-9]] + tech_9_1_2*TblTech[[#This Row],[9-1]])*wizard_plat,0)</f>
        <v>500</v>
      </c>
      <c r="BU110" s="97">
        <f ca="1">ROUNDUP((1-MIN(ROUND(wg_wiz_cost_bonus*TblMili[[#This Row],[WG''s]],4),wg_wiz_cost_cap) + tech_1_9_2*TblTech[[#This Row],[1-9]] + tech_9_1_2*TblTech[[#This Row],[9-1]])*archmage_plat,0)</f>
        <v>1000</v>
      </c>
      <c r="BV110" s="145"/>
      <c r="BW110" s="160">
        <f ca="1">TblConstr[[#This Row],[Homeland]]/TblConstr[[#This Row],[Land]]</f>
        <v>0.44</v>
      </c>
      <c r="BX110" s="160">
        <f ca="1">TblMili[[#This Row],[WG''s]]</f>
        <v>0</v>
      </c>
      <c r="BY110" s="266">
        <f ca="1">IF(mystic_cap="none",TblMili[[#This Row],[Hill]]/mystic_bonus,MIN(mystic_cap,TblMili[[#This Row],[Hill]]/mystic_bonus))</f>
        <v>2.1999999999999997</v>
      </c>
      <c r="BZ110" s="266">
        <f ca="1">IF(druid_op_cap="none",TblMili[[#This Row],[Hill]]/druid_op_bonus,MIN(druid_op_cap,TblMili[[#This Row],[Hill]]/druid_op_bonus))</f>
        <v>2.1999999999999997</v>
      </c>
      <c r="CA110" s="266">
        <f ca="1">IF(druid_dp_cap="none",TblMili[[#This Row],[Hill]]/druid_dp_bonus,MIN(druid_dp_cap,TblMili[[#This Row],[Hill]]/druid_dp_bonus))</f>
        <v>2.1999999999999997</v>
      </c>
      <c r="CB110" s="266">
        <f ca="1">MIN(dryad_cap,TblMili[[#This Row],[Hill]]/dryad_bonus)</f>
        <v>2.1999999999999997</v>
      </c>
      <c r="CC110" s="266">
        <f ca="1">MIN(rocka_cap,TblMili[[#This Row],[Hill]]/rocka_bonus)</f>
        <v>2</v>
      </c>
      <c r="CD110" s="266">
        <f ca="1">MIN(adept_op_cap,TblMili[[#This Row],[WG]]/adept_op_bonus)</f>
        <v>0</v>
      </c>
      <c r="CE110" s="266">
        <f ca="1">MIN(adept_dp_cap,TblMili[[#This Row],[WG]]/adept_dp_bonus)</f>
        <v>0</v>
      </c>
      <c r="CF110" s="97">
        <f ca="1">MIN(TblMili[[#This Row],[Unit 3]],TblMili[[#This Row],[Unit 2]])*2</f>
        <v>0</v>
      </c>
      <c r="CG110" s="97">
        <f ca="1">MIN(TblMili[[#This Row],[Unit 1]],TblMili[[#This Row],[Unit 4]])*2</f>
        <v>0</v>
      </c>
      <c r="CH110" s="266">
        <f ca="1">MIN(frost_mage_cap,TblMili[[#This Row],[Hill]]/frost_mage_bonus)</f>
        <v>2.1999999999999997</v>
      </c>
      <c r="CI110" s="45">
        <f ca="1">MIN(ice_elem_cap,TblMili[[#This Row],[Raw (2)]]*ice_elem_bonus)</f>
        <v>0.1</v>
      </c>
      <c r="CJ110" s="266">
        <f t="shared" si="4"/>
        <v>0.83333333333333337</v>
      </c>
      <c r="CK110" s="266">
        <f ca="1">MIN(nox_nightshade_cap,TblConstr[[#This Row],[Homeland]]/TblConstr[[#This Row],[Land]]/nox_nightshade_swamp_bonus)</f>
        <v>4</v>
      </c>
      <c r="CL110" s="267"/>
      <c r="CM110" s="267"/>
      <c r="CN110" s="267"/>
      <c r="CO110" s="266">
        <f ca="1">MIN(6,TblMili[[#This Row],[Mystic]]+Races!$F$19)*1.8 +  IF(TblMili[[#This Row],[Mystic]]+Races!$F$19&gt;6,(TblMili[[#This Row],[Mystic]]+Races!$F$19-6)*0.2,0) - Races!$I$19</f>
        <v>3.6399999999999997</v>
      </c>
      <c r="CP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0" s="97">
        <f ca="1">TblMili[[#This Row],[Mystic bonus]]*TblMili[[#This Row],[Unit 3]]+TblMili[[#This Row],[Druid bonus]]*TblMili[[#This Row],[Unit 4]]</f>
        <v>0</v>
      </c>
      <c r="CR110" s="158">
        <f ca="1">MIN(6,TblMili[[#This Row],[Dryad]]+Races!$F$35)*1.8 +  IF(TblMili[[#This Row],[Dryad]]+Races!$F$35&gt;6,(TblMili[[#This Row],[Dryad]]+Races!$F$35-6)*0.2,0) - Races!$I$19</f>
        <v>2.1599999999999993</v>
      </c>
      <c r="CS110" s="97">
        <f ca="1">sylvan*(TblMili[[#This Row],[Mystic bonus]]*TblMili[[#This Row],[Unit 3]])</f>
        <v>0</v>
      </c>
      <c r="CT110" s="158">
        <f ca="1">1.8 * MIN(MAX(Races!$E$27,TblMili[[#This Row],[Rockapult]]+Races!$F$27),6)  +  0.45 * MIN(MIN(Races!$E$27,TblMili[[#This Row],[Rockapult]]+Races!$F$27),6)  +  0.2 * ( MAX(Races!$E$27-6,0) + MAX(TblMili[[#This Row],[Rockapult]]+Races!$F$27-6,0) )  -  Races!$I$20</f>
        <v>5.8500000000000005</v>
      </c>
      <c r="CU110" s="97">
        <f ca="1">gnome*(TblMili[[#This Row],[Rockapult bonus]]*TblMili[[#This Row],[Unit 3]])</f>
        <v>0</v>
      </c>
      <c r="CV110" s="158">
        <f ca="1">1.8 * MIN(MAX(TblMili[[#This Row],[Spellblade]]+Races!$E$47,TblMili[[#This Row],[Adept-DP]]+Races!$F$47),6)  +  0.45 * MIN(MIN(TblMili[[#This Row],[Spellblade]]+Races!$E$47,TblMili[[#This Row],[Adept-DP]]+Races!$F$47),6)  +  0.2 * ( MAX(TblMili[[#This Row],[Spellblade]]+Races!$E$47-6,0) + MAX(TblMili[[#This Row],[Adept-DP]]+Races!$F$47-6,0) )  -  Races!$I$47</f>
        <v>0</v>
      </c>
      <c r="CW110" s="97">
        <f ca="1">dark_elf*(TblMili[[#This Row],[Adept bonus]]*TblMili[[#This Row],[Unit 3]])</f>
        <v>0</v>
      </c>
      <c r="CX110" s="158">
        <f ca="1">1.8 * MIN(MAX(TblMili[[#This Row],[Frost Mage]]+Races!$F$71,Races!$E$71),6)  +  0.45 * MIN(MIN(TblMili[[#This Row],[Frost Mage]]+Races!$F$71,Races!$E$71),6)  +  0.2 * ( MAX(TblMili[[#This Row],[Frost Mage]]+Races!$F$71-6,0) + MAX(Races!$E$71-6,0) )  -  Races!$I$71</f>
        <v>3.9599999999999991</v>
      </c>
      <c r="CY110" s="158">
        <f ca="1">1.8 * MIN(MAX(TblMili[[#This Row],[Ice Elemental]]+Races!$E$71,Races!$F$71),6)  +  0.45 * MIN(MIN(TblMili[[#This Row],[Ice Elemental]]+Races!$E$71,Races!$F$71),6)  +  0.2 * ( MAX(TblMili[[#This Row],[Ice Elemental]]+Races!$E$71-6,0) + MAX(Races!$F$71-6,0) )  -  Races!$I$71</f>
        <v>0.17999999999999972</v>
      </c>
      <c r="CZ110" s="97">
        <f ca="1">TblMili[[#This Row],[Frost Mage bonus]]*TblMili[[#This Row],[Unit 3]]+TblMili[[#This Row],[Ice Elemental bonus]]*TblMili[[#This Row],[Unit 4]]</f>
        <v>0</v>
      </c>
      <c r="DA110" s="268"/>
      <c r="DB110" s="146">
        <f ca="1">MIN(SUM(TblConstr[[#This Row],[Plain]:[Water]])/TblMili[[#This Row],[Land]]/favorable_terrain_bonus/100,favorable_terrain_max)</f>
        <v>0.1</v>
      </c>
      <c r="DC110" s="268"/>
      <c r="DD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0" s="145"/>
      <c r="DF110" s="269">
        <f ca="1">(TblMili[[#This Row],[Wizards]]+2*TblMili[[#This Row],[Archmages]])/TblConstr[[#This Row],[Land]]</f>
        <v>0.1</v>
      </c>
      <c r="DG110" s="269">
        <f ca="1">TblMili[[#This Row],[Raw (2)]]*(1+race_wizard_strength+IF(TblMili[[#This Row],[Hour]]&gt;72,tech_magical_weaponry_wiz*TblTech[[#This Row],[3-5]],0))</f>
        <v>0.1</v>
      </c>
    </row>
    <row r="111" spans="1:111"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45462.458333333074</v>
      </c>
      <c r="AG111" s="182"/>
      <c r="AH111" s="182"/>
      <c r="AI111" s="182"/>
      <c r="AJ111" s="182"/>
      <c r="AK111" s="182"/>
      <c r="AL111" s="182"/>
      <c r="AM111" s="182"/>
      <c r="AN111" s="182"/>
      <c r="AO111" s="449">
        <f ca="1">IF(AND(TblMagic[[#This Row],[Active DnD]]&lt;12,TblMagic[[#This Row],[Active DnD]]&gt;5),OFFSET(TblPop[[#This Row],[Draft Growth]],-1,0)/2,0)</f>
        <v>0</v>
      </c>
      <c r="AP111" s="145"/>
      <c r="AQ111" s="97">
        <f ca="1">TblProd[[#This Row],[Platinum]]</f>
        <v>707880</v>
      </c>
      <c r="AR111" s="97">
        <f ca="1">INDEX(TblProd[[#Headers],[Lumber]]:TblProd[[#This Row],[Ore]],COUNTA(TblProd[[#Headers],[Lumber]]:TblProd[[#This Row],[Lumber]]),MATCH(Military!$AQ$2,TblProd[[#Headers],[Lumber]:[Ore]],0))</f>
        <v>0</v>
      </c>
      <c r="AS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7">
        <f ca="1">TblMili[[#This Row],[Train Unit 1]]*TblMili[[#This Row],[OP Ore]]+TblMili[[#This Row],[Train Unit 2]]*TblMili[[#This Row],[DP Ore]]+TblMili[[#This Row],[Train Unit 3]]*TblMili[[#This Row],[E1 Ore]]+TblMili[[#This Row],[Train Unit 4]]*TblMili[[#This Row],[E2 Ore]]</f>
        <v>0</v>
      </c>
      <c r="AU111" s="145">
        <f>TblMili[[#This Row],[Hour]]</f>
        <v>108</v>
      </c>
      <c r="AV111" s="155">
        <f ca="1">TblMili[[#This Row],[Time]]</f>
        <v>45462.458333333074</v>
      </c>
      <c r="AW111" s="97">
        <f ca="1">TblMili[[#This Row],[Draftees]]</f>
        <v>626</v>
      </c>
      <c r="AX111" s="182"/>
      <c r="AY111" s="182"/>
      <c r="AZ111" s="182"/>
      <c r="BA111" s="182"/>
      <c r="BB111" s="182"/>
      <c r="BC111" s="182"/>
      <c r="BD111" s="182"/>
      <c r="BE111" s="182"/>
      <c r="BF111" s="182"/>
      <c r="BG111" s="145"/>
      <c r="BH111" s="160">
        <f ca="1">TblConstr[[#This Row],[Tot WG]]/TblConstr[[#This Row],[Land]]</f>
        <v>0</v>
      </c>
      <c r="BI111" s="160">
        <f ca="1">TblConstr[[#This Row],[Tot Hav]]/TblConstr[[#This Row],[Land]]</f>
        <v>0</v>
      </c>
      <c r="BJ111" s="97">
        <f ca="1">ROUNDUP((1-MIN(TblMili[[#This Row],[Smithies]]*smithy_bonus,smithy_bonus_cap) + tech_3_5*TblTech[[#This Row],[3-5]] + tech_5_3*TblTech[[#This Row],[5-3]] + tech_5_5*TblTech[[#This Row],[5-5]])*spec_op_plat,0)</f>
        <v>275</v>
      </c>
      <c r="BK111" s="97">
        <f ca="1">ROUNDUP(IF(race="Gnome",1,(1-MIN(TblMili[[#This Row],[Smithies]]*smithy_bonus,smithy_bonus_cap) + tech_3_5*TblTech[[#This Row],[3-5]] + tech_5_3*TblTech[[#This Row],[5-3]] + tech_5_5*TblTech[[#This Row],[5-5]]))*spec_op_ore,0)</f>
        <v>25</v>
      </c>
      <c r="BL111" s="97">
        <f ca="1">ROUNDUP((1-MIN(TblMili[[#This Row],[Smithies]]*smithy_bonus,smithy_bonus_cap) + tech_3_5*TblTech[[#This Row],[3-5]] + tech_5_3*TblTech[[#This Row],[5-3]] + tech_5_5*TblTech[[#This Row],[5-5]])*spec_dp_plat,0)</f>
        <v>275</v>
      </c>
      <c r="BM111" s="97">
        <f ca="1">ROUNDUP(IF(race="Gnome",1,(1-MIN(TblMili[[#This Row],[Smithies]]*smithy_bonus,smithy_bonus_cap) + tech_3_5*TblTech[[#This Row],[3-5]] + tech_5_3*TblTech[[#This Row],[5-3]] + tech_5_5*TblTech[[#This Row],[5-5]]))*spec_dp_ore,0)</f>
        <v>15</v>
      </c>
      <c r="BN111" s="97">
        <f ca="1">ROUNDUP((1-MIN(TblMili[[#This Row],[Smithies]]*smithy_bonus,smithy_bonus_cap) + tech_3_5*TblTech[[#This Row],[3-5]] + tech_5_3*TblTech[[#This Row],[5-3]] + tech_5_5*TblTech[[#This Row],[5-5]])*elite1_plat,0)</f>
        <v>1000</v>
      </c>
      <c r="BO111" s="97">
        <f ca="1">ROUNDUP(IF(race="Gnome",1,(1-MIN(TblMili[[#This Row],[Smithies]]*smithy_bonus,smithy_bonus_cap) + tech_3_5*TblTech[[#This Row],[3-5]] + tech_5_3*TblTech[[#This Row],[5-3]] + tech_5_5*TblTech[[#This Row],[5-5]]))*elite1_ore,0)</f>
        <v>75</v>
      </c>
      <c r="BP111" s="97">
        <f ca="1">ROUNDUP((1-MIN(TblMili[[#This Row],[Smithies]]*smithy_bonus,smithy_bonus_cap) + tech_3_5*TblTech[[#This Row],[3-5]] + tech_5_3*TblTech[[#This Row],[5-3]] + tech_5_5*TblTech[[#This Row],[5-5]])*elite2_plat,0)</f>
        <v>1250</v>
      </c>
      <c r="BQ111" s="97">
        <f ca="1">ROUNDUP(IF(race="Gnome",1,(1-MIN(TblMili[[#This Row],[Smithies]]*smithy_bonus,smithy_bonus_cap) + tech_3_5*TblTech[[#This Row],[3-5]] + tech_5_3*TblTech[[#This Row],[5-3]] + tech_5_5*TblTech[[#This Row],[5-5]]))*elite2_ore,0)</f>
        <v>100</v>
      </c>
      <c r="BR111" s="97">
        <f ca="1">ROUNDUP((1-MIN(ROUND(fh_spy_cost_red*TblMili[[#This Row],[FH''s]],4),fh_spy_cost_cap)+ tech_1_9*TblTech[[#This Row],[1-9]] + tech_9_1*TblTech[[#This Row],[9-1]])*spy_plat,0)</f>
        <v>500</v>
      </c>
      <c r="BS111" s="97">
        <f ca="1">ROUNDUP((1-MIN(ROUND(fh_spy_cost_red*TblMili[[#This Row],[FH''s]],4),fh_spy_cost_cap)+ tech_1_9*TblTech[[#This Row],[1-9]] + tech_9_1*TblTech[[#This Row],[9-1]])*archspy_plat,0)</f>
        <v>1000</v>
      </c>
      <c r="BT111" s="97">
        <f ca="1">ROUNDUP((1-MIN(ROUND(wg_wiz_cost_bonus*TblMili[[#This Row],[WG''s]],4),wg_wiz_cost_cap) + tech_1_9_2*TblTech[[#This Row],[1-9]] + tech_9_1_2*TblTech[[#This Row],[9-1]])*wizard_plat,0)</f>
        <v>500</v>
      </c>
      <c r="BU111" s="97">
        <f ca="1">ROUNDUP((1-MIN(ROUND(wg_wiz_cost_bonus*TblMili[[#This Row],[WG''s]],4),wg_wiz_cost_cap) + tech_1_9_2*TblTech[[#This Row],[1-9]] + tech_9_1_2*TblTech[[#This Row],[9-1]])*archmage_plat,0)</f>
        <v>1000</v>
      </c>
      <c r="BV111" s="145"/>
      <c r="BW111" s="160">
        <f ca="1">TblConstr[[#This Row],[Homeland]]/TblConstr[[#This Row],[Land]]</f>
        <v>0.44</v>
      </c>
      <c r="BX111" s="160">
        <f ca="1">TblMili[[#This Row],[WG''s]]</f>
        <v>0</v>
      </c>
      <c r="BY111" s="266">
        <f ca="1">IF(mystic_cap="none",TblMili[[#This Row],[Hill]]/mystic_bonus,MIN(mystic_cap,TblMili[[#This Row],[Hill]]/mystic_bonus))</f>
        <v>2.1999999999999997</v>
      </c>
      <c r="BZ111" s="266">
        <f ca="1">IF(druid_op_cap="none",TblMili[[#This Row],[Hill]]/druid_op_bonus,MIN(druid_op_cap,TblMili[[#This Row],[Hill]]/druid_op_bonus))</f>
        <v>2.1999999999999997</v>
      </c>
      <c r="CA111" s="266">
        <f ca="1">IF(druid_dp_cap="none",TblMili[[#This Row],[Hill]]/druid_dp_bonus,MIN(druid_dp_cap,TblMili[[#This Row],[Hill]]/druid_dp_bonus))</f>
        <v>2.1999999999999997</v>
      </c>
      <c r="CB111" s="266">
        <f ca="1">MIN(dryad_cap,TblMili[[#This Row],[Hill]]/dryad_bonus)</f>
        <v>2.1999999999999997</v>
      </c>
      <c r="CC111" s="266">
        <f ca="1">MIN(rocka_cap,TblMili[[#This Row],[Hill]]/rocka_bonus)</f>
        <v>2</v>
      </c>
      <c r="CD111" s="266">
        <f ca="1">MIN(adept_op_cap,TblMili[[#This Row],[WG]]/adept_op_bonus)</f>
        <v>0</v>
      </c>
      <c r="CE111" s="266">
        <f ca="1">MIN(adept_dp_cap,TblMili[[#This Row],[WG]]/adept_dp_bonus)</f>
        <v>0</v>
      </c>
      <c r="CF111" s="97">
        <f ca="1">MIN(TblMili[[#This Row],[Unit 3]],TblMili[[#This Row],[Unit 2]])*2</f>
        <v>0</v>
      </c>
      <c r="CG111" s="97">
        <f ca="1">MIN(TblMili[[#This Row],[Unit 1]],TblMili[[#This Row],[Unit 4]])*2</f>
        <v>0</v>
      </c>
      <c r="CH111" s="266">
        <f ca="1">MIN(frost_mage_cap,TblMili[[#This Row],[Hill]]/frost_mage_bonus)</f>
        <v>2.1999999999999997</v>
      </c>
      <c r="CI111" s="45">
        <f ca="1">MIN(ice_elem_cap,TblMili[[#This Row],[Raw (2)]]*ice_elem_bonus)</f>
        <v>0.1</v>
      </c>
      <c r="CJ111" s="266">
        <f t="shared" si="4"/>
        <v>0.83333333333333337</v>
      </c>
      <c r="CK111" s="266">
        <f ca="1">MIN(nox_nightshade_cap,TblConstr[[#This Row],[Homeland]]/TblConstr[[#This Row],[Land]]/nox_nightshade_swamp_bonus)</f>
        <v>4</v>
      </c>
      <c r="CL111" s="267"/>
      <c r="CM111" s="267"/>
      <c r="CN111" s="267"/>
      <c r="CO111" s="266">
        <f ca="1">MIN(6,TblMili[[#This Row],[Mystic]]+Races!$F$19)*1.8 +  IF(TblMili[[#This Row],[Mystic]]+Races!$F$19&gt;6,(TblMili[[#This Row],[Mystic]]+Races!$F$19-6)*0.2,0) - Races!$I$19</f>
        <v>3.6399999999999997</v>
      </c>
      <c r="CP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1" s="97">
        <f ca="1">TblMili[[#This Row],[Mystic bonus]]*TblMili[[#This Row],[Unit 3]]+TblMili[[#This Row],[Druid bonus]]*TblMili[[#This Row],[Unit 4]]</f>
        <v>0</v>
      </c>
      <c r="CR111" s="158">
        <f ca="1">MIN(6,TblMili[[#This Row],[Dryad]]+Races!$F$35)*1.8 +  IF(TblMili[[#This Row],[Dryad]]+Races!$F$35&gt;6,(TblMili[[#This Row],[Dryad]]+Races!$F$35-6)*0.2,0) - Races!$I$19</f>
        <v>2.1599999999999993</v>
      </c>
      <c r="CS111" s="97">
        <f ca="1">sylvan*(TblMili[[#This Row],[Mystic bonus]]*TblMili[[#This Row],[Unit 3]])</f>
        <v>0</v>
      </c>
      <c r="CT111" s="158">
        <f ca="1">1.8 * MIN(MAX(Races!$E$27,TblMili[[#This Row],[Rockapult]]+Races!$F$27),6)  +  0.45 * MIN(MIN(Races!$E$27,TblMili[[#This Row],[Rockapult]]+Races!$F$27),6)  +  0.2 * ( MAX(Races!$E$27-6,0) + MAX(TblMili[[#This Row],[Rockapult]]+Races!$F$27-6,0) )  -  Races!$I$20</f>
        <v>5.8500000000000005</v>
      </c>
      <c r="CU111" s="97">
        <f ca="1">gnome*(TblMili[[#This Row],[Rockapult bonus]]*TblMili[[#This Row],[Unit 3]])</f>
        <v>0</v>
      </c>
      <c r="CV111" s="158">
        <f ca="1">1.8 * MIN(MAX(TblMili[[#This Row],[Spellblade]]+Races!$E$47,TblMili[[#This Row],[Adept-DP]]+Races!$F$47),6)  +  0.45 * MIN(MIN(TblMili[[#This Row],[Spellblade]]+Races!$E$47,TblMili[[#This Row],[Adept-DP]]+Races!$F$47),6)  +  0.2 * ( MAX(TblMili[[#This Row],[Spellblade]]+Races!$E$47-6,0) + MAX(TblMili[[#This Row],[Adept-DP]]+Races!$F$47-6,0) )  -  Races!$I$47</f>
        <v>0</v>
      </c>
      <c r="CW111" s="97">
        <f ca="1">dark_elf*(TblMili[[#This Row],[Adept bonus]]*TblMili[[#This Row],[Unit 3]])</f>
        <v>0</v>
      </c>
      <c r="CX111" s="158">
        <f ca="1">1.8 * MIN(MAX(TblMili[[#This Row],[Frost Mage]]+Races!$F$71,Races!$E$71),6)  +  0.45 * MIN(MIN(TblMili[[#This Row],[Frost Mage]]+Races!$F$71,Races!$E$71),6)  +  0.2 * ( MAX(TblMili[[#This Row],[Frost Mage]]+Races!$F$71-6,0) + MAX(Races!$E$71-6,0) )  -  Races!$I$71</f>
        <v>3.9599999999999991</v>
      </c>
      <c r="CY111" s="158">
        <f ca="1">1.8 * MIN(MAX(TblMili[[#This Row],[Ice Elemental]]+Races!$E$71,Races!$F$71),6)  +  0.45 * MIN(MIN(TblMili[[#This Row],[Ice Elemental]]+Races!$E$71,Races!$F$71),6)  +  0.2 * ( MAX(TblMili[[#This Row],[Ice Elemental]]+Races!$E$71-6,0) + MAX(Races!$F$71-6,0) )  -  Races!$I$71</f>
        <v>0.17999999999999972</v>
      </c>
      <c r="CZ111" s="97">
        <f ca="1">TblMili[[#This Row],[Frost Mage bonus]]*TblMili[[#This Row],[Unit 3]]+TblMili[[#This Row],[Ice Elemental bonus]]*TblMili[[#This Row],[Unit 4]]</f>
        <v>0</v>
      </c>
      <c r="DA111" s="268"/>
      <c r="DB111" s="146">
        <f ca="1">MIN(SUM(TblConstr[[#This Row],[Plain]:[Water]])/TblMili[[#This Row],[Land]]/favorable_terrain_bonus/100,favorable_terrain_max)</f>
        <v>0.1</v>
      </c>
      <c r="DC111" s="268"/>
      <c r="DD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1" s="145"/>
      <c r="DF111" s="269">
        <f ca="1">(TblMili[[#This Row],[Wizards]]+2*TblMili[[#This Row],[Archmages]])/TblConstr[[#This Row],[Land]]</f>
        <v>0.1</v>
      </c>
      <c r="DG111" s="269">
        <f ca="1">TblMili[[#This Row],[Raw (2)]]*(1+race_wizard_strength+IF(TblMili[[#This Row],[Hour]]&gt;72,tech_magical_weaponry_wiz*TblTech[[#This Row],[3-5]],0))</f>
        <v>0.1</v>
      </c>
    </row>
    <row r="112" spans="1:111"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45462.499999999738</v>
      </c>
      <c r="AG112" s="182"/>
      <c r="AH112" s="182"/>
      <c r="AI112" s="182"/>
      <c r="AJ112" s="182"/>
      <c r="AK112" s="182"/>
      <c r="AL112" s="182"/>
      <c r="AM112" s="182"/>
      <c r="AN112" s="182"/>
      <c r="AO112" s="449">
        <f ca="1">IF(AND(TblMagic[[#This Row],[Active DnD]]&lt;12,TblMagic[[#This Row],[Active DnD]]&gt;5),OFFSET(TblPop[[#This Row],[Draft Growth]],-1,0)/2,0)</f>
        <v>0</v>
      </c>
      <c r="AP112" s="145"/>
      <c r="AQ112" s="97">
        <f ca="1">TblProd[[#This Row],[Platinum]]</f>
        <v>713366</v>
      </c>
      <c r="AR112" s="97">
        <f ca="1">INDEX(TblProd[[#Headers],[Lumber]]:TblProd[[#This Row],[Ore]],COUNTA(TblProd[[#Headers],[Lumber]]:TblProd[[#This Row],[Lumber]]),MATCH(Military!$AQ$2,TblProd[[#Headers],[Lumber]:[Ore]],0))</f>
        <v>0</v>
      </c>
      <c r="AS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7">
        <f ca="1">TblMili[[#This Row],[Train Unit 1]]*TblMili[[#This Row],[OP Ore]]+TblMili[[#This Row],[Train Unit 2]]*TblMili[[#This Row],[DP Ore]]+TblMili[[#This Row],[Train Unit 3]]*TblMili[[#This Row],[E1 Ore]]+TblMili[[#This Row],[Train Unit 4]]*TblMili[[#This Row],[E2 Ore]]</f>
        <v>0</v>
      </c>
      <c r="AU112" s="145">
        <f>TblMili[[#This Row],[Hour]]</f>
        <v>109</v>
      </c>
      <c r="AV112" s="155">
        <f ca="1">TblMili[[#This Row],[Time]]</f>
        <v>45462.499999999738</v>
      </c>
      <c r="AW112" s="97">
        <f ca="1">TblMili[[#This Row],[Draftees]]</f>
        <v>626</v>
      </c>
      <c r="AX112" s="182"/>
      <c r="AY112" s="182"/>
      <c r="AZ112" s="182"/>
      <c r="BA112" s="182"/>
      <c r="BB112" s="182"/>
      <c r="BC112" s="182"/>
      <c r="BD112" s="182"/>
      <c r="BE112" s="182"/>
      <c r="BF112" s="182"/>
      <c r="BG112" s="145"/>
      <c r="BH112" s="160">
        <f ca="1">TblConstr[[#This Row],[Tot WG]]/TblConstr[[#This Row],[Land]]</f>
        <v>0</v>
      </c>
      <c r="BI112" s="160">
        <f ca="1">TblConstr[[#This Row],[Tot Hav]]/TblConstr[[#This Row],[Land]]</f>
        <v>0</v>
      </c>
      <c r="BJ112" s="97">
        <f ca="1">ROUNDUP((1-MIN(TblMili[[#This Row],[Smithies]]*smithy_bonus,smithy_bonus_cap) + tech_3_5*TblTech[[#This Row],[3-5]] + tech_5_3*TblTech[[#This Row],[5-3]] + tech_5_5*TblTech[[#This Row],[5-5]])*spec_op_plat,0)</f>
        <v>275</v>
      </c>
      <c r="BK112" s="97">
        <f ca="1">ROUNDUP(IF(race="Gnome",1,(1-MIN(TblMili[[#This Row],[Smithies]]*smithy_bonus,smithy_bonus_cap) + tech_3_5*TblTech[[#This Row],[3-5]] + tech_5_3*TblTech[[#This Row],[5-3]] + tech_5_5*TblTech[[#This Row],[5-5]]))*spec_op_ore,0)</f>
        <v>25</v>
      </c>
      <c r="BL112" s="97">
        <f ca="1">ROUNDUP((1-MIN(TblMili[[#This Row],[Smithies]]*smithy_bonus,smithy_bonus_cap) + tech_3_5*TblTech[[#This Row],[3-5]] + tech_5_3*TblTech[[#This Row],[5-3]] + tech_5_5*TblTech[[#This Row],[5-5]])*spec_dp_plat,0)</f>
        <v>275</v>
      </c>
      <c r="BM112" s="97">
        <f ca="1">ROUNDUP(IF(race="Gnome",1,(1-MIN(TblMili[[#This Row],[Smithies]]*smithy_bonus,smithy_bonus_cap) + tech_3_5*TblTech[[#This Row],[3-5]] + tech_5_3*TblTech[[#This Row],[5-3]] + tech_5_5*TblTech[[#This Row],[5-5]]))*spec_dp_ore,0)</f>
        <v>15</v>
      </c>
      <c r="BN112" s="97">
        <f ca="1">ROUNDUP((1-MIN(TblMili[[#This Row],[Smithies]]*smithy_bonus,smithy_bonus_cap) + tech_3_5*TblTech[[#This Row],[3-5]] + tech_5_3*TblTech[[#This Row],[5-3]] + tech_5_5*TblTech[[#This Row],[5-5]])*elite1_plat,0)</f>
        <v>1000</v>
      </c>
      <c r="BO112" s="97">
        <f ca="1">ROUNDUP(IF(race="Gnome",1,(1-MIN(TblMili[[#This Row],[Smithies]]*smithy_bonus,smithy_bonus_cap) + tech_3_5*TblTech[[#This Row],[3-5]] + tech_5_3*TblTech[[#This Row],[5-3]] + tech_5_5*TblTech[[#This Row],[5-5]]))*elite1_ore,0)</f>
        <v>75</v>
      </c>
      <c r="BP112" s="97">
        <f ca="1">ROUNDUP((1-MIN(TblMili[[#This Row],[Smithies]]*smithy_bonus,smithy_bonus_cap) + tech_3_5*TblTech[[#This Row],[3-5]] + tech_5_3*TblTech[[#This Row],[5-3]] + tech_5_5*TblTech[[#This Row],[5-5]])*elite2_plat,0)</f>
        <v>1250</v>
      </c>
      <c r="BQ112" s="97">
        <f ca="1">ROUNDUP(IF(race="Gnome",1,(1-MIN(TblMili[[#This Row],[Smithies]]*smithy_bonus,smithy_bonus_cap) + tech_3_5*TblTech[[#This Row],[3-5]] + tech_5_3*TblTech[[#This Row],[5-3]] + tech_5_5*TblTech[[#This Row],[5-5]]))*elite2_ore,0)</f>
        <v>100</v>
      </c>
      <c r="BR112" s="97">
        <f ca="1">ROUNDUP((1-MIN(ROUND(fh_spy_cost_red*TblMili[[#This Row],[FH''s]],4),fh_spy_cost_cap)+ tech_1_9*TblTech[[#This Row],[1-9]] + tech_9_1*TblTech[[#This Row],[9-1]])*spy_plat,0)</f>
        <v>500</v>
      </c>
      <c r="BS112" s="97">
        <f ca="1">ROUNDUP((1-MIN(ROUND(fh_spy_cost_red*TblMili[[#This Row],[FH''s]],4),fh_spy_cost_cap)+ tech_1_9*TblTech[[#This Row],[1-9]] + tech_9_1*TblTech[[#This Row],[9-1]])*archspy_plat,0)</f>
        <v>1000</v>
      </c>
      <c r="BT112" s="97">
        <f ca="1">ROUNDUP((1-MIN(ROUND(wg_wiz_cost_bonus*TblMili[[#This Row],[WG''s]],4),wg_wiz_cost_cap) + tech_1_9_2*TblTech[[#This Row],[1-9]] + tech_9_1_2*TblTech[[#This Row],[9-1]])*wizard_plat,0)</f>
        <v>500</v>
      </c>
      <c r="BU112" s="97">
        <f ca="1">ROUNDUP((1-MIN(ROUND(wg_wiz_cost_bonus*TblMili[[#This Row],[WG''s]],4),wg_wiz_cost_cap) + tech_1_9_2*TblTech[[#This Row],[1-9]] + tech_9_1_2*TblTech[[#This Row],[9-1]])*archmage_plat,0)</f>
        <v>1000</v>
      </c>
      <c r="BV112" s="145"/>
      <c r="BW112" s="160">
        <f ca="1">TblConstr[[#This Row],[Homeland]]/TblConstr[[#This Row],[Land]]</f>
        <v>0.44</v>
      </c>
      <c r="BX112" s="160">
        <f ca="1">TblMili[[#This Row],[WG''s]]</f>
        <v>0</v>
      </c>
      <c r="BY112" s="266">
        <f ca="1">IF(mystic_cap="none",TblMili[[#This Row],[Hill]]/mystic_bonus,MIN(mystic_cap,TblMili[[#This Row],[Hill]]/mystic_bonus))</f>
        <v>2.1999999999999997</v>
      </c>
      <c r="BZ112" s="266">
        <f ca="1">IF(druid_op_cap="none",TblMili[[#This Row],[Hill]]/druid_op_bonus,MIN(druid_op_cap,TblMili[[#This Row],[Hill]]/druid_op_bonus))</f>
        <v>2.1999999999999997</v>
      </c>
      <c r="CA112" s="266">
        <f ca="1">IF(druid_dp_cap="none",TblMili[[#This Row],[Hill]]/druid_dp_bonus,MIN(druid_dp_cap,TblMili[[#This Row],[Hill]]/druid_dp_bonus))</f>
        <v>2.1999999999999997</v>
      </c>
      <c r="CB112" s="266">
        <f ca="1">MIN(dryad_cap,TblMili[[#This Row],[Hill]]/dryad_bonus)</f>
        <v>2.1999999999999997</v>
      </c>
      <c r="CC112" s="266">
        <f ca="1">MIN(rocka_cap,TblMili[[#This Row],[Hill]]/rocka_bonus)</f>
        <v>2</v>
      </c>
      <c r="CD112" s="266">
        <f ca="1">MIN(adept_op_cap,TblMili[[#This Row],[WG]]/adept_op_bonus)</f>
        <v>0</v>
      </c>
      <c r="CE112" s="266">
        <f ca="1">MIN(adept_dp_cap,TblMili[[#This Row],[WG]]/adept_dp_bonus)</f>
        <v>0</v>
      </c>
      <c r="CF112" s="97">
        <f ca="1">MIN(TblMili[[#This Row],[Unit 3]],TblMili[[#This Row],[Unit 2]])*2</f>
        <v>0</v>
      </c>
      <c r="CG112" s="97">
        <f ca="1">MIN(TblMili[[#This Row],[Unit 1]],TblMili[[#This Row],[Unit 4]])*2</f>
        <v>0</v>
      </c>
      <c r="CH112" s="266">
        <f ca="1">MIN(frost_mage_cap,TblMili[[#This Row],[Hill]]/frost_mage_bonus)</f>
        <v>2.1999999999999997</v>
      </c>
      <c r="CI112" s="45">
        <f ca="1">MIN(ice_elem_cap,TblMili[[#This Row],[Raw (2)]]*ice_elem_bonus)</f>
        <v>0.1</v>
      </c>
      <c r="CJ112" s="266">
        <f t="shared" si="4"/>
        <v>0.83333333333333337</v>
      </c>
      <c r="CK112" s="266">
        <f ca="1">MIN(nox_nightshade_cap,TblConstr[[#This Row],[Homeland]]/TblConstr[[#This Row],[Land]]/nox_nightshade_swamp_bonus)</f>
        <v>4</v>
      </c>
      <c r="CL112" s="267"/>
      <c r="CM112" s="267"/>
      <c r="CN112" s="267"/>
      <c r="CO112" s="266">
        <f ca="1">MIN(6,TblMili[[#This Row],[Mystic]]+Races!$F$19)*1.8 +  IF(TblMili[[#This Row],[Mystic]]+Races!$F$19&gt;6,(TblMili[[#This Row],[Mystic]]+Races!$F$19-6)*0.2,0) - Races!$I$19</f>
        <v>3.6399999999999997</v>
      </c>
      <c r="CP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2" s="97">
        <f ca="1">TblMili[[#This Row],[Mystic bonus]]*TblMili[[#This Row],[Unit 3]]+TblMili[[#This Row],[Druid bonus]]*TblMili[[#This Row],[Unit 4]]</f>
        <v>0</v>
      </c>
      <c r="CR112" s="158">
        <f ca="1">MIN(6,TblMili[[#This Row],[Dryad]]+Races!$F$35)*1.8 +  IF(TblMili[[#This Row],[Dryad]]+Races!$F$35&gt;6,(TblMili[[#This Row],[Dryad]]+Races!$F$35-6)*0.2,0) - Races!$I$19</f>
        <v>2.1599999999999993</v>
      </c>
      <c r="CS112" s="97">
        <f ca="1">sylvan*(TblMili[[#This Row],[Mystic bonus]]*TblMili[[#This Row],[Unit 3]])</f>
        <v>0</v>
      </c>
      <c r="CT112" s="158">
        <f ca="1">1.8 * MIN(MAX(Races!$E$27,TblMili[[#This Row],[Rockapult]]+Races!$F$27),6)  +  0.45 * MIN(MIN(Races!$E$27,TblMili[[#This Row],[Rockapult]]+Races!$F$27),6)  +  0.2 * ( MAX(Races!$E$27-6,0) + MAX(TblMili[[#This Row],[Rockapult]]+Races!$F$27-6,0) )  -  Races!$I$20</f>
        <v>5.8500000000000005</v>
      </c>
      <c r="CU112" s="97">
        <f ca="1">gnome*(TblMili[[#This Row],[Rockapult bonus]]*TblMili[[#This Row],[Unit 3]])</f>
        <v>0</v>
      </c>
      <c r="CV112" s="158">
        <f ca="1">1.8 * MIN(MAX(TblMili[[#This Row],[Spellblade]]+Races!$E$47,TblMili[[#This Row],[Adept-DP]]+Races!$F$47),6)  +  0.45 * MIN(MIN(TblMili[[#This Row],[Spellblade]]+Races!$E$47,TblMili[[#This Row],[Adept-DP]]+Races!$F$47),6)  +  0.2 * ( MAX(TblMili[[#This Row],[Spellblade]]+Races!$E$47-6,0) + MAX(TblMili[[#This Row],[Adept-DP]]+Races!$F$47-6,0) )  -  Races!$I$47</f>
        <v>0</v>
      </c>
      <c r="CW112" s="97">
        <f ca="1">dark_elf*(TblMili[[#This Row],[Adept bonus]]*TblMili[[#This Row],[Unit 3]])</f>
        <v>0</v>
      </c>
      <c r="CX112" s="158">
        <f ca="1">1.8 * MIN(MAX(TblMili[[#This Row],[Frost Mage]]+Races!$F$71,Races!$E$71),6)  +  0.45 * MIN(MIN(TblMili[[#This Row],[Frost Mage]]+Races!$F$71,Races!$E$71),6)  +  0.2 * ( MAX(TblMili[[#This Row],[Frost Mage]]+Races!$F$71-6,0) + MAX(Races!$E$71-6,0) )  -  Races!$I$71</f>
        <v>3.9599999999999991</v>
      </c>
      <c r="CY112" s="158">
        <f ca="1">1.8 * MIN(MAX(TblMili[[#This Row],[Ice Elemental]]+Races!$E$71,Races!$F$71),6)  +  0.45 * MIN(MIN(TblMili[[#This Row],[Ice Elemental]]+Races!$E$71,Races!$F$71),6)  +  0.2 * ( MAX(TblMili[[#This Row],[Ice Elemental]]+Races!$E$71-6,0) + MAX(Races!$F$71-6,0) )  -  Races!$I$71</f>
        <v>0.17999999999999972</v>
      </c>
      <c r="CZ112" s="97">
        <f ca="1">TblMili[[#This Row],[Frost Mage bonus]]*TblMili[[#This Row],[Unit 3]]+TblMili[[#This Row],[Ice Elemental bonus]]*TblMili[[#This Row],[Unit 4]]</f>
        <v>0</v>
      </c>
      <c r="DA112" s="268"/>
      <c r="DB112" s="146">
        <f ca="1">MIN(SUM(TblConstr[[#This Row],[Plain]:[Water]])/TblMili[[#This Row],[Land]]/favorable_terrain_bonus/100,favorable_terrain_max)</f>
        <v>0.1</v>
      </c>
      <c r="DC112" s="268"/>
      <c r="DD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2" s="145"/>
      <c r="DF112" s="269">
        <f ca="1">(TblMili[[#This Row],[Wizards]]+2*TblMili[[#This Row],[Archmages]])/TblConstr[[#This Row],[Land]]</f>
        <v>0.1</v>
      </c>
      <c r="DG112" s="269">
        <f ca="1">TblMili[[#This Row],[Raw (2)]]*(1+race_wizard_strength+IF(TblMili[[#This Row],[Hour]]&gt;72,tech_magical_weaponry_wiz*TblTech[[#This Row],[3-5]],0))</f>
        <v>0.1</v>
      </c>
    </row>
    <row r="113" spans="1:111"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45462.541666666402</v>
      </c>
      <c r="AG113" s="182"/>
      <c r="AH113" s="182"/>
      <c r="AI113" s="182"/>
      <c r="AJ113" s="182"/>
      <c r="AK113" s="182"/>
      <c r="AL113" s="182"/>
      <c r="AM113" s="182"/>
      <c r="AN113" s="182"/>
      <c r="AO113" s="449">
        <f ca="1">IF(AND(TblMagic[[#This Row],[Active DnD]]&lt;12,TblMagic[[#This Row],[Active DnD]]&gt;5),OFFSET(TblPop[[#This Row],[Draft Growth]],-1,0)/2,0)</f>
        <v>0</v>
      </c>
      <c r="AP113" s="145"/>
      <c r="AQ113" s="97">
        <f ca="1">TblProd[[#This Row],[Platinum]]</f>
        <v>718852</v>
      </c>
      <c r="AR113" s="97">
        <f ca="1">INDEX(TblProd[[#Headers],[Lumber]]:TblProd[[#This Row],[Ore]],COUNTA(TblProd[[#Headers],[Lumber]]:TblProd[[#This Row],[Lumber]]),MATCH(Military!$AQ$2,TblProd[[#Headers],[Lumber]:[Ore]],0))</f>
        <v>0</v>
      </c>
      <c r="AS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7">
        <f ca="1">TblMili[[#This Row],[Train Unit 1]]*TblMili[[#This Row],[OP Ore]]+TblMili[[#This Row],[Train Unit 2]]*TblMili[[#This Row],[DP Ore]]+TblMili[[#This Row],[Train Unit 3]]*TblMili[[#This Row],[E1 Ore]]+TblMili[[#This Row],[Train Unit 4]]*TblMili[[#This Row],[E2 Ore]]</f>
        <v>0</v>
      </c>
      <c r="AU113" s="145">
        <f>TblMili[[#This Row],[Hour]]</f>
        <v>110</v>
      </c>
      <c r="AV113" s="155">
        <f ca="1">TblMili[[#This Row],[Time]]</f>
        <v>45462.541666666402</v>
      </c>
      <c r="AW113" s="97">
        <f ca="1">TblMili[[#This Row],[Draftees]]</f>
        <v>626</v>
      </c>
      <c r="AX113" s="182"/>
      <c r="AY113" s="182"/>
      <c r="AZ113" s="182"/>
      <c r="BA113" s="182"/>
      <c r="BB113" s="182"/>
      <c r="BC113" s="182"/>
      <c r="BD113" s="182"/>
      <c r="BE113" s="182"/>
      <c r="BF113" s="182"/>
      <c r="BG113" s="145"/>
      <c r="BH113" s="160">
        <f ca="1">TblConstr[[#This Row],[Tot WG]]/TblConstr[[#This Row],[Land]]</f>
        <v>0</v>
      </c>
      <c r="BI113" s="160">
        <f ca="1">TblConstr[[#This Row],[Tot Hav]]/TblConstr[[#This Row],[Land]]</f>
        <v>0</v>
      </c>
      <c r="BJ113" s="97">
        <f ca="1">ROUNDUP((1-MIN(TblMili[[#This Row],[Smithies]]*smithy_bonus,smithy_bonus_cap) + tech_3_5*TblTech[[#This Row],[3-5]] + tech_5_3*TblTech[[#This Row],[5-3]] + tech_5_5*TblTech[[#This Row],[5-5]])*spec_op_plat,0)</f>
        <v>275</v>
      </c>
      <c r="BK113" s="97">
        <f ca="1">ROUNDUP(IF(race="Gnome",1,(1-MIN(TblMili[[#This Row],[Smithies]]*smithy_bonus,smithy_bonus_cap) + tech_3_5*TblTech[[#This Row],[3-5]] + tech_5_3*TblTech[[#This Row],[5-3]] + tech_5_5*TblTech[[#This Row],[5-5]]))*spec_op_ore,0)</f>
        <v>25</v>
      </c>
      <c r="BL113" s="97">
        <f ca="1">ROUNDUP((1-MIN(TblMili[[#This Row],[Smithies]]*smithy_bonus,smithy_bonus_cap) + tech_3_5*TblTech[[#This Row],[3-5]] + tech_5_3*TblTech[[#This Row],[5-3]] + tech_5_5*TblTech[[#This Row],[5-5]])*spec_dp_plat,0)</f>
        <v>275</v>
      </c>
      <c r="BM113" s="97">
        <f ca="1">ROUNDUP(IF(race="Gnome",1,(1-MIN(TblMili[[#This Row],[Smithies]]*smithy_bonus,smithy_bonus_cap) + tech_3_5*TblTech[[#This Row],[3-5]] + tech_5_3*TblTech[[#This Row],[5-3]] + tech_5_5*TblTech[[#This Row],[5-5]]))*spec_dp_ore,0)</f>
        <v>15</v>
      </c>
      <c r="BN113" s="97">
        <f ca="1">ROUNDUP((1-MIN(TblMili[[#This Row],[Smithies]]*smithy_bonus,smithy_bonus_cap) + tech_3_5*TblTech[[#This Row],[3-5]] + tech_5_3*TblTech[[#This Row],[5-3]] + tech_5_5*TblTech[[#This Row],[5-5]])*elite1_plat,0)</f>
        <v>1000</v>
      </c>
      <c r="BO113" s="97">
        <f ca="1">ROUNDUP(IF(race="Gnome",1,(1-MIN(TblMili[[#This Row],[Smithies]]*smithy_bonus,smithy_bonus_cap) + tech_3_5*TblTech[[#This Row],[3-5]] + tech_5_3*TblTech[[#This Row],[5-3]] + tech_5_5*TblTech[[#This Row],[5-5]]))*elite1_ore,0)</f>
        <v>75</v>
      </c>
      <c r="BP113" s="97">
        <f ca="1">ROUNDUP((1-MIN(TblMili[[#This Row],[Smithies]]*smithy_bonus,smithy_bonus_cap) + tech_3_5*TblTech[[#This Row],[3-5]] + tech_5_3*TblTech[[#This Row],[5-3]] + tech_5_5*TblTech[[#This Row],[5-5]])*elite2_plat,0)</f>
        <v>1250</v>
      </c>
      <c r="BQ113" s="97">
        <f ca="1">ROUNDUP(IF(race="Gnome",1,(1-MIN(TblMili[[#This Row],[Smithies]]*smithy_bonus,smithy_bonus_cap) + tech_3_5*TblTech[[#This Row],[3-5]] + tech_5_3*TblTech[[#This Row],[5-3]] + tech_5_5*TblTech[[#This Row],[5-5]]))*elite2_ore,0)</f>
        <v>100</v>
      </c>
      <c r="BR113" s="97">
        <f ca="1">ROUNDUP((1-MIN(ROUND(fh_spy_cost_red*TblMili[[#This Row],[FH''s]],4),fh_spy_cost_cap)+ tech_1_9*TblTech[[#This Row],[1-9]] + tech_9_1*TblTech[[#This Row],[9-1]])*spy_plat,0)</f>
        <v>500</v>
      </c>
      <c r="BS113" s="97">
        <f ca="1">ROUNDUP((1-MIN(ROUND(fh_spy_cost_red*TblMili[[#This Row],[FH''s]],4),fh_spy_cost_cap)+ tech_1_9*TblTech[[#This Row],[1-9]] + tech_9_1*TblTech[[#This Row],[9-1]])*archspy_plat,0)</f>
        <v>1000</v>
      </c>
      <c r="BT113" s="97">
        <f ca="1">ROUNDUP((1-MIN(ROUND(wg_wiz_cost_bonus*TblMili[[#This Row],[WG''s]],4),wg_wiz_cost_cap) + tech_1_9_2*TblTech[[#This Row],[1-9]] + tech_9_1_2*TblTech[[#This Row],[9-1]])*wizard_plat,0)</f>
        <v>500</v>
      </c>
      <c r="BU113" s="97">
        <f ca="1">ROUNDUP((1-MIN(ROUND(wg_wiz_cost_bonus*TblMili[[#This Row],[WG''s]],4),wg_wiz_cost_cap) + tech_1_9_2*TblTech[[#This Row],[1-9]] + tech_9_1_2*TblTech[[#This Row],[9-1]])*archmage_plat,0)</f>
        <v>1000</v>
      </c>
      <c r="BV113" s="145"/>
      <c r="BW113" s="160">
        <f ca="1">TblConstr[[#This Row],[Homeland]]/TblConstr[[#This Row],[Land]]</f>
        <v>0.44</v>
      </c>
      <c r="BX113" s="160">
        <f ca="1">TblMili[[#This Row],[WG''s]]</f>
        <v>0</v>
      </c>
      <c r="BY113" s="266">
        <f ca="1">IF(mystic_cap="none",TblMili[[#This Row],[Hill]]/mystic_bonus,MIN(mystic_cap,TblMili[[#This Row],[Hill]]/mystic_bonus))</f>
        <v>2.1999999999999997</v>
      </c>
      <c r="BZ113" s="266">
        <f ca="1">IF(druid_op_cap="none",TblMili[[#This Row],[Hill]]/druid_op_bonus,MIN(druid_op_cap,TblMili[[#This Row],[Hill]]/druid_op_bonus))</f>
        <v>2.1999999999999997</v>
      </c>
      <c r="CA113" s="266">
        <f ca="1">IF(druid_dp_cap="none",TblMili[[#This Row],[Hill]]/druid_dp_bonus,MIN(druid_dp_cap,TblMili[[#This Row],[Hill]]/druid_dp_bonus))</f>
        <v>2.1999999999999997</v>
      </c>
      <c r="CB113" s="266">
        <f ca="1">MIN(dryad_cap,TblMili[[#This Row],[Hill]]/dryad_bonus)</f>
        <v>2.1999999999999997</v>
      </c>
      <c r="CC113" s="266">
        <f ca="1">MIN(rocka_cap,TblMili[[#This Row],[Hill]]/rocka_bonus)</f>
        <v>2</v>
      </c>
      <c r="CD113" s="266">
        <f ca="1">MIN(adept_op_cap,TblMili[[#This Row],[WG]]/adept_op_bonus)</f>
        <v>0</v>
      </c>
      <c r="CE113" s="266">
        <f ca="1">MIN(adept_dp_cap,TblMili[[#This Row],[WG]]/adept_dp_bonus)</f>
        <v>0</v>
      </c>
      <c r="CF113" s="97">
        <f ca="1">MIN(TblMili[[#This Row],[Unit 3]],TblMili[[#This Row],[Unit 2]])*2</f>
        <v>0</v>
      </c>
      <c r="CG113" s="97">
        <f ca="1">MIN(TblMili[[#This Row],[Unit 1]],TblMili[[#This Row],[Unit 4]])*2</f>
        <v>0</v>
      </c>
      <c r="CH113" s="266">
        <f ca="1">MIN(frost_mage_cap,TblMili[[#This Row],[Hill]]/frost_mage_bonus)</f>
        <v>2.1999999999999997</v>
      </c>
      <c r="CI113" s="45">
        <f ca="1">MIN(ice_elem_cap,TblMili[[#This Row],[Raw (2)]]*ice_elem_bonus)</f>
        <v>0.1</v>
      </c>
      <c r="CJ113" s="266">
        <f t="shared" si="4"/>
        <v>0.83333333333333337</v>
      </c>
      <c r="CK113" s="266">
        <f ca="1">MIN(nox_nightshade_cap,TblConstr[[#This Row],[Homeland]]/TblConstr[[#This Row],[Land]]/nox_nightshade_swamp_bonus)</f>
        <v>4</v>
      </c>
      <c r="CL113" s="267"/>
      <c r="CM113" s="267"/>
      <c r="CN113" s="267"/>
      <c r="CO113" s="266">
        <f ca="1">MIN(6,TblMili[[#This Row],[Mystic]]+Races!$F$19)*1.8 +  IF(TblMili[[#This Row],[Mystic]]+Races!$F$19&gt;6,(TblMili[[#This Row],[Mystic]]+Races!$F$19-6)*0.2,0) - Races!$I$19</f>
        <v>3.6399999999999997</v>
      </c>
      <c r="CP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3" s="97">
        <f ca="1">TblMili[[#This Row],[Mystic bonus]]*TblMili[[#This Row],[Unit 3]]+TblMili[[#This Row],[Druid bonus]]*TblMili[[#This Row],[Unit 4]]</f>
        <v>0</v>
      </c>
      <c r="CR113" s="158">
        <f ca="1">MIN(6,TblMili[[#This Row],[Dryad]]+Races!$F$35)*1.8 +  IF(TblMili[[#This Row],[Dryad]]+Races!$F$35&gt;6,(TblMili[[#This Row],[Dryad]]+Races!$F$35-6)*0.2,0) - Races!$I$19</f>
        <v>2.1599999999999993</v>
      </c>
      <c r="CS113" s="97">
        <f ca="1">sylvan*(TblMili[[#This Row],[Mystic bonus]]*TblMili[[#This Row],[Unit 3]])</f>
        <v>0</v>
      </c>
      <c r="CT113" s="158">
        <f ca="1">1.8 * MIN(MAX(Races!$E$27,TblMili[[#This Row],[Rockapult]]+Races!$F$27),6)  +  0.45 * MIN(MIN(Races!$E$27,TblMili[[#This Row],[Rockapult]]+Races!$F$27),6)  +  0.2 * ( MAX(Races!$E$27-6,0) + MAX(TblMili[[#This Row],[Rockapult]]+Races!$F$27-6,0) )  -  Races!$I$20</f>
        <v>5.8500000000000005</v>
      </c>
      <c r="CU113" s="97">
        <f ca="1">gnome*(TblMili[[#This Row],[Rockapult bonus]]*TblMili[[#This Row],[Unit 3]])</f>
        <v>0</v>
      </c>
      <c r="CV113" s="158">
        <f ca="1">1.8 * MIN(MAX(TblMili[[#This Row],[Spellblade]]+Races!$E$47,TblMili[[#This Row],[Adept-DP]]+Races!$F$47),6)  +  0.45 * MIN(MIN(TblMili[[#This Row],[Spellblade]]+Races!$E$47,TblMili[[#This Row],[Adept-DP]]+Races!$F$47),6)  +  0.2 * ( MAX(TblMili[[#This Row],[Spellblade]]+Races!$E$47-6,0) + MAX(TblMili[[#This Row],[Adept-DP]]+Races!$F$47-6,0) )  -  Races!$I$47</f>
        <v>0</v>
      </c>
      <c r="CW113" s="97">
        <f ca="1">dark_elf*(TblMili[[#This Row],[Adept bonus]]*TblMili[[#This Row],[Unit 3]])</f>
        <v>0</v>
      </c>
      <c r="CX113" s="158">
        <f ca="1">1.8 * MIN(MAX(TblMili[[#This Row],[Frost Mage]]+Races!$F$71,Races!$E$71),6)  +  0.45 * MIN(MIN(TblMili[[#This Row],[Frost Mage]]+Races!$F$71,Races!$E$71),6)  +  0.2 * ( MAX(TblMili[[#This Row],[Frost Mage]]+Races!$F$71-6,0) + MAX(Races!$E$71-6,0) )  -  Races!$I$71</f>
        <v>3.9599999999999991</v>
      </c>
      <c r="CY113" s="158">
        <f ca="1">1.8 * MIN(MAX(TblMili[[#This Row],[Ice Elemental]]+Races!$E$71,Races!$F$71),6)  +  0.45 * MIN(MIN(TblMili[[#This Row],[Ice Elemental]]+Races!$E$71,Races!$F$71),6)  +  0.2 * ( MAX(TblMili[[#This Row],[Ice Elemental]]+Races!$E$71-6,0) + MAX(Races!$F$71-6,0) )  -  Races!$I$71</f>
        <v>0.17999999999999972</v>
      </c>
      <c r="CZ113" s="97">
        <f ca="1">TblMili[[#This Row],[Frost Mage bonus]]*TblMili[[#This Row],[Unit 3]]+TblMili[[#This Row],[Ice Elemental bonus]]*TblMili[[#This Row],[Unit 4]]</f>
        <v>0</v>
      </c>
      <c r="DA113" s="268"/>
      <c r="DB113" s="146">
        <f ca="1">MIN(SUM(TblConstr[[#This Row],[Plain]:[Water]])/TblMili[[#This Row],[Land]]/favorable_terrain_bonus/100,favorable_terrain_max)</f>
        <v>0.1</v>
      </c>
      <c r="DC113" s="268"/>
      <c r="DD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3" s="145"/>
      <c r="DF113" s="269">
        <f ca="1">(TblMili[[#This Row],[Wizards]]+2*TblMili[[#This Row],[Archmages]])/TblConstr[[#This Row],[Land]]</f>
        <v>0.1</v>
      </c>
      <c r="DG113" s="269">
        <f ca="1">TblMili[[#This Row],[Raw (2)]]*(1+race_wizard_strength+IF(TblMili[[#This Row],[Hour]]&gt;72,tech_magical_weaponry_wiz*TblTech[[#This Row],[3-5]],0))</f>
        <v>0.1</v>
      </c>
    </row>
    <row r="114" spans="1:111"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45462.583333333067</v>
      </c>
      <c r="AG114" s="182"/>
      <c r="AH114" s="182"/>
      <c r="AI114" s="182"/>
      <c r="AJ114" s="182"/>
      <c r="AK114" s="182"/>
      <c r="AL114" s="182"/>
      <c r="AM114" s="182"/>
      <c r="AN114" s="182"/>
      <c r="AO114" s="449">
        <f ca="1">IF(AND(TblMagic[[#This Row],[Active DnD]]&lt;12,TblMagic[[#This Row],[Active DnD]]&gt;5),OFFSET(TblPop[[#This Row],[Draft Growth]],-1,0)/2,0)</f>
        <v>0</v>
      </c>
      <c r="AP114" s="145"/>
      <c r="AQ114" s="97">
        <f ca="1">TblProd[[#This Row],[Platinum]]</f>
        <v>724338</v>
      </c>
      <c r="AR114" s="97">
        <f ca="1">INDEX(TblProd[[#Headers],[Lumber]]:TblProd[[#This Row],[Ore]],COUNTA(TblProd[[#Headers],[Lumber]]:TblProd[[#This Row],[Lumber]]),MATCH(Military!$AQ$2,TblProd[[#Headers],[Lumber]:[Ore]],0))</f>
        <v>0</v>
      </c>
      <c r="AS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7">
        <f ca="1">TblMili[[#This Row],[Train Unit 1]]*TblMili[[#This Row],[OP Ore]]+TblMili[[#This Row],[Train Unit 2]]*TblMili[[#This Row],[DP Ore]]+TblMili[[#This Row],[Train Unit 3]]*TblMili[[#This Row],[E1 Ore]]+TblMili[[#This Row],[Train Unit 4]]*TblMili[[#This Row],[E2 Ore]]</f>
        <v>0</v>
      </c>
      <c r="AU114" s="145">
        <f>TblMili[[#This Row],[Hour]]</f>
        <v>111</v>
      </c>
      <c r="AV114" s="155">
        <f ca="1">TblMili[[#This Row],[Time]]</f>
        <v>45462.583333333067</v>
      </c>
      <c r="AW114" s="97">
        <f ca="1">TblMili[[#This Row],[Draftees]]</f>
        <v>626</v>
      </c>
      <c r="AX114" s="182"/>
      <c r="AY114" s="182"/>
      <c r="AZ114" s="182"/>
      <c r="BA114" s="182"/>
      <c r="BB114" s="182"/>
      <c r="BC114" s="182"/>
      <c r="BD114" s="182"/>
      <c r="BE114" s="182"/>
      <c r="BF114" s="182"/>
      <c r="BG114" s="145"/>
      <c r="BH114" s="160">
        <f ca="1">TblConstr[[#This Row],[Tot WG]]/TblConstr[[#This Row],[Land]]</f>
        <v>0</v>
      </c>
      <c r="BI114" s="160">
        <f ca="1">TblConstr[[#This Row],[Tot Hav]]/TblConstr[[#This Row],[Land]]</f>
        <v>0</v>
      </c>
      <c r="BJ114" s="97">
        <f ca="1">ROUNDUP((1-MIN(TblMili[[#This Row],[Smithies]]*smithy_bonus,smithy_bonus_cap) + tech_3_5*TblTech[[#This Row],[3-5]] + tech_5_3*TblTech[[#This Row],[5-3]] + tech_5_5*TblTech[[#This Row],[5-5]])*spec_op_plat,0)</f>
        <v>275</v>
      </c>
      <c r="BK114" s="97">
        <f ca="1">ROUNDUP(IF(race="Gnome",1,(1-MIN(TblMili[[#This Row],[Smithies]]*smithy_bonus,smithy_bonus_cap) + tech_3_5*TblTech[[#This Row],[3-5]] + tech_5_3*TblTech[[#This Row],[5-3]] + tech_5_5*TblTech[[#This Row],[5-5]]))*spec_op_ore,0)</f>
        <v>25</v>
      </c>
      <c r="BL114" s="97">
        <f ca="1">ROUNDUP((1-MIN(TblMili[[#This Row],[Smithies]]*smithy_bonus,smithy_bonus_cap) + tech_3_5*TblTech[[#This Row],[3-5]] + tech_5_3*TblTech[[#This Row],[5-3]] + tech_5_5*TblTech[[#This Row],[5-5]])*spec_dp_plat,0)</f>
        <v>275</v>
      </c>
      <c r="BM114" s="97">
        <f ca="1">ROUNDUP(IF(race="Gnome",1,(1-MIN(TblMili[[#This Row],[Smithies]]*smithy_bonus,smithy_bonus_cap) + tech_3_5*TblTech[[#This Row],[3-5]] + tech_5_3*TblTech[[#This Row],[5-3]] + tech_5_5*TblTech[[#This Row],[5-5]]))*spec_dp_ore,0)</f>
        <v>15</v>
      </c>
      <c r="BN114" s="97">
        <f ca="1">ROUNDUP((1-MIN(TblMili[[#This Row],[Smithies]]*smithy_bonus,smithy_bonus_cap) + tech_3_5*TblTech[[#This Row],[3-5]] + tech_5_3*TblTech[[#This Row],[5-3]] + tech_5_5*TblTech[[#This Row],[5-5]])*elite1_plat,0)</f>
        <v>1000</v>
      </c>
      <c r="BO114" s="97">
        <f ca="1">ROUNDUP(IF(race="Gnome",1,(1-MIN(TblMili[[#This Row],[Smithies]]*smithy_bonus,smithy_bonus_cap) + tech_3_5*TblTech[[#This Row],[3-5]] + tech_5_3*TblTech[[#This Row],[5-3]] + tech_5_5*TblTech[[#This Row],[5-5]]))*elite1_ore,0)</f>
        <v>75</v>
      </c>
      <c r="BP114" s="97">
        <f ca="1">ROUNDUP((1-MIN(TblMili[[#This Row],[Smithies]]*smithy_bonus,smithy_bonus_cap) + tech_3_5*TblTech[[#This Row],[3-5]] + tech_5_3*TblTech[[#This Row],[5-3]] + tech_5_5*TblTech[[#This Row],[5-5]])*elite2_plat,0)</f>
        <v>1250</v>
      </c>
      <c r="BQ114" s="97">
        <f ca="1">ROUNDUP(IF(race="Gnome",1,(1-MIN(TblMili[[#This Row],[Smithies]]*smithy_bonus,smithy_bonus_cap) + tech_3_5*TblTech[[#This Row],[3-5]] + tech_5_3*TblTech[[#This Row],[5-3]] + tech_5_5*TblTech[[#This Row],[5-5]]))*elite2_ore,0)</f>
        <v>100</v>
      </c>
      <c r="BR114" s="97">
        <f ca="1">ROUNDUP((1-MIN(ROUND(fh_spy_cost_red*TblMili[[#This Row],[FH''s]],4),fh_spy_cost_cap)+ tech_1_9*TblTech[[#This Row],[1-9]] + tech_9_1*TblTech[[#This Row],[9-1]])*spy_plat,0)</f>
        <v>500</v>
      </c>
      <c r="BS114" s="97">
        <f ca="1">ROUNDUP((1-MIN(ROUND(fh_spy_cost_red*TblMili[[#This Row],[FH''s]],4),fh_spy_cost_cap)+ tech_1_9*TblTech[[#This Row],[1-9]] + tech_9_1*TblTech[[#This Row],[9-1]])*archspy_plat,0)</f>
        <v>1000</v>
      </c>
      <c r="BT114" s="97">
        <f ca="1">ROUNDUP((1-MIN(ROUND(wg_wiz_cost_bonus*TblMili[[#This Row],[WG''s]],4),wg_wiz_cost_cap) + tech_1_9_2*TblTech[[#This Row],[1-9]] + tech_9_1_2*TblTech[[#This Row],[9-1]])*wizard_plat,0)</f>
        <v>500</v>
      </c>
      <c r="BU114" s="97">
        <f ca="1">ROUNDUP((1-MIN(ROUND(wg_wiz_cost_bonus*TblMili[[#This Row],[WG''s]],4),wg_wiz_cost_cap) + tech_1_9_2*TblTech[[#This Row],[1-9]] + tech_9_1_2*TblTech[[#This Row],[9-1]])*archmage_plat,0)</f>
        <v>1000</v>
      </c>
      <c r="BV114" s="145"/>
      <c r="BW114" s="160">
        <f ca="1">TblConstr[[#This Row],[Homeland]]/TblConstr[[#This Row],[Land]]</f>
        <v>0.44</v>
      </c>
      <c r="BX114" s="160">
        <f ca="1">TblMili[[#This Row],[WG''s]]</f>
        <v>0</v>
      </c>
      <c r="BY114" s="266">
        <f ca="1">IF(mystic_cap="none",TblMili[[#This Row],[Hill]]/mystic_bonus,MIN(mystic_cap,TblMili[[#This Row],[Hill]]/mystic_bonus))</f>
        <v>2.1999999999999997</v>
      </c>
      <c r="BZ114" s="266">
        <f ca="1">IF(druid_op_cap="none",TblMili[[#This Row],[Hill]]/druid_op_bonus,MIN(druid_op_cap,TblMili[[#This Row],[Hill]]/druid_op_bonus))</f>
        <v>2.1999999999999997</v>
      </c>
      <c r="CA114" s="266">
        <f ca="1">IF(druid_dp_cap="none",TblMili[[#This Row],[Hill]]/druid_dp_bonus,MIN(druid_dp_cap,TblMili[[#This Row],[Hill]]/druid_dp_bonus))</f>
        <v>2.1999999999999997</v>
      </c>
      <c r="CB114" s="266">
        <f ca="1">MIN(dryad_cap,TblMili[[#This Row],[Hill]]/dryad_bonus)</f>
        <v>2.1999999999999997</v>
      </c>
      <c r="CC114" s="266">
        <f ca="1">MIN(rocka_cap,TblMili[[#This Row],[Hill]]/rocka_bonus)</f>
        <v>2</v>
      </c>
      <c r="CD114" s="266">
        <f ca="1">MIN(adept_op_cap,TblMili[[#This Row],[WG]]/adept_op_bonus)</f>
        <v>0</v>
      </c>
      <c r="CE114" s="266">
        <f ca="1">MIN(adept_dp_cap,TblMili[[#This Row],[WG]]/adept_dp_bonus)</f>
        <v>0</v>
      </c>
      <c r="CF114" s="97">
        <f ca="1">MIN(TblMili[[#This Row],[Unit 3]],TblMili[[#This Row],[Unit 2]])*2</f>
        <v>0</v>
      </c>
      <c r="CG114" s="97">
        <f ca="1">MIN(TblMili[[#This Row],[Unit 1]],TblMili[[#This Row],[Unit 4]])*2</f>
        <v>0</v>
      </c>
      <c r="CH114" s="266">
        <f ca="1">MIN(frost_mage_cap,TblMili[[#This Row],[Hill]]/frost_mage_bonus)</f>
        <v>2.1999999999999997</v>
      </c>
      <c r="CI114" s="45">
        <f ca="1">MIN(ice_elem_cap,TblMili[[#This Row],[Raw (2)]]*ice_elem_bonus)</f>
        <v>0.1</v>
      </c>
      <c r="CJ114" s="266">
        <f t="shared" si="4"/>
        <v>0.83333333333333337</v>
      </c>
      <c r="CK114" s="266">
        <f ca="1">MIN(nox_nightshade_cap,TblConstr[[#This Row],[Homeland]]/TblConstr[[#This Row],[Land]]/nox_nightshade_swamp_bonus)</f>
        <v>4</v>
      </c>
      <c r="CL114" s="267"/>
      <c r="CM114" s="267"/>
      <c r="CN114" s="267"/>
      <c r="CO114" s="266">
        <f ca="1">MIN(6,TblMili[[#This Row],[Mystic]]+Races!$F$19)*1.8 +  IF(TblMili[[#This Row],[Mystic]]+Races!$F$19&gt;6,(TblMili[[#This Row],[Mystic]]+Races!$F$19-6)*0.2,0) - Races!$I$19</f>
        <v>3.6399999999999997</v>
      </c>
      <c r="CP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4" s="97">
        <f ca="1">TblMili[[#This Row],[Mystic bonus]]*TblMili[[#This Row],[Unit 3]]+TblMili[[#This Row],[Druid bonus]]*TblMili[[#This Row],[Unit 4]]</f>
        <v>0</v>
      </c>
      <c r="CR114" s="158">
        <f ca="1">MIN(6,TblMili[[#This Row],[Dryad]]+Races!$F$35)*1.8 +  IF(TblMili[[#This Row],[Dryad]]+Races!$F$35&gt;6,(TblMili[[#This Row],[Dryad]]+Races!$F$35-6)*0.2,0) - Races!$I$19</f>
        <v>2.1599999999999993</v>
      </c>
      <c r="CS114" s="97">
        <f ca="1">sylvan*(TblMili[[#This Row],[Mystic bonus]]*TblMili[[#This Row],[Unit 3]])</f>
        <v>0</v>
      </c>
      <c r="CT114" s="158">
        <f ca="1">1.8 * MIN(MAX(Races!$E$27,TblMili[[#This Row],[Rockapult]]+Races!$F$27),6)  +  0.45 * MIN(MIN(Races!$E$27,TblMili[[#This Row],[Rockapult]]+Races!$F$27),6)  +  0.2 * ( MAX(Races!$E$27-6,0) + MAX(TblMili[[#This Row],[Rockapult]]+Races!$F$27-6,0) )  -  Races!$I$20</f>
        <v>5.8500000000000005</v>
      </c>
      <c r="CU114" s="97">
        <f ca="1">gnome*(TblMili[[#This Row],[Rockapult bonus]]*TblMili[[#This Row],[Unit 3]])</f>
        <v>0</v>
      </c>
      <c r="CV114" s="158">
        <f ca="1">1.8 * MIN(MAX(TblMili[[#This Row],[Spellblade]]+Races!$E$47,TblMili[[#This Row],[Adept-DP]]+Races!$F$47),6)  +  0.45 * MIN(MIN(TblMili[[#This Row],[Spellblade]]+Races!$E$47,TblMili[[#This Row],[Adept-DP]]+Races!$F$47),6)  +  0.2 * ( MAX(TblMili[[#This Row],[Spellblade]]+Races!$E$47-6,0) + MAX(TblMili[[#This Row],[Adept-DP]]+Races!$F$47-6,0) )  -  Races!$I$47</f>
        <v>0</v>
      </c>
      <c r="CW114" s="97">
        <f ca="1">dark_elf*(TblMili[[#This Row],[Adept bonus]]*TblMili[[#This Row],[Unit 3]])</f>
        <v>0</v>
      </c>
      <c r="CX114" s="158">
        <f ca="1">1.8 * MIN(MAX(TblMili[[#This Row],[Frost Mage]]+Races!$F$71,Races!$E$71),6)  +  0.45 * MIN(MIN(TblMili[[#This Row],[Frost Mage]]+Races!$F$71,Races!$E$71),6)  +  0.2 * ( MAX(TblMili[[#This Row],[Frost Mage]]+Races!$F$71-6,0) + MAX(Races!$E$71-6,0) )  -  Races!$I$71</f>
        <v>3.9599999999999991</v>
      </c>
      <c r="CY114" s="158">
        <f ca="1">1.8 * MIN(MAX(TblMili[[#This Row],[Ice Elemental]]+Races!$E$71,Races!$F$71),6)  +  0.45 * MIN(MIN(TblMili[[#This Row],[Ice Elemental]]+Races!$E$71,Races!$F$71),6)  +  0.2 * ( MAX(TblMili[[#This Row],[Ice Elemental]]+Races!$E$71-6,0) + MAX(Races!$F$71-6,0) )  -  Races!$I$71</f>
        <v>0.17999999999999972</v>
      </c>
      <c r="CZ114" s="97">
        <f ca="1">TblMili[[#This Row],[Frost Mage bonus]]*TblMili[[#This Row],[Unit 3]]+TblMili[[#This Row],[Ice Elemental bonus]]*TblMili[[#This Row],[Unit 4]]</f>
        <v>0</v>
      </c>
      <c r="DA114" s="268"/>
      <c r="DB114" s="146">
        <f ca="1">MIN(SUM(TblConstr[[#This Row],[Plain]:[Water]])/TblMili[[#This Row],[Land]]/favorable_terrain_bonus/100,favorable_terrain_max)</f>
        <v>0.1</v>
      </c>
      <c r="DC114" s="268"/>
      <c r="DD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4" s="145"/>
      <c r="DF114" s="269">
        <f ca="1">(TblMili[[#This Row],[Wizards]]+2*TblMili[[#This Row],[Archmages]])/TblConstr[[#This Row],[Land]]</f>
        <v>0.1</v>
      </c>
      <c r="DG114" s="269">
        <f ca="1">TblMili[[#This Row],[Raw (2)]]*(1+race_wizard_strength+IF(TblMili[[#This Row],[Hour]]&gt;72,tech_magical_weaponry_wiz*TblTech[[#This Row],[3-5]],0))</f>
        <v>0.1</v>
      </c>
    </row>
    <row r="115" spans="1:111"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45462.624999999731</v>
      </c>
      <c r="AG115" s="182"/>
      <c r="AH115" s="182"/>
      <c r="AI115" s="182"/>
      <c r="AJ115" s="182"/>
      <c r="AK115" s="182"/>
      <c r="AL115" s="182"/>
      <c r="AM115" s="182"/>
      <c r="AN115" s="182"/>
      <c r="AO115" s="449">
        <f ca="1">IF(AND(TblMagic[[#This Row],[Active DnD]]&lt;12,TblMagic[[#This Row],[Active DnD]]&gt;5),OFFSET(TblPop[[#This Row],[Draft Growth]],-1,0)/2,0)</f>
        <v>0</v>
      </c>
      <c r="AP115" s="145"/>
      <c r="AQ115" s="97">
        <f ca="1">TblProd[[#This Row],[Platinum]]</f>
        <v>729824</v>
      </c>
      <c r="AR115" s="97">
        <f ca="1">INDEX(TblProd[[#Headers],[Lumber]]:TblProd[[#This Row],[Ore]],COUNTA(TblProd[[#Headers],[Lumber]]:TblProd[[#This Row],[Lumber]]),MATCH(Military!$AQ$2,TblProd[[#Headers],[Lumber]:[Ore]],0))</f>
        <v>0</v>
      </c>
      <c r="AS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7">
        <f ca="1">TblMili[[#This Row],[Train Unit 1]]*TblMili[[#This Row],[OP Ore]]+TblMili[[#This Row],[Train Unit 2]]*TblMili[[#This Row],[DP Ore]]+TblMili[[#This Row],[Train Unit 3]]*TblMili[[#This Row],[E1 Ore]]+TblMili[[#This Row],[Train Unit 4]]*TblMili[[#This Row],[E2 Ore]]</f>
        <v>0</v>
      </c>
      <c r="AU115" s="145">
        <f>TblMili[[#This Row],[Hour]]</f>
        <v>112</v>
      </c>
      <c r="AV115" s="155">
        <f ca="1">TblMili[[#This Row],[Time]]</f>
        <v>45462.624999999731</v>
      </c>
      <c r="AW115" s="97">
        <f ca="1">TblMili[[#This Row],[Draftees]]</f>
        <v>626</v>
      </c>
      <c r="AX115" s="182"/>
      <c r="AY115" s="182"/>
      <c r="AZ115" s="182"/>
      <c r="BA115" s="182"/>
      <c r="BB115" s="182"/>
      <c r="BC115" s="182"/>
      <c r="BD115" s="182"/>
      <c r="BE115" s="182"/>
      <c r="BF115" s="182"/>
      <c r="BG115" s="145"/>
      <c r="BH115" s="160">
        <f ca="1">TblConstr[[#This Row],[Tot WG]]/TblConstr[[#This Row],[Land]]</f>
        <v>0</v>
      </c>
      <c r="BI115" s="160">
        <f ca="1">TblConstr[[#This Row],[Tot Hav]]/TblConstr[[#This Row],[Land]]</f>
        <v>0</v>
      </c>
      <c r="BJ115" s="97">
        <f ca="1">ROUNDUP((1-MIN(TblMili[[#This Row],[Smithies]]*smithy_bonus,smithy_bonus_cap) + tech_3_5*TblTech[[#This Row],[3-5]] + tech_5_3*TblTech[[#This Row],[5-3]] + tech_5_5*TblTech[[#This Row],[5-5]])*spec_op_plat,0)</f>
        <v>275</v>
      </c>
      <c r="BK115" s="97">
        <f ca="1">ROUNDUP(IF(race="Gnome",1,(1-MIN(TblMili[[#This Row],[Smithies]]*smithy_bonus,smithy_bonus_cap) + tech_3_5*TblTech[[#This Row],[3-5]] + tech_5_3*TblTech[[#This Row],[5-3]] + tech_5_5*TblTech[[#This Row],[5-5]]))*spec_op_ore,0)</f>
        <v>25</v>
      </c>
      <c r="BL115" s="97">
        <f ca="1">ROUNDUP((1-MIN(TblMili[[#This Row],[Smithies]]*smithy_bonus,smithy_bonus_cap) + tech_3_5*TblTech[[#This Row],[3-5]] + tech_5_3*TblTech[[#This Row],[5-3]] + tech_5_5*TblTech[[#This Row],[5-5]])*spec_dp_plat,0)</f>
        <v>275</v>
      </c>
      <c r="BM115" s="97">
        <f ca="1">ROUNDUP(IF(race="Gnome",1,(1-MIN(TblMili[[#This Row],[Smithies]]*smithy_bonus,smithy_bonus_cap) + tech_3_5*TblTech[[#This Row],[3-5]] + tech_5_3*TblTech[[#This Row],[5-3]] + tech_5_5*TblTech[[#This Row],[5-5]]))*spec_dp_ore,0)</f>
        <v>15</v>
      </c>
      <c r="BN115" s="97">
        <f ca="1">ROUNDUP((1-MIN(TblMili[[#This Row],[Smithies]]*smithy_bonus,smithy_bonus_cap) + tech_3_5*TblTech[[#This Row],[3-5]] + tech_5_3*TblTech[[#This Row],[5-3]] + tech_5_5*TblTech[[#This Row],[5-5]])*elite1_plat,0)</f>
        <v>1000</v>
      </c>
      <c r="BO115" s="97">
        <f ca="1">ROUNDUP(IF(race="Gnome",1,(1-MIN(TblMili[[#This Row],[Smithies]]*smithy_bonus,smithy_bonus_cap) + tech_3_5*TblTech[[#This Row],[3-5]] + tech_5_3*TblTech[[#This Row],[5-3]] + tech_5_5*TblTech[[#This Row],[5-5]]))*elite1_ore,0)</f>
        <v>75</v>
      </c>
      <c r="BP115" s="97">
        <f ca="1">ROUNDUP((1-MIN(TblMili[[#This Row],[Smithies]]*smithy_bonus,smithy_bonus_cap) + tech_3_5*TblTech[[#This Row],[3-5]] + tech_5_3*TblTech[[#This Row],[5-3]] + tech_5_5*TblTech[[#This Row],[5-5]])*elite2_plat,0)</f>
        <v>1250</v>
      </c>
      <c r="BQ115" s="97">
        <f ca="1">ROUNDUP(IF(race="Gnome",1,(1-MIN(TblMili[[#This Row],[Smithies]]*smithy_bonus,smithy_bonus_cap) + tech_3_5*TblTech[[#This Row],[3-5]] + tech_5_3*TblTech[[#This Row],[5-3]] + tech_5_5*TblTech[[#This Row],[5-5]]))*elite2_ore,0)</f>
        <v>100</v>
      </c>
      <c r="BR115" s="97">
        <f ca="1">ROUNDUP((1-MIN(ROUND(fh_spy_cost_red*TblMili[[#This Row],[FH''s]],4),fh_spy_cost_cap)+ tech_1_9*TblTech[[#This Row],[1-9]] + tech_9_1*TblTech[[#This Row],[9-1]])*spy_plat,0)</f>
        <v>500</v>
      </c>
      <c r="BS115" s="97">
        <f ca="1">ROUNDUP((1-MIN(ROUND(fh_spy_cost_red*TblMili[[#This Row],[FH''s]],4),fh_spy_cost_cap)+ tech_1_9*TblTech[[#This Row],[1-9]] + tech_9_1*TblTech[[#This Row],[9-1]])*archspy_plat,0)</f>
        <v>1000</v>
      </c>
      <c r="BT115" s="97">
        <f ca="1">ROUNDUP((1-MIN(ROUND(wg_wiz_cost_bonus*TblMili[[#This Row],[WG''s]],4),wg_wiz_cost_cap) + tech_1_9_2*TblTech[[#This Row],[1-9]] + tech_9_1_2*TblTech[[#This Row],[9-1]])*wizard_plat,0)</f>
        <v>500</v>
      </c>
      <c r="BU115" s="97">
        <f ca="1">ROUNDUP((1-MIN(ROUND(wg_wiz_cost_bonus*TblMili[[#This Row],[WG''s]],4),wg_wiz_cost_cap) + tech_1_9_2*TblTech[[#This Row],[1-9]] + tech_9_1_2*TblTech[[#This Row],[9-1]])*archmage_plat,0)</f>
        <v>1000</v>
      </c>
      <c r="BV115" s="145"/>
      <c r="BW115" s="160">
        <f ca="1">TblConstr[[#This Row],[Homeland]]/TblConstr[[#This Row],[Land]]</f>
        <v>0.44</v>
      </c>
      <c r="BX115" s="160">
        <f ca="1">TblMili[[#This Row],[WG''s]]</f>
        <v>0</v>
      </c>
      <c r="BY115" s="266">
        <f ca="1">IF(mystic_cap="none",TblMili[[#This Row],[Hill]]/mystic_bonus,MIN(mystic_cap,TblMili[[#This Row],[Hill]]/mystic_bonus))</f>
        <v>2.1999999999999997</v>
      </c>
      <c r="BZ115" s="266">
        <f ca="1">IF(druid_op_cap="none",TblMili[[#This Row],[Hill]]/druid_op_bonus,MIN(druid_op_cap,TblMili[[#This Row],[Hill]]/druid_op_bonus))</f>
        <v>2.1999999999999997</v>
      </c>
      <c r="CA115" s="266">
        <f ca="1">IF(druid_dp_cap="none",TblMili[[#This Row],[Hill]]/druid_dp_bonus,MIN(druid_dp_cap,TblMili[[#This Row],[Hill]]/druid_dp_bonus))</f>
        <v>2.1999999999999997</v>
      </c>
      <c r="CB115" s="266">
        <f ca="1">MIN(dryad_cap,TblMili[[#This Row],[Hill]]/dryad_bonus)</f>
        <v>2.1999999999999997</v>
      </c>
      <c r="CC115" s="266">
        <f ca="1">MIN(rocka_cap,TblMili[[#This Row],[Hill]]/rocka_bonus)</f>
        <v>2</v>
      </c>
      <c r="CD115" s="266">
        <f ca="1">MIN(adept_op_cap,TblMili[[#This Row],[WG]]/adept_op_bonus)</f>
        <v>0</v>
      </c>
      <c r="CE115" s="266">
        <f ca="1">MIN(adept_dp_cap,TblMili[[#This Row],[WG]]/adept_dp_bonus)</f>
        <v>0</v>
      </c>
      <c r="CF115" s="97">
        <f ca="1">MIN(TblMili[[#This Row],[Unit 3]],TblMili[[#This Row],[Unit 2]])*2</f>
        <v>0</v>
      </c>
      <c r="CG115" s="97">
        <f ca="1">MIN(TblMili[[#This Row],[Unit 1]],TblMili[[#This Row],[Unit 4]])*2</f>
        <v>0</v>
      </c>
      <c r="CH115" s="266">
        <f ca="1">MIN(frost_mage_cap,TblMili[[#This Row],[Hill]]/frost_mage_bonus)</f>
        <v>2.1999999999999997</v>
      </c>
      <c r="CI115" s="45">
        <f ca="1">MIN(ice_elem_cap,TblMili[[#This Row],[Raw (2)]]*ice_elem_bonus)</f>
        <v>0.1</v>
      </c>
      <c r="CJ115" s="266">
        <f t="shared" si="4"/>
        <v>0.83333333333333337</v>
      </c>
      <c r="CK115" s="266">
        <f ca="1">MIN(nox_nightshade_cap,TblConstr[[#This Row],[Homeland]]/TblConstr[[#This Row],[Land]]/nox_nightshade_swamp_bonus)</f>
        <v>4</v>
      </c>
      <c r="CL115" s="267"/>
      <c r="CM115" s="267"/>
      <c r="CN115" s="267"/>
      <c r="CO115" s="266">
        <f ca="1">MIN(6,TblMili[[#This Row],[Mystic]]+Races!$F$19)*1.8 +  IF(TblMili[[#This Row],[Mystic]]+Races!$F$19&gt;6,(TblMili[[#This Row],[Mystic]]+Races!$F$19-6)*0.2,0) - Races!$I$19</f>
        <v>3.6399999999999997</v>
      </c>
      <c r="CP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5" s="97">
        <f ca="1">TblMili[[#This Row],[Mystic bonus]]*TblMili[[#This Row],[Unit 3]]+TblMili[[#This Row],[Druid bonus]]*TblMili[[#This Row],[Unit 4]]</f>
        <v>0</v>
      </c>
      <c r="CR115" s="158">
        <f ca="1">MIN(6,TblMili[[#This Row],[Dryad]]+Races!$F$35)*1.8 +  IF(TblMili[[#This Row],[Dryad]]+Races!$F$35&gt;6,(TblMili[[#This Row],[Dryad]]+Races!$F$35-6)*0.2,0) - Races!$I$19</f>
        <v>2.1599999999999993</v>
      </c>
      <c r="CS115" s="97">
        <f ca="1">sylvan*(TblMili[[#This Row],[Mystic bonus]]*TblMili[[#This Row],[Unit 3]])</f>
        <v>0</v>
      </c>
      <c r="CT115" s="158">
        <f ca="1">1.8 * MIN(MAX(Races!$E$27,TblMili[[#This Row],[Rockapult]]+Races!$F$27),6)  +  0.45 * MIN(MIN(Races!$E$27,TblMili[[#This Row],[Rockapult]]+Races!$F$27),6)  +  0.2 * ( MAX(Races!$E$27-6,0) + MAX(TblMili[[#This Row],[Rockapult]]+Races!$F$27-6,0) )  -  Races!$I$20</f>
        <v>5.8500000000000005</v>
      </c>
      <c r="CU115" s="97">
        <f ca="1">gnome*(TblMili[[#This Row],[Rockapult bonus]]*TblMili[[#This Row],[Unit 3]])</f>
        <v>0</v>
      </c>
      <c r="CV115" s="158">
        <f ca="1">1.8 * MIN(MAX(TblMili[[#This Row],[Spellblade]]+Races!$E$47,TblMili[[#This Row],[Adept-DP]]+Races!$F$47),6)  +  0.45 * MIN(MIN(TblMili[[#This Row],[Spellblade]]+Races!$E$47,TblMili[[#This Row],[Adept-DP]]+Races!$F$47),6)  +  0.2 * ( MAX(TblMili[[#This Row],[Spellblade]]+Races!$E$47-6,0) + MAX(TblMili[[#This Row],[Adept-DP]]+Races!$F$47-6,0) )  -  Races!$I$47</f>
        <v>0</v>
      </c>
      <c r="CW115" s="97">
        <f ca="1">dark_elf*(TblMili[[#This Row],[Adept bonus]]*TblMili[[#This Row],[Unit 3]])</f>
        <v>0</v>
      </c>
      <c r="CX115" s="158">
        <f ca="1">1.8 * MIN(MAX(TblMili[[#This Row],[Frost Mage]]+Races!$F$71,Races!$E$71),6)  +  0.45 * MIN(MIN(TblMili[[#This Row],[Frost Mage]]+Races!$F$71,Races!$E$71),6)  +  0.2 * ( MAX(TblMili[[#This Row],[Frost Mage]]+Races!$F$71-6,0) + MAX(Races!$E$71-6,0) )  -  Races!$I$71</f>
        <v>3.9599999999999991</v>
      </c>
      <c r="CY115" s="158">
        <f ca="1">1.8 * MIN(MAX(TblMili[[#This Row],[Ice Elemental]]+Races!$E$71,Races!$F$71),6)  +  0.45 * MIN(MIN(TblMili[[#This Row],[Ice Elemental]]+Races!$E$71,Races!$F$71),6)  +  0.2 * ( MAX(TblMili[[#This Row],[Ice Elemental]]+Races!$E$71-6,0) + MAX(Races!$F$71-6,0) )  -  Races!$I$71</f>
        <v>0.17999999999999972</v>
      </c>
      <c r="CZ115" s="97">
        <f ca="1">TblMili[[#This Row],[Frost Mage bonus]]*TblMili[[#This Row],[Unit 3]]+TblMili[[#This Row],[Ice Elemental bonus]]*TblMili[[#This Row],[Unit 4]]</f>
        <v>0</v>
      </c>
      <c r="DA115" s="268"/>
      <c r="DB115" s="146">
        <f ca="1">MIN(SUM(TblConstr[[#This Row],[Plain]:[Water]])/TblMili[[#This Row],[Land]]/favorable_terrain_bonus/100,favorable_terrain_max)</f>
        <v>0.1</v>
      </c>
      <c r="DC115" s="268"/>
      <c r="DD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5" s="145"/>
      <c r="DF115" s="269">
        <f ca="1">(TblMili[[#This Row],[Wizards]]+2*TblMili[[#This Row],[Archmages]])/TblConstr[[#This Row],[Land]]</f>
        <v>0.1</v>
      </c>
      <c r="DG115" s="269">
        <f ca="1">TblMili[[#This Row],[Raw (2)]]*(1+race_wizard_strength+IF(TblMili[[#This Row],[Hour]]&gt;72,tech_magical_weaponry_wiz*TblTech[[#This Row],[3-5]],0))</f>
        <v>0.1</v>
      </c>
    </row>
    <row r="116" spans="1:111"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45462.666666666395</v>
      </c>
      <c r="AG116" s="182"/>
      <c r="AH116" s="182"/>
      <c r="AI116" s="182"/>
      <c r="AJ116" s="182"/>
      <c r="AK116" s="182"/>
      <c r="AL116" s="182"/>
      <c r="AM116" s="182"/>
      <c r="AN116" s="182"/>
      <c r="AO116" s="449">
        <f ca="1">IF(AND(TblMagic[[#This Row],[Active DnD]]&lt;12,TblMagic[[#This Row],[Active DnD]]&gt;5),OFFSET(TblPop[[#This Row],[Draft Growth]],-1,0)/2,0)</f>
        <v>0</v>
      </c>
      <c r="AP116" s="145"/>
      <c r="AQ116" s="97">
        <f ca="1">TblProd[[#This Row],[Platinum]]</f>
        <v>735310</v>
      </c>
      <c r="AR116" s="97">
        <f ca="1">INDEX(TblProd[[#Headers],[Lumber]]:TblProd[[#This Row],[Ore]],COUNTA(TblProd[[#Headers],[Lumber]]:TblProd[[#This Row],[Lumber]]),MATCH(Military!$AQ$2,TblProd[[#Headers],[Lumber]:[Ore]],0))</f>
        <v>0</v>
      </c>
      <c r="AS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7">
        <f ca="1">TblMili[[#This Row],[Train Unit 1]]*TblMili[[#This Row],[OP Ore]]+TblMili[[#This Row],[Train Unit 2]]*TblMili[[#This Row],[DP Ore]]+TblMili[[#This Row],[Train Unit 3]]*TblMili[[#This Row],[E1 Ore]]+TblMili[[#This Row],[Train Unit 4]]*TblMili[[#This Row],[E2 Ore]]</f>
        <v>0</v>
      </c>
      <c r="AU116" s="145">
        <f>TblMili[[#This Row],[Hour]]</f>
        <v>113</v>
      </c>
      <c r="AV116" s="155">
        <f ca="1">TblMili[[#This Row],[Time]]</f>
        <v>45462.666666666395</v>
      </c>
      <c r="AW116" s="97">
        <f ca="1">TblMili[[#This Row],[Draftees]]</f>
        <v>626</v>
      </c>
      <c r="AX116" s="182"/>
      <c r="AY116" s="182"/>
      <c r="AZ116" s="182"/>
      <c r="BA116" s="182"/>
      <c r="BB116" s="182"/>
      <c r="BC116" s="182"/>
      <c r="BD116" s="182"/>
      <c r="BE116" s="182"/>
      <c r="BF116" s="182"/>
      <c r="BG116" s="145"/>
      <c r="BH116" s="160">
        <f ca="1">TblConstr[[#This Row],[Tot WG]]/TblConstr[[#This Row],[Land]]</f>
        <v>0</v>
      </c>
      <c r="BI116" s="160">
        <f ca="1">TblConstr[[#This Row],[Tot Hav]]/TblConstr[[#This Row],[Land]]</f>
        <v>0</v>
      </c>
      <c r="BJ116" s="97">
        <f ca="1">ROUNDUP((1-MIN(TblMili[[#This Row],[Smithies]]*smithy_bonus,smithy_bonus_cap) + tech_3_5*TblTech[[#This Row],[3-5]] + tech_5_3*TblTech[[#This Row],[5-3]] + tech_5_5*TblTech[[#This Row],[5-5]])*spec_op_plat,0)</f>
        <v>275</v>
      </c>
      <c r="BK116" s="97">
        <f ca="1">ROUNDUP(IF(race="Gnome",1,(1-MIN(TblMili[[#This Row],[Smithies]]*smithy_bonus,smithy_bonus_cap) + tech_3_5*TblTech[[#This Row],[3-5]] + tech_5_3*TblTech[[#This Row],[5-3]] + tech_5_5*TblTech[[#This Row],[5-5]]))*spec_op_ore,0)</f>
        <v>25</v>
      </c>
      <c r="BL116" s="97">
        <f ca="1">ROUNDUP((1-MIN(TblMili[[#This Row],[Smithies]]*smithy_bonus,smithy_bonus_cap) + tech_3_5*TblTech[[#This Row],[3-5]] + tech_5_3*TblTech[[#This Row],[5-3]] + tech_5_5*TblTech[[#This Row],[5-5]])*spec_dp_plat,0)</f>
        <v>275</v>
      </c>
      <c r="BM116" s="97">
        <f ca="1">ROUNDUP(IF(race="Gnome",1,(1-MIN(TblMili[[#This Row],[Smithies]]*smithy_bonus,smithy_bonus_cap) + tech_3_5*TblTech[[#This Row],[3-5]] + tech_5_3*TblTech[[#This Row],[5-3]] + tech_5_5*TblTech[[#This Row],[5-5]]))*spec_dp_ore,0)</f>
        <v>15</v>
      </c>
      <c r="BN116" s="97">
        <f ca="1">ROUNDUP((1-MIN(TblMili[[#This Row],[Smithies]]*smithy_bonus,smithy_bonus_cap) + tech_3_5*TblTech[[#This Row],[3-5]] + tech_5_3*TblTech[[#This Row],[5-3]] + tech_5_5*TblTech[[#This Row],[5-5]])*elite1_plat,0)</f>
        <v>1000</v>
      </c>
      <c r="BO116" s="97">
        <f ca="1">ROUNDUP(IF(race="Gnome",1,(1-MIN(TblMili[[#This Row],[Smithies]]*smithy_bonus,smithy_bonus_cap) + tech_3_5*TblTech[[#This Row],[3-5]] + tech_5_3*TblTech[[#This Row],[5-3]] + tech_5_5*TblTech[[#This Row],[5-5]]))*elite1_ore,0)</f>
        <v>75</v>
      </c>
      <c r="BP116" s="97">
        <f ca="1">ROUNDUP((1-MIN(TblMili[[#This Row],[Smithies]]*smithy_bonus,smithy_bonus_cap) + tech_3_5*TblTech[[#This Row],[3-5]] + tech_5_3*TblTech[[#This Row],[5-3]] + tech_5_5*TblTech[[#This Row],[5-5]])*elite2_plat,0)</f>
        <v>1250</v>
      </c>
      <c r="BQ116" s="97">
        <f ca="1">ROUNDUP(IF(race="Gnome",1,(1-MIN(TblMili[[#This Row],[Smithies]]*smithy_bonus,smithy_bonus_cap) + tech_3_5*TblTech[[#This Row],[3-5]] + tech_5_3*TblTech[[#This Row],[5-3]] + tech_5_5*TblTech[[#This Row],[5-5]]))*elite2_ore,0)</f>
        <v>100</v>
      </c>
      <c r="BR116" s="97">
        <f ca="1">ROUNDUP((1-MIN(ROUND(fh_spy_cost_red*TblMili[[#This Row],[FH''s]],4),fh_spy_cost_cap)+ tech_1_9*TblTech[[#This Row],[1-9]] + tech_9_1*TblTech[[#This Row],[9-1]])*spy_plat,0)</f>
        <v>500</v>
      </c>
      <c r="BS116" s="97">
        <f ca="1">ROUNDUP((1-MIN(ROUND(fh_spy_cost_red*TblMili[[#This Row],[FH''s]],4),fh_spy_cost_cap)+ tech_1_9*TblTech[[#This Row],[1-9]] + tech_9_1*TblTech[[#This Row],[9-1]])*archspy_plat,0)</f>
        <v>1000</v>
      </c>
      <c r="BT116" s="97">
        <f ca="1">ROUNDUP((1-MIN(ROUND(wg_wiz_cost_bonus*TblMili[[#This Row],[WG''s]],4),wg_wiz_cost_cap) + tech_1_9_2*TblTech[[#This Row],[1-9]] + tech_9_1_2*TblTech[[#This Row],[9-1]])*wizard_plat,0)</f>
        <v>500</v>
      </c>
      <c r="BU116" s="97">
        <f ca="1">ROUNDUP((1-MIN(ROUND(wg_wiz_cost_bonus*TblMili[[#This Row],[WG''s]],4),wg_wiz_cost_cap) + tech_1_9_2*TblTech[[#This Row],[1-9]] + tech_9_1_2*TblTech[[#This Row],[9-1]])*archmage_plat,0)</f>
        <v>1000</v>
      </c>
      <c r="BV116" s="145"/>
      <c r="BW116" s="160">
        <f ca="1">TblConstr[[#This Row],[Homeland]]/TblConstr[[#This Row],[Land]]</f>
        <v>0.44</v>
      </c>
      <c r="BX116" s="160">
        <f ca="1">TblMili[[#This Row],[WG''s]]</f>
        <v>0</v>
      </c>
      <c r="BY116" s="266">
        <f ca="1">IF(mystic_cap="none",TblMili[[#This Row],[Hill]]/mystic_bonus,MIN(mystic_cap,TblMili[[#This Row],[Hill]]/mystic_bonus))</f>
        <v>2.1999999999999997</v>
      </c>
      <c r="BZ116" s="266">
        <f ca="1">IF(druid_op_cap="none",TblMili[[#This Row],[Hill]]/druid_op_bonus,MIN(druid_op_cap,TblMili[[#This Row],[Hill]]/druid_op_bonus))</f>
        <v>2.1999999999999997</v>
      </c>
      <c r="CA116" s="266">
        <f ca="1">IF(druid_dp_cap="none",TblMili[[#This Row],[Hill]]/druid_dp_bonus,MIN(druid_dp_cap,TblMili[[#This Row],[Hill]]/druid_dp_bonus))</f>
        <v>2.1999999999999997</v>
      </c>
      <c r="CB116" s="266">
        <f ca="1">MIN(dryad_cap,TblMili[[#This Row],[Hill]]/dryad_bonus)</f>
        <v>2.1999999999999997</v>
      </c>
      <c r="CC116" s="266">
        <f ca="1">MIN(rocka_cap,TblMili[[#This Row],[Hill]]/rocka_bonus)</f>
        <v>2</v>
      </c>
      <c r="CD116" s="266">
        <f ca="1">MIN(adept_op_cap,TblMili[[#This Row],[WG]]/adept_op_bonus)</f>
        <v>0</v>
      </c>
      <c r="CE116" s="266">
        <f ca="1">MIN(adept_dp_cap,TblMili[[#This Row],[WG]]/adept_dp_bonus)</f>
        <v>0</v>
      </c>
      <c r="CF116" s="97">
        <f ca="1">MIN(TblMili[[#This Row],[Unit 3]],TblMili[[#This Row],[Unit 2]])*2</f>
        <v>0</v>
      </c>
      <c r="CG116" s="97">
        <f ca="1">MIN(TblMili[[#This Row],[Unit 1]],TblMili[[#This Row],[Unit 4]])*2</f>
        <v>0</v>
      </c>
      <c r="CH116" s="266">
        <f ca="1">MIN(frost_mage_cap,TblMili[[#This Row],[Hill]]/frost_mage_bonus)</f>
        <v>2.1999999999999997</v>
      </c>
      <c r="CI116" s="45">
        <f ca="1">MIN(ice_elem_cap,TblMili[[#This Row],[Raw (2)]]*ice_elem_bonus)</f>
        <v>0.1</v>
      </c>
      <c r="CJ116" s="266">
        <f t="shared" si="4"/>
        <v>0.83333333333333337</v>
      </c>
      <c r="CK116" s="266">
        <f ca="1">MIN(nox_nightshade_cap,TblConstr[[#This Row],[Homeland]]/TblConstr[[#This Row],[Land]]/nox_nightshade_swamp_bonus)</f>
        <v>4</v>
      </c>
      <c r="CL116" s="267"/>
      <c r="CM116" s="267"/>
      <c r="CN116" s="267"/>
      <c r="CO116" s="266">
        <f ca="1">MIN(6,TblMili[[#This Row],[Mystic]]+Races!$F$19)*1.8 +  IF(TblMili[[#This Row],[Mystic]]+Races!$F$19&gt;6,(TblMili[[#This Row],[Mystic]]+Races!$F$19-6)*0.2,0) - Races!$I$19</f>
        <v>3.6399999999999997</v>
      </c>
      <c r="CP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6" s="97">
        <f ca="1">TblMili[[#This Row],[Mystic bonus]]*TblMili[[#This Row],[Unit 3]]+TblMili[[#This Row],[Druid bonus]]*TblMili[[#This Row],[Unit 4]]</f>
        <v>0</v>
      </c>
      <c r="CR116" s="158">
        <f ca="1">MIN(6,TblMili[[#This Row],[Dryad]]+Races!$F$35)*1.8 +  IF(TblMili[[#This Row],[Dryad]]+Races!$F$35&gt;6,(TblMili[[#This Row],[Dryad]]+Races!$F$35-6)*0.2,0) - Races!$I$19</f>
        <v>2.1599999999999993</v>
      </c>
      <c r="CS116" s="97">
        <f ca="1">sylvan*(TblMili[[#This Row],[Mystic bonus]]*TblMili[[#This Row],[Unit 3]])</f>
        <v>0</v>
      </c>
      <c r="CT116" s="158">
        <f ca="1">1.8 * MIN(MAX(Races!$E$27,TblMili[[#This Row],[Rockapult]]+Races!$F$27),6)  +  0.45 * MIN(MIN(Races!$E$27,TblMili[[#This Row],[Rockapult]]+Races!$F$27),6)  +  0.2 * ( MAX(Races!$E$27-6,0) + MAX(TblMili[[#This Row],[Rockapult]]+Races!$F$27-6,0) )  -  Races!$I$20</f>
        <v>5.8500000000000005</v>
      </c>
      <c r="CU116" s="97">
        <f ca="1">gnome*(TblMili[[#This Row],[Rockapult bonus]]*TblMili[[#This Row],[Unit 3]])</f>
        <v>0</v>
      </c>
      <c r="CV116" s="158">
        <f ca="1">1.8 * MIN(MAX(TblMili[[#This Row],[Spellblade]]+Races!$E$47,TblMili[[#This Row],[Adept-DP]]+Races!$F$47),6)  +  0.45 * MIN(MIN(TblMili[[#This Row],[Spellblade]]+Races!$E$47,TblMili[[#This Row],[Adept-DP]]+Races!$F$47),6)  +  0.2 * ( MAX(TblMili[[#This Row],[Spellblade]]+Races!$E$47-6,0) + MAX(TblMili[[#This Row],[Adept-DP]]+Races!$F$47-6,0) )  -  Races!$I$47</f>
        <v>0</v>
      </c>
      <c r="CW116" s="97">
        <f ca="1">dark_elf*(TblMili[[#This Row],[Adept bonus]]*TblMili[[#This Row],[Unit 3]])</f>
        <v>0</v>
      </c>
      <c r="CX116" s="158">
        <f ca="1">1.8 * MIN(MAX(TblMili[[#This Row],[Frost Mage]]+Races!$F$71,Races!$E$71),6)  +  0.45 * MIN(MIN(TblMili[[#This Row],[Frost Mage]]+Races!$F$71,Races!$E$71),6)  +  0.2 * ( MAX(TblMili[[#This Row],[Frost Mage]]+Races!$F$71-6,0) + MAX(Races!$E$71-6,0) )  -  Races!$I$71</f>
        <v>3.9599999999999991</v>
      </c>
      <c r="CY116" s="158">
        <f ca="1">1.8 * MIN(MAX(TblMili[[#This Row],[Ice Elemental]]+Races!$E$71,Races!$F$71),6)  +  0.45 * MIN(MIN(TblMili[[#This Row],[Ice Elemental]]+Races!$E$71,Races!$F$71),6)  +  0.2 * ( MAX(TblMili[[#This Row],[Ice Elemental]]+Races!$E$71-6,0) + MAX(Races!$F$71-6,0) )  -  Races!$I$71</f>
        <v>0.17999999999999972</v>
      </c>
      <c r="CZ116" s="97">
        <f ca="1">TblMili[[#This Row],[Frost Mage bonus]]*TblMili[[#This Row],[Unit 3]]+TblMili[[#This Row],[Ice Elemental bonus]]*TblMili[[#This Row],[Unit 4]]</f>
        <v>0</v>
      </c>
      <c r="DA116" s="268"/>
      <c r="DB116" s="146">
        <f ca="1">MIN(SUM(TblConstr[[#This Row],[Plain]:[Water]])/TblMili[[#This Row],[Land]]/favorable_terrain_bonus/100,favorable_terrain_max)</f>
        <v>0.1</v>
      </c>
      <c r="DC116" s="268"/>
      <c r="DD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6" s="145"/>
      <c r="DF116" s="269">
        <f ca="1">(TblMili[[#This Row],[Wizards]]+2*TblMili[[#This Row],[Archmages]])/TblConstr[[#This Row],[Land]]</f>
        <v>0.1</v>
      </c>
      <c r="DG116" s="269">
        <f ca="1">TblMili[[#This Row],[Raw (2)]]*(1+race_wizard_strength+IF(TblMili[[#This Row],[Hour]]&gt;72,tech_magical_weaponry_wiz*TblTech[[#This Row],[3-5]],0))</f>
        <v>0.1</v>
      </c>
    </row>
    <row r="117" spans="1:111"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45462.708333333059</v>
      </c>
      <c r="AG117" s="182"/>
      <c r="AH117" s="182"/>
      <c r="AI117" s="182"/>
      <c r="AJ117" s="182"/>
      <c r="AK117" s="182"/>
      <c r="AL117" s="182"/>
      <c r="AM117" s="182"/>
      <c r="AN117" s="182"/>
      <c r="AO117" s="449">
        <f ca="1">IF(AND(TblMagic[[#This Row],[Active DnD]]&lt;12,TblMagic[[#This Row],[Active DnD]]&gt;5),OFFSET(TblPop[[#This Row],[Draft Growth]],-1,0)/2,0)</f>
        <v>0</v>
      </c>
      <c r="AP117" s="145"/>
      <c r="AQ117" s="97">
        <f ca="1">TblProd[[#This Row],[Platinum]]</f>
        <v>740796</v>
      </c>
      <c r="AR117" s="97">
        <f ca="1">INDEX(TblProd[[#Headers],[Lumber]]:TblProd[[#This Row],[Ore]],COUNTA(TblProd[[#Headers],[Lumber]]:TblProd[[#This Row],[Lumber]]),MATCH(Military!$AQ$2,TblProd[[#Headers],[Lumber]:[Ore]],0))</f>
        <v>0</v>
      </c>
      <c r="AS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7">
        <f ca="1">TblMili[[#This Row],[Train Unit 1]]*TblMili[[#This Row],[OP Ore]]+TblMili[[#This Row],[Train Unit 2]]*TblMili[[#This Row],[DP Ore]]+TblMili[[#This Row],[Train Unit 3]]*TblMili[[#This Row],[E1 Ore]]+TblMili[[#This Row],[Train Unit 4]]*TblMili[[#This Row],[E2 Ore]]</f>
        <v>0</v>
      </c>
      <c r="AU117" s="145">
        <f>TblMili[[#This Row],[Hour]]</f>
        <v>114</v>
      </c>
      <c r="AV117" s="155">
        <f ca="1">TblMili[[#This Row],[Time]]</f>
        <v>45462.708333333059</v>
      </c>
      <c r="AW117" s="97">
        <f ca="1">TblMili[[#This Row],[Draftees]]</f>
        <v>626</v>
      </c>
      <c r="AX117" s="182"/>
      <c r="AY117" s="182"/>
      <c r="AZ117" s="182"/>
      <c r="BA117" s="182"/>
      <c r="BB117" s="182"/>
      <c r="BC117" s="182"/>
      <c r="BD117" s="182"/>
      <c r="BE117" s="182"/>
      <c r="BF117" s="182"/>
      <c r="BG117" s="145"/>
      <c r="BH117" s="160">
        <f ca="1">TblConstr[[#This Row],[Tot WG]]/TblConstr[[#This Row],[Land]]</f>
        <v>0</v>
      </c>
      <c r="BI117" s="160">
        <f ca="1">TblConstr[[#This Row],[Tot Hav]]/TblConstr[[#This Row],[Land]]</f>
        <v>0</v>
      </c>
      <c r="BJ117" s="97">
        <f ca="1">ROUNDUP((1-MIN(TblMili[[#This Row],[Smithies]]*smithy_bonus,smithy_bonus_cap) + tech_3_5*TblTech[[#This Row],[3-5]] + tech_5_3*TblTech[[#This Row],[5-3]] + tech_5_5*TblTech[[#This Row],[5-5]])*spec_op_plat,0)</f>
        <v>275</v>
      </c>
      <c r="BK117" s="97">
        <f ca="1">ROUNDUP(IF(race="Gnome",1,(1-MIN(TblMili[[#This Row],[Smithies]]*smithy_bonus,smithy_bonus_cap) + tech_3_5*TblTech[[#This Row],[3-5]] + tech_5_3*TblTech[[#This Row],[5-3]] + tech_5_5*TblTech[[#This Row],[5-5]]))*spec_op_ore,0)</f>
        <v>25</v>
      </c>
      <c r="BL117" s="97">
        <f ca="1">ROUNDUP((1-MIN(TblMili[[#This Row],[Smithies]]*smithy_bonus,smithy_bonus_cap) + tech_3_5*TblTech[[#This Row],[3-5]] + tech_5_3*TblTech[[#This Row],[5-3]] + tech_5_5*TblTech[[#This Row],[5-5]])*spec_dp_plat,0)</f>
        <v>275</v>
      </c>
      <c r="BM117" s="97">
        <f ca="1">ROUNDUP(IF(race="Gnome",1,(1-MIN(TblMili[[#This Row],[Smithies]]*smithy_bonus,smithy_bonus_cap) + tech_3_5*TblTech[[#This Row],[3-5]] + tech_5_3*TblTech[[#This Row],[5-3]] + tech_5_5*TblTech[[#This Row],[5-5]]))*spec_dp_ore,0)</f>
        <v>15</v>
      </c>
      <c r="BN117" s="97">
        <f ca="1">ROUNDUP((1-MIN(TblMili[[#This Row],[Smithies]]*smithy_bonus,smithy_bonus_cap) + tech_3_5*TblTech[[#This Row],[3-5]] + tech_5_3*TblTech[[#This Row],[5-3]] + tech_5_5*TblTech[[#This Row],[5-5]])*elite1_plat,0)</f>
        <v>1000</v>
      </c>
      <c r="BO117" s="97">
        <f ca="1">ROUNDUP(IF(race="Gnome",1,(1-MIN(TblMili[[#This Row],[Smithies]]*smithy_bonus,smithy_bonus_cap) + tech_3_5*TblTech[[#This Row],[3-5]] + tech_5_3*TblTech[[#This Row],[5-3]] + tech_5_5*TblTech[[#This Row],[5-5]]))*elite1_ore,0)</f>
        <v>75</v>
      </c>
      <c r="BP117" s="97">
        <f ca="1">ROUNDUP((1-MIN(TblMili[[#This Row],[Smithies]]*smithy_bonus,smithy_bonus_cap) + tech_3_5*TblTech[[#This Row],[3-5]] + tech_5_3*TblTech[[#This Row],[5-3]] + tech_5_5*TblTech[[#This Row],[5-5]])*elite2_plat,0)</f>
        <v>1250</v>
      </c>
      <c r="BQ117" s="97">
        <f ca="1">ROUNDUP(IF(race="Gnome",1,(1-MIN(TblMili[[#This Row],[Smithies]]*smithy_bonus,smithy_bonus_cap) + tech_3_5*TblTech[[#This Row],[3-5]] + tech_5_3*TblTech[[#This Row],[5-3]] + tech_5_5*TblTech[[#This Row],[5-5]]))*elite2_ore,0)</f>
        <v>100</v>
      </c>
      <c r="BR117" s="97">
        <f ca="1">ROUNDUP((1-MIN(ROUND(fh_spy_cost_red*TblMili[[#This Row],[FH''s]],4),fh_spy_cost_cap)+ tech_1_9*TblTech[[#This Row],[1-9]] + tech_9_1*TblTech[[#This Row],[9-1]])*spy_plat,0)</f>
        <v>500</v>
      </c>
      <c r="BS117" s="97">
        <f ca="1">ROUNDUP((1-MIN(ROUND(fh_spy_cost_red*TblMili[[#This Row],[FH''s]],4),fh_spy_cost_cap)+ tech_1_9*TblTech[[#This Row],[1-9]] + tech_9_1*TblTech[[#This Row],[9-1]])*archspy_plat,0)</f>
        <v>1000</v>
      </c>
      <c r="BT117" s="97">
        <f ca="1">ROUNDUP((1-MIN(ROUND(wg_wiz_cost_bonus*TblMili[[#This Row],[WG''s]],4),wg_wiz_cost_cap) + tech_1_9_2*TblTech[[#This Row],[1-9]] + tech_9_1_2*TblTech[[#This Row],[9-1]])*wizard_plat,0)</f>
        <v>500</v>
      </c>
      <c r="BU117" s="97">
        <f ca="1">ROUNDUP((1-MIN(ROUND(wg_wiz_cost_bonus*TblMili[[#This Row],[WG''s]],4),wg_wiz_cost_cap) + tech_1_9_2*TblTech[[#This Row],[1-9]] + tech_9_1_2*TblTech[[#This Row],[9-1]])*archmage_plat,0)</f>
        <v>1000</v>
      </c>
      <c r="BV117" s="145"/>
      <c r="BW117" s="160">
        <f ca="1">TblConstr[[#This Row],[Homeland]]/TblConstr[[#This Row],[Land]]</f>
        <v>0.44</v>
      </c>
      <c r="BX117" s="160">
        <f ca="1">TblMili[[#This Row],[WG''s]]</f>
        <v>0</v>
      </c>
      <c r="BY117" s="266">
        <f ca="1">IF(mystic_cap="none",TblMili[[#This Row],[Hill]]/mystic_bonus,MIN(mystic_cap,TblMili[[#This Row],[Hill]]/mystic_bonus))</f>
        <v>2.1999999999999997</v>
      </c>
      <c r="BZ117" s="266">
        <f ca="1">IF(druid_op_cap="none",TblMili[[#This Row],[Hill]]/druid_op_bonus,MIN(druid_op_cap,TblMili[[#This Row],[Hill]]/druid_op_bonus))</f>
        <v>2.1999999999999997</v>
      </c>
      <c r="CA117" s="266">
        <f ca="1">IF(druid_dp_cap="none",TblMili[[#This Row],[Hill]]/druid_dp_bonus,MIN(druid_dp_cap,TblMili[[#This Row],[Hill]]/druid_dp_bonus))</f>
        <v>2.1999999999999997</v>
      </c>
      <c r="CB117" s="266">
        <f ca="1">MIN(dryad_cap,TblMili[[#This Row],[Hill]]/dryad_bonus)</f>
        <v>2.1999999999999997</v>
      </c>
      <c r="CC117" s="266">
        <f ca="1">MIN(rocka_cap,TblMili[[#This Row],[Hill]]/rocka_bonus)</f>
        <v>2</v>
      </c>
      <c r="CD117" s="266">
        <f ca="1">MIN(adept_op_cap,TblMili[[#This Row],[WG]]/adept_op_bonus)</f>
        <v>0</v>
      </c>
      <c r="CE117" s="266">
        <f ca="1">MIN(adept_dp_cap,TblMili[[#This Row],[WG]]/adept_dp_bonus)</f>
        <v>0</v>
      </c>
      <c r="CF117" s="97">
        <f ca="1">MIN(TblMili[[#This Row],[Unit 3]],TblMili[[#This Row],[Unit 2]])*2</f>
        <v>0</v>
      </c>
      <c r="CG117" s="97">
        <f ca="1">MIN(TblMili[[#This Row],[Unit 1]],TblMili[[#This Row],[Unit 4]])*2</f>
        <v>0</v>
      </c>
      <c r="CH117" s="266">
        <f ca="1">MIN(frost_mage_cap,TblMili[[#This Row],[Hill]]/frost_mage_bonus)</f>
        <v>2.1999999999999997</v>
      </c>
      <c r="CI117" s="45">
        <f ca="1">MIN(ice_elem_cap,TblMili[[#This Row],[Raw (2)]]*ice_elem_bonus)</f>
        <v>0.1</v>
      </c>
      <c r="CJ117" s="266">
        <f t="shared" si="4"/>
        <v>0.83333333333333337</v>
      </c>
      <c r="CK117" s="266">
        <f ca="1">MIN(nox_nightshade_cap,TblConstr[[#This Row],[Homeland]]/TblConstr[[#This Row],[Land]]/nox_nightshade_swamp_bonus)</f>
        <v>4</v>
      </c>
      <c r="CL117" s="267"/>
      <c r="CM117" s="267"/>
      <c r="CN117" s="267"/>
      <c r="CO117" s="266">
        <f ca="1">MIN(6,TblMili[[#This Row],[Mystic]]+Races!$F$19)*1.8 +  IF(TblMili[[#This Row],[Mystic]]+Races!$F$19&gt;6,(TblMili[[#This Row],[Mystic]]+Races!$F$19-6)*0.2,0) - Races!$I$19</f>
        <v>3.6399999999999997</v>
      </c>
      <c r="CP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7" s="97">
        <f ca="1">TblMili[[#This Row],[Mystic bonus]]*TblMili[[#This Row],[Unit 3]]+TblMili[[#This Row],[Druid bonus]]*TblMili[[#This Row],[Unit 4]]</f>
        <v>0</v>
      </c>
      <c r="CR117" s="158">
        <f ca="1">MIN(6,TblMili[[#This Row],[Dryad]]+Races!$F$35)*1.8 +  IF(TblMili[[#This Row],[Dryad]]+Races!$F$35&gt;6,(TblMili[[#This Row],[Dryad]]+Races!$F$35-6)*0.2,0) - Races!$I$19</f>
        <v>2.1599999999999993</v>
      </c>
      <c r="CS117" s="97">
        <f ca="1">sylvan*(TblMili[[#This Row],[Mystic bonus]]*TblMili[[#This Row],[Unit 3]])</f>
        <v>0</v>
      </c>
      <c r="CT117" s="158">
        <f ca="1">1.8 * MIN(MAX(Races!$E$27,TblMili[[#This Row],[Rockapult]]+Races!$F$27),6)  +  0.45 * MIN(MIN(Races!$E$27,TblMili[[#This Row],[Rockapult]]+Races!$F$27),6)  +  0.2 * ( MAX(Races!$E$27-6,0) + MAX(TblMili[[#This Row],[Rockapult]]+Races!$F$27-6,0) )  -  Races!$I$20</f>
        <v>5.8500000000000005</v>
      </c>
      <c r="CU117" s="97">
        <f ca="1">gnome*(TblMili[[#This Row],[Rockapult bonus]]*TblMili[[#This Row],[Unit 3]])</f>
        <v>0</v>
      </c>
      <c r="CV117" s="158">
        <f ca="1">1.8 * MIN(MAX(TblMili[[#This Row],[Spellblade]]+Races!$E$47,TblMili[[#This Row],[Adept-DP]]+Races!$F$47),6)  +  0.45 * MIN(MIN(TblMili[[#This Row],[Spellblade]]+Races!$E$47,TblMili[[#This Row],[Adept-DP]]+Races!$F$47),6)  +  0.2 * ( MAX(TblMili[[#This Row],[Spellblade]]+Races!$E$47-6,0) + MAX(TblMili[[#This Row],[Adept-DP]]+Races!$F$47-6,0) )  -  Races!$I$47</f>
        <v>0</v>
      </c>
      <c r="CW117" s="97">
        <f ca="1">dark_elf*(TblMili[[#This Row],[Adept bonus]]*TblMili[[#This Row],[Unit 3]])</f>
        <v>0</v>
      </c>
      <c r="CX117" s="158">
        <f ca="1">1.8 * MIN(MAX(TblMili[[#This Row],[Frost Mage]]+Races!$F$71,Races!$E$71),6)  +  0.45 * MIN(MIN(TblMili[[#This Row],[Frost Mage]]+Races!$F$71,Races!$E$71),6)  +  0.2 * ( MAX(TblMili[[#This Row],[Frost Mage]]+Races!$F$71-6,0) + MAX(Races!$E$71-6,0) )  -  Races!$I$71</f>
        <v>3.9599999999999991</v>
      </c>
      <c r="CY117" s="158">
        <f ca="1">1.8 * MIN(MAX(TblMili[[#This Row],[Ice Elemental]]+Races!$E$71,Races!$F$71),6)  +  0.45 * MIN(MIN(TblMili[[#This Row],[Ice Elemental]]+Races!$E$71,Races!$F$71),6)  +  0.2 * ( MAX(TblMili[[#This Row],[Ice Elemental]]+Races!$E$71-6,0) + MAX(Races!$F$71-6,0) )  -  Races!$I$71</f>
        <v>0.17999999999999972</v>
      </c>
      <c r="CZ117" s="97">
        <f ca="1">TblMili[[#This Row],[Frost Mage bonus]]*TblMili[[#This Row],[Unit 3]]+TblMili[[#This Row],[Ice Elemental bonus]]*TblMili[[#This Row],[Unit 4]]</f>
        <v>0</v>
      </c>
      <c r="DA117" s="268"/>
      <c r="DB117" s="146">
        <f ca="1">MIN(SUM(TblConstr[[#This Row],[Plain]:[Water]])/TblMili[[#This Row],[Land]]/favorable_terrain_bonus/100,favorable_terrain_max)</f>
        <v>0.1</v>
      </c>
      <c r="DC117" s="268"/>
      <c r="DD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7" s="145"/>
      <c r="DF117" s="269">
        <f ca="1">(TblMili[[#This Row],[Wizards]]+2*TblMili[[#This Row],[Archmages]])/TblConstr[[#This Row],[Land]]</f>
        <v>0.1</v>
      </c>
      <c r="DG117" s="269">
        <f ca="1">TblMili[[#This Row],[Raw (2)]]*(1+race_wizard_strength+IF(TblMili[[#This Row],[Hour]]&gt;72,tech_magical_weaponry_wiz*TblTech[[#This Row],[3-5]],0))</f>
        <v>0.1</v>
      </c>
    </row>
    <row r="118" spans="1:111"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45462.749999999724</v>
      </c>
      <c r="AG118" s="182"/>
      <c r="AH118" s="182"/>
      <c r="AI118" s="182"/>
      <c r="AJ118" s="182"/>
      <c r="AK118" s="182"/>
      <c r="AL118" s="182"/>
      <c r="AM118" s="182"/>
      <c r="AN118" s="182"/>
      <c r="AO118" s="449">
        <f ca="1">IF(AND(TblMagic[[#This Row],[Active DnD]]&lt;12,TblMagic[[#This Row],[Active DnD]]&gt;5),OFFSET(TblPop[[#This Row],[Draft Growth]],-1,0)/2,0)</f>
        <v>0</v>
      </c>
      <c r="AP118" s="145"/>
      <c r="AQ118" s="97">
        <f ca="1">TblProd[[#This Row],[Platinum]]</f>
        <v>746282</v>
      </c>
      <c r="AR118" s="97">
        <f ca="1">INDEX(TblProd[[#Headers],[Lumber]]:TblProd[[#This Row],[Ore]],COUNTA(TblProd[[#Headers],[Lumber]]:TblProd[[#This Row],[Lumber]]),MATCH(Military!$AQ$2,TblProd[[#Headers],[Lumber]:[Ore]],0))</f>
        <v>0</v>
      </c>
      <c r="AS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7">
        <f ca="1">TblMili[[#This Row],[Train Unit 1]]*TblMili[[#This Row],[OP Ore]]+TblMili[[#This Row],[Train Unit 2]]*TblMili[[#This Row],[DP Ore]]+TblMili[[#This Row],[Train Unit 3]]*TblMili[[#This Row],[E1 Ore]]+TblMili[[#This Row],[Train Unit 4]]*TblMili[[#This Row],[E2 Ore]]</f>
        <v>0</v>
      </c>
      <c r="AU118" s="145">
        <f>TblMili[[#This Row],[Hour]]</f>
        <v>115</v>
      </c>
      <c r="AV118" s="155">
        <f ca="1">TblMili[[#This Row],[Time]]</f>
        <v>45462.749999999724</v>
      </c>
      <c r="AW118" s="97">
        <f ca="1">TblMili[[#This Row],[Draftees]]</f>
        <v>626</v>
      </c>
      <c r="AX118" s="182"/>
      <c r="AY118" s="182"/>
      <c r="AZ118" s="182"/>
      <c r="BA118" s="182"/>
      <c r="BB118" s="182"/>
      <c r="BC118" s="182"/>
      <c r="BD118" s="182"/>
      <c r="BE118" s="182"/>
      <c r="BF118" s="182"/>
      <c r="BG118" s="145"/>
      <c r="BH118" s="160">
        <f ca="1">TblConstr[[#This Row],[Tot WG]]/TblConstr[[#This Row],[Land]]</f>
        <v>0</v>
      </c>
      <c r="BI118" s="160">
        <f ca="1">TblConstr[[#This Row],[Tot Hav]]/TblConstr[[#This Row],[Land]]</f>
        <v>0</v>
      </c>
      <c r="BJ118" s="97">
        <f ca="1">ROUNDUP((1-MIN(TblMili[[#This Row],[Smithies]]*smithy_bonus,smithy_bonus_cap) + tech_3_5*TblTech[[#This Row],[3-5]] + tech_5_3*TblTech[[#This Row],[5-3]] + tech_5_5*TblTech[[#This Row],[5-5]])*spec_op_plat,0)</f>
        <v>275</v>
      </c>
      <c r="BK118" s="97">
        <f ca="1">ROUNDUP(IF(race="Gnome",1,(1-MIN(TblMili[[#This Row],[Smithies]]*smithy_bonus,smithy_bonus_cap) + tech_3_5*TblTech[[#This Row],[3-5]] + tech_5_3*TblTech[[#This Row],[5-3]] + tech_5_5*TblTech[[#This Row],[5-5]]))*spec_op_ore,0)</f>
        <v>25</v>
      </c>
      <c r="BL118" s="97">
        <f ca="1">ROUNDUP((1-MIN(TblMili[[#This Row],[Smithies]]*smithy_bonus,smithy_bonus_cap) + tech_3_5*TblTech[[#This Row],[3-5]] + tech_5_3*TblTech[[#This Row],[5-3]] + tech_5_5*TblTech[[#This Row],[5-5]])*spec_dp_plat,0)</f>
        <v>275</v>
      </c>
      <c r="BM118" s="97">
        <f ca="1">ROUNDUP(IF(race="Gnome",1,(1-MIN(TblMili[[#This Row],[Smithies]]*smithy_bonus,smithy_bonus_cap) + tech_3_5*TblTech[[#This Row],[3-5]] + tech_5_3*TblTech[[#This Row],[5-3]] + tech_5_5*TblTech[[#This Row],[5-5]]))*spec_dp_ore,0)</f>
        <v>15</v>
      </c>
      <c r="BN118" s="97">
        <f ca="1">ROUNDUP((1-MIN(TblMili[[#This Row],[Smithies]]*smithy_bonus,smithy_bonus_cap) + tech_3_5*TblTech[[#This Row],[3-5]] + tech_5_3*TblTech[[#This Row],[5-3]] + tech_5_5*TblTech[[#This Row],[5-5]])*elite1_plat,0)</f>
        <v>1000</v>
      </c>
      <c r="BO118" s="97">
        <f ca="1">ROUNDUP(IF(race="Gnome",1,(1-MIN(TblMili[[#This Row],[Smithies]]*smithy_bonus,smithy_bonus_cap) + tech_3_5*TblTech[[#This Row],[3-5]] + tech_5_3*TblTech[[#This Row],[5-3]] + tech_5_5*TblTech[[#This Row],[5-5]]))*elite1_ore,0)</f>
        <v>75</v>
      </c>
      <c r="BP118" s="97">
        <f ca="1">ROUNDUP((1-MIN(TblMili[[#This Row],[Smithies]]*smithy_bonus,smithy_bonus_cap) + tech_3_5*TblTech[[#This Row],[3-5]] + tech_5_3*TblTech[[#This Row],[5-3]] + tech_5_5*TblTech[[#This Row],[5-5]])*elite2_plat,0)</f>
        <v>1250</v>
      </c>
      <c r="BQ118" s="97">
        <f ca="1">ROUNDUP(IF(race="Gnome",1,(1-MIN(TblMili[[#This Row],[Smithies]]*smithy_bonus,smithy_bonus_cap) + tech_3_5*TblTech[[#This Row],[3-5]] + tech_5_3*TblTech[[#This Row],[5-3]] + tech_5_5*TblTech[[#This Row],[5-5]]))*elite2_ore,0)</f>
        <v>100</v>
      </c>
      <c r="BR118" s="97">
        <f ca="1">ROUNDUP((1-MIN(ROUND(fh_spy_cost_red*TblMili[[#This Row],[FH''s]],4),fh_spy_cost_cap)+ tech_1_9*TblTech[[#This Row],[1-9]] + tech_9_1*TblTech[[#This Row],[9-1]])*spy_plat,0)</f>
        <v>500</v>
      </c>
      <c r="BS118" s="97">
        <f ca="1">ROUNDUP((1-MIN(ROUND(fh_spy_cost_red*TblMili[[#This Row],[FH''s]],4),fh_spy_cost_cap)+ tech_1_9*TblTech[[#This Row],[1-9]] + tech_9_1*TblTech[[#This Row],[9-1]])*archspy_plat,0)</f>
        <v>1000</v>
      </c>
      <c r="BT118" s="97">
        <f ca="1">ROUNDUP((1-MIN(ROUND(wg_wiz_cost_bonus*TblMili[[#This Row],[WG''s]],4),wg_wiz_cost_cap) + tech_1_9_2*TblTech[[#This Row],[1-9]] + tech_9_1_2*TblTech[[#This Row],[9-1]])*wizard_plat,0)</f>
        <v>500</v>
      </c>
      <c r="BU118" s="97">
        <f ca="1">ROUNDUP((1-MIN(ROUND(wg_wiz_cost_bonus*TblMili[[#This Row],[WG''s]],4),wg_wiz_cost_cap) + tech_1_9_2*TblTech[[#This Row],[1-9]] + tech_9_1_2*TblTech[[#This Row],[9-1]])*archmage_plat,0)</f>
        <v>1000</v>
      </c>
      <c r="BV118" s="145"/>
      <c r="BW118" s="160">
        <f ca="1">TblConstr[[#This Row],[Homeland]]/TblConstr[[#This Row],[Land]]</f>
        <v>0.44</v>
      </c>
      <c r="BX118" s="160">
        <f ca="1">TblMili[[#This Row],[WG''s]]</f>
        <v>0</v>
      </c>
      <c r="BY118" s="266">
        <f ca="1">IF(mystic_cap="none",TblMili[[#This Row],[Hill]]/mystic_bonus,MIN(mystic_cap,TblMili[[#This Row],[Hill]]/mystic_bonus))</f>
        <v>2.1999999999999997</v>
      </c>
      <c r="BZ118" s="266">
        <f ca="1">IF(druid_op_cap="none",TblMili[[#This Row],[Hill]]/druid_op_bonus,MIN(druid_op_cap,TblMili[[#This Row],[Hill]]/druid_op_bonus))</f>
        <v>2.1999999999999997</v>
      </c>
      <c r="CA118" s="266">
        <f ca="1">IF(druid_dp_cap="none",TblMili[[#This Row],[Hill]]/druid_dp_bonus,MIN(druid_dp_cap,TblMili[[#This Row],[Hill]]/druid_dp_bonus))</f>
        <v>2.1999999999999997</v>
      </c>
      <c r="CB118" s="266">
        <f ca="1">MIN(dryad_cap,TblMili[[#This Row],[Hill]]/dryad_bonus)</f>
        <v>2.1999999999999997</v>
      </c>
      <c r="CC118" s="266">
        <f ca="1">MIN(rocka_cap,TblMili[[#This Row],[Hill]]/rocka_bonus)</f>
        <v>2</v>
      </c>
      <c r="CD118" s="266">
        <f ca="1">MIN(adept_op_cap,TblMili[[#This Row],[WG]]/adept_op_bonus)</f>
        <v>0</v>
      </c>
      <c r="CE118" s="266">
        <f ca="1">MIN(adept_dp_cap,TblMili[[#This Row],[WG]]/adept_dp_bonus)</f>
        <v>0</v>
      </c>
      <c r="CF118" s="97">
        <f ca="1">MIN(TblMili[[#This Row],[Unit 3]],TblMili[[#This Row],[Unit 2]])*2</f>
        <v>0</v>
      </c>
      <c r="CG118" s="97">
        <f ca="1">MIN(TblMili[[#This Row],[Unit 1]],TblMili[[#This Row],[Unit 4]])*2</f>
        <v>0</v>
      </c>
      <c r="CH118" s="266">
        <f ca="1">MIN(frost_mage_cap,TblMili[[#This Row],[Hill]]/frost_mage_bonus)</f>
        <v>2.1999999999999997</v>
      </c>
      <c r="CI118" s="45">
        <f ca="1">MIN(ice_elem_cap,TblMili[[#This Row],[Raw (2)]]*ice_elem_bonus)</f>
        <v>0.1</v>
      </c>
      <c r="CJ118" s="266">
        <f t="shared" si="4"/>
        <v>0.83333333333333337</v>
      </c>
      <c r="CK118" s="266">
        <f ca="1">MIN(nox_nightshade_cap,TblConstr[[#This Row],[Homeland]]/TblConstr[[#This Row],[Land]]/nox_nightshade_swamp_bonus)</f>
        <v>4</v>
      </c>
      <c r="CL118" s="267"/>
      <c r="CM118" s="267"/>
      <c r="CN118" s="267"/>
      <c r="CO118" s="266">
        <f ca="1">MIN(6,TblMili[[#This Row],[Mystic]]+Races!$F$19)*1.8 +  IF(TblMili[[#This Row],[Mystic]]+Races!$F$19&gt;6,(TblMili[[#This Row],[Mystic]]+Races!$F$19-6)*0.2,0) - Races!$I$19</f>
        <v>3.6399999999999997</v>
      </c>
      <c r="CP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8" s="97">
        <f ca="1">TblMili[[#This Row],[Mystic bonus]]*TblMili[[#This Row],[Unit 3]]+TblMili[[#This Row],[Druid bonus]]*TblMili[[#This Row],[Unit 4]]</f>
        <v>0</v>
      </c>
      <c r="CR118" s="158">
        <f ca="1">MIN(6,TblMili[[#This Row],[Dryad]]+Races!$F$35)*1.8 +  IF(TblMili[[#This Row],[Dryad]]+Races!$F$35&gt;6,(TblMili[[#This Row],[Dryad]]+Races!$F$35-6)*0.2,0) - Races!$I$19</f>
        <v>2.1599999999999993</v>
      </c>
      <c r="CS118" s="97">
        <f ca="1">sylvan*(TblMili[[#This Row],[Mystic bonus]]*TblMili[[#This Row],[Unit 3]])</f>
        <v>0</v>
      </c>
      <c r="CT118" s="158">
        <f ca="1">1.8 * MIN(MAX(Races!$E$27,TblMili[[#This Row],[Rockapult]]+Races!$F$27),6)  +  0.45 * MIN(MIN(Races!$E$27,TblMili[[#This Row],[Rockapult]]+Races!$F$27),6)  +  0.2 * ( MAX(Races!$E$27-6,0) + MAX(TblMili[[#This Row],[Rockapult]]+Races!$F$27-6,0) )  -  Races!$I$20</f>
        <v>5.8500000000000005</v>
      </c>
      <c r="CU118" s="97">
        <f ca="1">gnome*(TblMili[[#This Row],[Rockapult bonus]]*TblMili[[#This Row],[Unit 3]])</f>
        <v>0</v>
      </c>
      <c r="CV118" s="158">
        <f ca="1">1.8 * MIN(MAX(TblMili[[#This Row],[Spellblade]]+Races!$E$47,TblMili[[#This Row],[Adept-DP]]+Races!$F$47),6)  +  0.45 * MIN(MIN(TblMili[[#This Row],[Spellblade]]+Races!$E$47,TblMili[[#This Row],[Adept-DP]]+Races!$F$47),6)  +  0.2 * ( MAX(TblMili[[#This Row],[Spellblade]]+Races!$E$47-6,0) + MAX(TblMili[[#This Row],[Adept-DP]]+Races!$F$47-6,0) )  -  Races!$I$47</f>
        <v>0</v>
      </c>
      <c r="CW118" s="97">
        <f ca="1">dark_elf*(TblMili[[#This Row],[Adept bonus]]*TblMili[[#This Row],[Unit 3]])</f>
        <v>0</v>
      </c>
      <c r="CX118" s="158">
        <f ca="1">1.8 * MIN(MAX(TblMili[[#This Row],[Frost Mage]]+Races!$F$71,Races!$E$71),6)  +  0.45 * MIN(MIN(TblMili[[#This Row],[Frost Mage]]+Races!$F$71,Races!$E$71),6)  +  0.2 * ( MAX(TblMili[[#This Row],[Frost Mage]]+Races!$F$71-6,0) + MAX(Races!$E$71-6,0) )  -  Races!$I$71</f>
        <v>3.9599999999999991</v>
      </c>
      <c r="CY118" s="158">
        <f ca="1">1.8 * MIN(MAX(TblMili[[#This Row],[Ice Elemental]]+Races!$E$71,Races!$F$71),6)  +  0.45 * MIN(MIN(TblMili[[#This Row],[Ice Elemental]]+Races!$E$71,Races!$F$71),6)  +  0.2 * ( MAX(TblMili[[#This Row],[Ice Elemental]]+Races!$E$71-6,0) + MAX(Races!$F$71-6,0) )  -  Races!$I$71</f>
        <v>0.17999999999999972</v>
      </c>
      <c r="CZ118" s="97">
        <f ca="1">TblMili[[#This Row],[Frost Mage bonus]]*TblMili[[#This Row],[Unit 3]]+TblMili[[#This Row],[Ice Elemental bonus]]*TblMili[[#This Row],[Unit 4]]</f>
        <v>0</v>
      </c>
      <c r="DA118" s="268"/>
      <c r="DB118" s="146">
        <f ca="1">MIN(SUM(TblConstr[[#This Row],[Plain]:[Water]])/TblMili[[#This Row],[Land]]/favorable_terrain_bonus/100,favorable_terrain_max)</f>
        <v>0.1</v>
      </c>
      <c r="DC118" s="268"/>
      <c r="DD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8" s="145"/>
      <c r="DF118" s="269">
        <f ca="1">(TblMili[[#This Row],[Wizards]]+2*TblMili[[#This Row],[Archmages]])/TblConstr[[#This Row],[Land]]</f>
        <v>0.1</v>
      </c>
      <c r="DG118" s="269">
        <f ca="1">TblMili[[#This Row],[Raw (2)]]*(1+race_wizard_strength+IF(TblMili[[#This Row],[Hour]]&gt;72,tech_magical_weaponry_wiz*TblTech[[#This Row],[3-5]],0))</f>
        <v>0.1</v>
      </c>
    </row>
    <row r="119" spans="1:111"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45462.791666666388</v>
      </c>
      <c r="AG119" s="182"/>
      <c r="AH119" s="182"/>
      <c r="AI119" s="182"/>
      <c r="AJ119" s="182"/>
      <c r="AK119" s="182"/>
      <c r="AL119" s="182"/>
      <c r="AM119" s="182"/>
      <c r="AN119" s="182"/>
      <c r="AO119" s="449">
        <f ca="1">IF(AND(TblMagic[[#This Row],[Active DnD]]&lt;12,TblMagic[[#This Row],[Active DnD]]&gt;5),OFFSET(TblPop[[#This Row],[Draft Growth]],-1,0)/2,0)</f>
        <v>0</v>
      </c>
      <c r="AP119" s="145"/>
      <c r="AQ119" s="97">
        <f ca="1">TblProd[[#This Row],[Platinum]]</f>
        <v>751768</v>
      </c>
      <c r="AR119" s="97">
        <f ca="1">INDEX(TblProd[[#Headers],[Lumber]]:TblProd[[#This Row],[Ore]],COUNTA(TblProd[[#Headers],[Lumber]]:TblProd[[#This Row],[Lumber]]),MATCH(Military!$AQ$2,TblProd[[#Headers],[Lumber]:[Ore]],0))</f>
        <v>0</v>
      </c>
      <c r="AS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7">
        <f ca="1">TblMili[[#This Row],[Train Unit 1]]*TblMili[[#This Row],[OP Ore]]+TblMili[[#This Row],[Train Unit 2]]*TblMili[[#This Row],[DP Ore]]+TblMili[[#This Row],[Train Unit 3]]*TblMili[[#This Row],[E1 Ore]]+TblMili[[#This Row],[Train Unit 4]]*TblMili[[#This Row],[E2 Ore]]</f>
        <v>0</v>
      </c>
      <c r="AU119" s="145">
        <f>TblMili[[#This Row],[Hour]]</f>
        <v>116</v>
      </c>
      <c r="AV119" s="155">
        <f ca="1">TblMili[[#This Row],[Time]]</f>
        <v>45462.791666666388</v>
      </c>
      <c r="AW119" s="97">
        <f ca="1">TblMili[[#This Row],[Draftees]]</f>
        <v>626</v>
      </c>
      <c r="AX119" s="182"/>
      <c r="AY119" s="182"/>
      <c r="AZ119" s="182"/>
      <c r="BA119" s="182"/>
      <c r="BB119" s="182"/>
      <c r="BC119" s="182"/>
      <c r="BD119" s="182"/>
      <c r="BE119" s="182"/>
      <c r="BF119" s="182"/>
      <c r="BG119" s="145"/>
      <c r="BH119" s="160">
        <f ca="1">TblConstr[[#This Row],[Tot WG]]/TblConstr[[#This Row],[Land]]</f>
        <v>0</v>
      </c>
      <c r="BI119" s="160">
        <f ca="1">TblConstr[[#This Row],[Tot Hav]]/TblConstr[[#This Row],[Land]]</f>
        <v>0</v>
      </c>
      <c r="BJ119" s="97">
        <f ca="1">ROUNDUP((1-MIN(TblMili[[#This Row],[Smithies]]*smithy_bonus,smithy_bonus_cap) + tech_3_5*TblTech[[#This Row],[3-5]] + tech_5_3*TblTech[[#This Row],[5-3]] + tech_5_5*TblTech[[#This Row],[5-5]])*spec_op_plat,0)</f>
        <v>275</v>
      </c>
      <c r="BK119" s="97">
        <f ca="1">ROUNDUP(IF(race="Gnome",1,(1-MIN(TblMili[[#This Row],[Smithies]]*smithy_bonus,smithy_bonus_cap) + tech_3_5*TblTech[[#This Row],[3-5]] + tech_5_3*TblTech[[#This Row],[5-3]] + tech_5_5*TblTech[[#This Row],[5-5]]))*spec_op_ore,0)</f>
        <v>25</v>
      </c>
      <c r="BL119" s="97">
        <f ca="1">ROUNDUP((1-MIN(TblMili[[#This Row],[Smithies]]*smithy_bonus,smithy_bonus_cap) + tech_3_5*TblTech[[#This Row],[3-5]] + tech_5_3*TblTech[[#This Row],[5-3]] + tech_5_5*TblTech[[#This Row],[5-5]])*spec_dp_plat,0)</f>
        <v>275</v>
      </c>
      <c r="BM119" s="97">
        <f ca="1">ROUNDUP(IF(race="Gnome",1,(1-MIN(TblMili[[#This Row],[Smithies]]*smithy_bonus,smithy_bonus_cap) + tech_3_5*TblTech[[#This Row],[3-5]] + tech_5_3*TblTech[[#This Row],[5-3]] + tech_5_5*TblTech[[#This Row],[5-5]]))*spec_dp_ore,0)</f>
        <v>15</v>
      </c>
      <c r="BN119" s="97">
        <f ca="1">ROUNDUP((1-MIN(TblMili[[#This Row],[Smithies]]*smithy_bonus,smithy_bonus_cap) + tech_3_5*TblTech[[#This Row],[3-5]] + tech_5_3*TblTech[[#This Row],[5-3]] + tech_5_5*TblTech[[#This Row],[5-5]])*elite1_plat,0)</f>
        <v>1000</v>
      </c>
      <c r="BO119" s="97">
        <f ca="1">ROUNDUP(IF(race="Gnome",1,(1-MIN(TblMili[[#This Row],[Smithies]]*smithy_bonus,smithy_bonus_cap) + tech_3_5*TblTech[[#This Row],[3-5]] + tech_5_3*TblTech[[#This Row],[5-3]] + tech_5_5*TblTech[[#This Row],[5-5]]))*elite1_ore,0)</f>
        <v>75</v>
      </c>
      <c r="BP119" s="97">
        <f ca="1">ROUNDUP((1-MIN(TblMili[[#This Row],[Smithies]]*smithy_bonus,smithy_bonus_cap) + tech_3_5*TblTech[[#This Row],[3-5]] + tech_5_3*TblTech[[#This Row],[5-3]] + tech_5_5*TblTech[[#This Row],[5-5]])*elite2_plat,0)</f>
        <v>1250</v>
      </c>
      <c r="BQ119" s="97">
        <f ca="1">ROUNDUP(IF(race="Gnome",1,(1-MIN(TblMili[[#This Row],[Smithies]]*smithy_bonus,smithy_bonus_cap) + tech_3_5*TblTech[[#This Row],[3-5]] + tech_5_3*TblTech[[#This Row],[5-3]] + tech_5_5*TblTech[[#This Row],[5-5]]))*elite2_ore,0)</f>
        <v>100</v>
      </c>
      <c r="BR119" s="97">
        <f ca="1">ROUNDUP((1-MIN(ROUND(fh_spy_cost_red*TblMili[[#This Row],[FH''s]],4),fh_spy_cost_cap)+ tech_1_9*TblTech[[#This Row],[1-9]] + tech_9_1*TblTech[[#This Row],[9-1]])*spy_plat,0)</f>
        <v>500</v>
      </c>
      <c r="BS119" s="97">
        <f ca="1">ROUNDUP((1-MIN(ROUND(fh_spy_cost_red*TblMili[[#This Row],[FH''s]],4),fh_spy_cost_cap)+ tech_1_9*TblTech[[#This Row],[1-9]] + tech_9_1*TblTech[[#This Row],[9-1]])*archspy_plat,0)</f>
        <v>1000</v>
      </c>
      <c r="BT119" s="97">
        <f ca="1">ROUNDUP((1-MIN(ROUND(wg_wiz_cost_bonus*TblMili[[#This Row],[WG''s]],4),wg_wiz_cost_cap) + tech_1_9_2*TblTech[[#This Row],[1-9]] + tech_9_1_2*TblTech[[#This Row],[9-1]])*wizard_plat,0)</f>
        <v>500</v>
      </c>
      <c r="BU119" s="97">
        <f ca="1">ROUNDUP((1-MIN(ROUND(wg_wiz_cost_bonus*TblMili[[#This Row],[WG''s]],4),wg_wiz_cost_cap) + tech_1_9_2*TblTech[[#This Row],[1-9]] + tech_9_1_2*TblTech[[#This Row],[9-1]])*archmage_plat,0)</f>
        <v>1000</v>
      </c>
      <c r="BV119" s="145"/>
      <c r="BW119" s="160">
        <f ca="1">TblConstr[[#This Row],[Homeland]]/TblConstr[[#This Row],[Land]]</f>
        <v>0.44</v>
      </c>
      <c r="BX119" s="160">
        <f ca="1">TblMili[[#This Row],[WG''s]]</f>
        <v>0</v>
      </c>
      <c r="BY119" s="266">
        <f ca="1">IF(mystic_cap="none",TblMili[[#This Row],[Hill]]/mystic_bonus,MIN(mystic_cap,TblMili[[#This Row],[Hill]]/mystic_bonus))</f>
        <v>2.1999999999999997</v>
      </c>
      <c r="BZ119" s="266">
        <f ca="1">IF(druid_op_cap="none",TblMili[[#This Row],[Hill]]/druid_op_bonus,MIN(druid_op_cap,TblMili[[#This Row],[Hill]]/druid_op_bonus))</f>
        <v>2.1999999999999997</v>
      </c>
      <c r="CA119" s="266">
        <f ca="1">IF(druid_dp_cap="none",TblMili[[#This Row],[Hill]]/druid_dp_bonus,MIN(druid_dp_cap,TblMili[[#This Row],[Hill]]/druid_dp_bonus))</f>
        <v>2.1999999999999997</v>
      </c>
      <c r="CB119" s="266">
        <f ca="1">MIN(dryad_cap,TblMili[[#This Row],[Hill]]/dryad_bonus)</f>
        <v>2.1999999999999997</v>
      </c>
      <c r="CC119" s="266">
        <f ca="1">MIN(rocka_cap,TblMili[[#This Row],[Hill]]/rocka_bonus)</f>
        <v>2</v>
      </c>
      <c r="CD119" s="266">
        <f ca="1">MIN(adept_op_cap,TblMili[[#This Row],[WG]]/adept_op_bonus)</f>
        <v>0</v>
      </c>
      <c r="CE119" s="266">
        <f ca="1">MIN(adept_dp_cap,TblMili[[#This Row],[WG]]/adept_dp_bonus)</f>
        <v>0</v>
      </c>
      <c r="CF119" s="97">
        <f ca="1">MIN(TblMili[[#This Row],[Unit 3]],TblMili[[#This Row],[Unit 2]])*2</f>
        <v>0</v>
      </c>
      <c r="CG119" s="97">
        <f ca="1">MIN(TblMili[[#This Row],[Unit 1]],TblMili[[#This Row],[Unit 4]])*2</f>
        <v>0</v>
      </c>
      <c r="CH119" s="266">
        <f ca="1">MIN(frost_mage_cap,TblMili[[#This Row],[Hill]]/frost_mage_bonus)</f>
        <v>2.1999999999999997</v>
      </c>
      <c r="CI119" s="45">
        <f ca="1">MIN(ice_elem_cap,TblMili[[#This Row],[Raw (2)]]*ice_elem_bonus)</f>
        <v>0.1</v>
      </c>
      <c r="CJ119" s="266">
        <f t="shared" si="4"/>
        <v>0.83333333333333337</v>
      </c>
      <c r="CK119" s="266">
        <f ca="1">MIN(nox_nightshade_cap,TblConstr[[#This Row],[Homeland]]/TblConstr[[#This Row],[Land]]/nox_nightshade_swamp_bonus)</f>
        <v>4</v>
      </c>
      <c r="CL119" s="267"/>
      <c r="CM119" s="267"/>
      <c r="CN119" s="267"/>
      <c r="CO119" s="266">
        <f ca="1">MIN(6,TblMili[[#This Row],[Mystic]]+Races!$F$19)*1.8 +  IF(TblMili[[#This Row],[Mystic]]+Races!$F$19&gt;6,(TblMili[[#This Row],[Mystic]]+Races!$F$19-6)*0.2,0) - Races!$I$19</f>
        <v>3.6399999999999997</v>
      </c>
      <c r="CP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9" s="97">
        <f ca="1">TblMili[[#This Row],[Mystic bonus]]*TblMili[[#This Row],[Unit 3]]+TblMili[[#This Row],[Druid bonus]]*TblMili[[#This Row],[Unit 4]]</f>
        <v>0</v>
      </c>
      <c r="CR119" s="158">
        <f ca="1">MIN(6,TblMili[[#This Row],[Dryad]]+Races!$F$35)*1.8 +  IF(TblMili[[#This Row],[Dryad]]+Races!$F$35&gt;6,(TblMili[[#This Row],[Dryad]]+Races!$F$35-6)*0.2,0) - Races!$I$19</f>
        <v>2.1599999999999993</v>
      </c>
      <c r="CS119" s="97">
        <f ca="1">sylvan*(TblMili[[#This Row],[Mystic bonus]]*TblMili[[#This Row],[Unit 3]])</f>
        <v>0</v>
      </c>
      <c r="CT119" s="158">
        <f ca="1">1.8 * MIN(MAX(Races!$E$27,TblMili[[#This Row],[Rockapult]]+Races!$F$27),6)  +  0.45 * MIN(MIN(Races!$E$27,TblMili[[#This Row],[Rockapult]]+Races!$F$27),6)  +  0.2 * ( MAX(Races!$E$27-6,0) + MAX(TblMili[[#This Row],[Rockapult]]+Races!$F$27-6,0) )  -  Races!$I$20</f>
        <v>5.8500000000000005</v>
      </c>
      <c r="CU119" s="97">
        <f ca="1">gnome*(TblMili[[#This Row],[Rockapult bonus]]*TblMili[[#This Row],[Unit 3]])</f>
        <v>0</v>
      </c>
      <c r="CV119" s="158">
        <f ca="1">1.8 * MIN(MAX(TblMili[[#This Row],[Spellblade]]+Races!$E$47,TblMili[[#This Row],[Adept-DP]]+Races!$F$47),6)  +  0.45 * MIN(MIN(TblMili[[#This Row],[Spellblade]]+Races!$E$47,TblMili[[#This Row],[Adept-DP]]+Races!$F$47),6)  +  0.2 * ( MAX(TblMili[[#This Row],[Spellblade]]+Races!$E$47-6,0) + MAX(TblMili[[#This Row],[Adept-DP]]+Races!$F$47-6,0) )  -  Races!$I$47</f>
        <v>0</v>
      </c>
      <c r="CW119" s="97">
        <f ca="1">dark_elf*(TblMili[[#This Row],[Adept bonus]]*TblMili[[#This Row],[Unit 3]])</f>
        <v>0</v>
      </c>
      <c r="CX119" s="158">
        <f ca="1">1.8 * MIN(MAX(TblMili[[#This Row],[Frost Mage]]+Races!$F$71,Races!$E$71),6)  +  0.45 * MIN(MIN(TblMili[[#This Row],[Frost Mage]]+Races!$F$71,Races!$E$71),6)  +  0.2 * ( MAX(TblMili[[#This Row],[Frost Mage]]+Races!$F$71-6,0) + MAX(Races!$E$71-6,0) )  -  Races!$I$71</f>
        <v>3.9599999999999991</v>
      </c>
      <c r="CY119" s="158">
        <f ca="1">1.8 * MIN(MAX(TblMili[[#This Row],[Ice Elemental]]+Races!$E$71,Races!$F$71),6)  +  0.45 * MIN(MIN(TblMili[[#This Row],[Ice Elemental]]+Races!$E$71,Races!$F$71),6)  +  0.2 * ( MAX(TblMili[[#This Row],[Ice Elemental]]+Races!$E$71-6,0) + MAX(Races!$F$71-6,0) )  -  Races!$I$71</f>
        <v>0.17999999999999972</v>
      </c>
      <c r="CZ119" s="97">
        <f ca="1">TblMili[[#This Row],[Frost Mage bonus]]*TblMili[[#This Row],[Unit 3]]+TblMili[[#This Row],[Ice Elemental bonus]]*TblMili[[#This Row],[Unit 4]]</f>
        <v>0</v>
      </c>
      <c r="DA119" s="268"/>
      <c r="DB119" s="146">
        <f ca="1">MIN(SUM(TblConstr[[#This Row],[Plain]:[Water]])/TblMili[[#This Row],[Land]]/favorable_terrain_bonus/100,favorable_terrain_max)</f>
        <v>0.1</v>
      </c>
      <c r="DC119" s="268"/>
      <c r="DD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9" s="145"/>
      <c r="DF119" s="269">
        <f ca="1">(TblMili[[#This Row],[Wizards]]+2*TblMili[[#This Row],[Archmages]])/TblConstr[[#This Row],[Land]]</f>
        <v>0.1</v>
      </c>
      <c r="DG119" s="269">
        <f ca="1">TblMili[[#This Row],[Raw (2)]]*(1+race_wizard_strength+IF(TblMili[[#This Row],[Hour]]&gt;72,tech_magical_weaponry_wiz*TblTech[[#This Row],[3-5]],0))</f>
        <v>0.1</v>
      </c>
    </row>
    <row r="120" spans="1:111"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45462.833333333052</v>
      </c>
      <c r="AG120" s="182"/>
      <c r="AH120" s="182"/>
      <c r="AI120" s="182"/>
      <c r="AJ120" s="182"/>
      <c r="AK120" s="182"/>
      <c r="AL120" s="182"/>
      <c r="AM120" s="182"/>
      <c r="AN120" s="182"/>
      <c r="AO120" s="449">
        <f ca="1">IF(AND(TblMagic[[#This Row],[Active DnD]]&lt;12,TblMagic[[#This Row],[Active DnD]]&gt;5),OFFSET(TblPop[[#This Row],[Draft Growth]],-1,0)/2,0)</f>
        <v>0</v>
      </c>
      <c r="AP120" s="145"/>
      <c r="AQ120" s="97">
        <f ca="1">TblProd[[#This Row],[Platinum]]</f>
        <v>757254</v>
      </c>
      <c r="AR120" s="97">
        <f ca="1">INDEX(TblProd[[#Headers],[Lumber]]:TblProd[[#This Row],[Ore]],COUNTA(TblProd[[#Headers],[Lumber]]:TblProd[[#This Row],[Lumber]]),MATCH(Military!$AQ$2,TblProd[[#Headers],[Lumber]:[Ore]],0))</f>
        <v>0</v>
      </c>
      <c r="AS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7">
        <f ca="1">TblMili[[#This Row],[Train Unit 1]]*TblMili[[#This Row],[OP Ore]]+TblMili[[#This Row],[Train Unit 2]]*TblMili[[#This Row],[DP Ore]]+TblMili[[#This Row],[Train Unit 3]]*TblMili[[#This Row],[E1 Ore]]+TblMili[[#This Row],[Train Unit 4]]*TblMili[[#This Row],[E2 Ore]]</f>
        <v>0</v>
      </c>
      <c r="AU120" s="145">
        <f>TblMili[[#This Row],[Hour]]</f>
        <v>117</v>
      </c>
      <c r="AV120" s="155">
        <f ca="1">TblMili[[#This Row],[Time]]</f>
        <v>45462.833333333052</v>
      </c>
      <c r="AW120" s="97">
        <f ca="1">TblMili[[#This Row],[Draftees]]</f>
        <v>626</v>
      </c>
      <c r="AX120" s="182"/>
      <c r="AY120" s="182"/>
      <c r="AZ120" s="182"/>
      <c r="BA120" s="182"/>
      <c r="BB120" s="182"/>
      <c r="BC120" s="182"/>
      <c r="BD120" s="182"/>
      <c r="BE120" s="182"/>
      <c r="BF120" s="182"/>
      <c r="BG120" s="145"/>
      <c r="BH120" s="160">
        <f ca="1">TblConstr[[#This Row],[Tot WG]]/TblConstr[[#This Row],[Land]]</f>
        <v>0</v>
      </c>
      <c r="BI120" s="160">
        <f ca="1">TblConstr[[#This Row],[Tot Hav]]/TblConstr[[#This Row],[Land]]</f>
        <v>0</v>
      </c>
      <c r="BJ120" s="97">
        <f ca="1">ROUNDUP((1-MIN(TblMili[[#This Row],[Smithies]]*smithy_bonus,smithy_bonus_cap) + tech_3_5*TblTech[[#This Row],[3-5]] + tech_5_3*TblTech[[#This Row],[5-3]] + tech_5_5*TblTech[[#This Row],[5-5]])*spec_op_plat,0)</f>
        <v>275</v>
      </c>
      <c r="BK120" s="97">
        <f ca="1">ROUNDUP(IF(race="Gnome",1,(1-MIN(TblMili[[#This Row],[Smithies]]*smithy_bonus,smithy_bonus_cap) + tech_3_5*TblTech[[#This Row],[3-5]] + tech_5_3*TblTech[[#This Row],[5-3]] + tech_5_5*TblTech[[#This Row],[5-5]]))*spec_op_ore,0)</f>
        <v>25</v>
      </c>
      <c r="BL120" s="97">
        <f ca="1">ROUNDUP((1-MIN(TblMili[[#This Row],[Smithies]]*smithy_bonus,smithy_bonus_cap) + tech_3_5*TblTech[[#This Row],[3-5]] + tech_5_3*TblTech[[#This Row],[5-3]] + tech_5_5*TblTech[[#This Row],[5-5]])*spec_dp_plat,0)</f>
        <v>275</v>
      </c>
      <c r="BM120" s="97">
        <f ca="1">ROUNDUP(IF(race="Gnome",1,(1-MIN(TblMili[[#This Row],[Smithies]]*smithy_bonus,smithy_bonus_cap) + tech_3_5*TblTech[[#This Row],[3-5]] + tech_5_3*TblTech[[#This Row],[5-3]] + tech_5_5*TblTech[[#This Row],[5-5]]))*spec_dp_ore,0)</f>
        <v>15</v>
      </c>
      <c r="BN120" s="97">
        <f ca="1">ROUNDUP((1-MIN(TblMili[[#This Row],[Smithies]]*smithy_bonus,smithy_bonus_cap) + tech_3_5*TblTech[[#This Row],[3-5]] + tech_5_3*TblTech[[#This Row],[5-3]] + tech_5_5*TblTech[[#This Row],[5-5]])*elite1_plat,0)</f>
        <v>1000</v>
      </c>
      <c r="BO120" s="97">
        <f ca="1">ROUNDUP(IF(race="Gnome",1,(1-MIN(TblMili[[#This Row],[Smithies]]*smithy_bonus,smithy_bonus_cap) + tech_3_5*TblTech[[#This Row],[3-5]] + tech_5_3*TblTech[[#This Row],[5-3]] + tech_5_5*TblTech[[#This Row],[5-5]]))*elite1_ore,0)</f>
        <v>75</v>
      </c>
      <c r="BP120" s="97">
        <f ca="1">ROUNDUP((1-MIN(TblMili[[#This Row],[Smithies]]*smithy_bonus,smithy_bonus_cap) + tech_3_5*TblTech[[#This Row],[3-5]] + tech_5_3*TblTech[[#This Row],[5-3]] + tech_5_5*TblTech[[#This Row],[5-5]])*elite2_plat,0)</f>
        <v>1250</v>
      </c>
      <c r="BQ120" s="97">
        <f ca="1">ROUNDUP(IF(race="Gnome",1,(1-MIN(TblMili[[#This Row],[Smithies]]*smithy_bonus,smithy_bonus_cap) + tech_3_5*TblTech[[#This Row],[3-5]] + tech_5_3*TblTech[[#This Row],[5-3]] + tech_5_5*TblTech[[#This Row],[5-5]]))*elite2_ore,0)</f>
        <v>100</v>
      </c>
      <c r="BR120" s="97">
        <f ca="1">ROUNDUP((1-MIN(ROUND(fh_spy_cost_red*TblMili[[#This Row],[FH''s]],4),fh_spy_cost_cap)+ tech_1_9*TblTech[[#This Row],[1-9]] + tech_9_1*TblTech[[#This Row],[9-1]])*spy_plat,0)</f>
        <v>500</v>
      </c>
      <c r="BS120" s="97">
        <f ca="1">ROUNDUP((1-MIN(ROUND(fh_spy_cost_red*TblMili[[#This Row],[FH''s]],4),fh_spy_cost_cap)+ tech_1_9*TblTech[[#This Row],[1-9]] + tech_9_1*TblTech[[#This Row],[9-1]])*archspy_plat,0)</f>
        <v>1000</v>
      </c>
      <c r="BT120" s="97">
        <f ca="1">ROUNDUP((1-MIN(ROUND(wg_wiz_cost_bonus*TblMili[[#This Row],[WG''s]],4),wg_wiz_cost_cap) + tech_1_9_2*TblTech[[#This Row],[1-9]] + tech_9_1_2*TblTech[[#This Row],[9-1]])*wizard_plat,0)</f>
        <v>500</v>
      </c>
      <c r="BU120" s="97">
        <f ca="1">ROUNDUP((1-MIN(ROUND(wg_wiz_cost_bonus*TblMili[[#This Row],[WG''s]],4),wg_wiz_cost_cap) + tech_1_9_2*TblTech[[#This Row],[1-9]] + tech_9_1_2*TblTech[[#This Row],[9-1]])*archmage_plat,0)</f>
        <v>1000</v>
      </c>
      <c r="BV120" s="145"/>
      <c r="BW120" s="160">
        <f ca="1">TblConstr[[#This Row],[Homeland]]/TblConstr[[#This Row],[Land]]</f>
        <v>0.44</v>
      </c>
      <c r="BX120" s="160">
        <f ca="1">TblMili[[#This Row],[WG''s]]</f>
        <v>0</v>
      </c>
      <c r="BY120" s="266">
        <f ca="1">IF(mystic_cap="none",TblMili[[#This Row],[Hill]]/mystic_bonus,MIN(mystic_cap,TblMili[[#This Row],[Hill]]/mystic_bonus))</f>
        <v>2.1999999999999997</v>
      </c>
      <c r="BZ120" s="266">
        <f ca="1">IF(druid_op_cap="none",TblMili[[#This Row],[Hill]]/druid_op_bonus,MIN(druid_op_cap,TblMili[[#This Row],[Hill]]/druid_op_bonus))</f>
        <v>2.1999999999999997</v>
      </c>
      <c r="CA120" s="266">
        <f ca="1">IF(druid_dp_cap="none",TblMili[[#This Row],[Hill]]/druid_dp_bonus,MIN(druid_dp_cap,TblMili[[#This Row],[Hill]]/druid_dp_bonus))</f>
        <v>2.1999999999999997</v>
      </c>
      <c r="CB120" s="266">
        <f ca="1">MIN(dryad_cap,TblMili[[#This Row],[Hill]]/dryad_bonus)</f>
        <v>2.1999999999999997</v>
      </c>
      <c r="CC120" s="266">
        <f ca="1">MIN(rocka_cap,TblMili[[#This Row],[Hill]]/rocka_bonus)</f>
        <v>2</v>
      </c>
      <c r="CD120" s="266">
        <f ca="1">MIN(adept_op_cap,TblMili[[#This Row],[WG]]/adept_op_bonus)</f>
        <v>0</v>
      </c>
      <c r="CE120" s="266">
        <f ca="1">MIN(adept_dp_cap,TblMili[[#This Row],[WG]]/adept_dp_bonus)</f>
        <v>0</v>
      </c>
      <c r="CF120" s="97">
        <f ca="1">MIN(TblMili[[#This Row],[Unit 3]],TblMili[[#This Row],[Unit 2]])*2</f>
        <v>0</v>
      </c>
      <c r="CG120" s="97">
        <f ca="1">MIN(TblMili[[#This Row],[Unit 1]],TblMili[[#This Row],[Unit 4]])*2</f>
        <v>0</v>
      </c>
      <c r="CH120" s="266">
        <f ca="1">MIN(frost_mage_cap,TblMili[[#This Row],[Hill]]/frost_mage_bonus)</f>
        <v>2.1999999999999997</v>
      </c>
      <c r="CI120" s="45">
        <f ca="1">MIN(ice_elem_cap,TblMili[[#This Row],[Raw (2)]]*ice_elem_bonus)</f>
        <v>0.1</v>
      </c>
      <c r="CJ120" s="266">
        <f t="shared" si="4"/>
        <v>0.83333333333333337</v>
      </c>
      <c r="CK120" s="266">
        <f ca="1">MIN(nox_nightshade_cap,TblConstr[[#This Row],[Homeland]]/TblConstr[[#This Row],[Land]]/nox_nightshade_swamp_bonus)</f>
        <v>4</v>
      </c>
      <c r="CL120" s="267"/>
      <c r="CM120" s="267"/>
      <c r="CN120" s="267"/>
      <c r="CO120" s="266">
        <f ca="1">MIN(6,TblMili[[#This Row],[Mystic]]+Races!$F$19)*1.8 +  IF(TblMili[[#This Row],[Mystic]]+Races!$F$19&gt;6,(TblMili[[#This Row],[Mystic]]+Races!$F$19-6)*0.2,0) - Races!$I$19</f>
        <v>3.6399999999999997</v>
      </c>
      <c r="CP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0" s="97">
        <f ca="1">TblMili[[#This Row],[Mystic bonus]]*TblMili[[#This Row],[Unit 3]]+TblMili[[#This Row],[Druid bonus]]*TblMili[[#This Row],[Unit 4]]</f>
        <v>0</v>
      </c>
      <c r="CR120" s="158">
        <f ca="1">MIN(6,TblMili[[#This Row],[Dryad]]+Races!$F$35)*1.8 +  IF(TblMili[[#This Row],[Dryad]]+Races!$F$35&gt;6,(TblMili[[#This Row],[Dryad]]+Races!$F$35-6)*0.2,0) - Races!$I$19</f>
        <v>2.1599999999999993</v>
      </c>
      <c r="CS120" s="97">
        <f ca="1">sylvan*(TblMili[[#This Row],[Mystic bonus]]*TblMili[[#This Row],[Unit 3]])</f>
        <v>0</v>
      </c>
      <c r="CT120" s="158">
        <f ca="1">1.8 * MIN(MAX(Races!$E$27,TblMili[[#This Row],[Rockapult]]+Races!$F$27),6)  +  0.45 * MIN(MIN(Races!$E$27,TblMili[[#This Row],[Rockapult]]+Races!$F$27),6)  +  0.2 * ( MAX(Races!$E$27-6,0) + MAX(TblMili[[#This Row],[Rockapult]]+Races!$F$27-6,0) )  -  Races!$I$20</f>
        <v>5.8500000000000005</v>
      </c>
      <c r="CU120" s="97">
        <f ca="1">gnome*(TblMili[[#This Row],[Rockapult bonus]]*TblMili[[#This Row],[Unit 3]])</f>
        <v>0</v>
      </c>
      <c r="CV120" s="158">
        <f ca="1">1.8 * MIN(MAX(TblMili[[#This Row],[Spellblade]]+Races!$E$47,TblMili[[#This Row],[Adept-DP]]+Races!$F$47),6)  +  0.45 * MIN(MIN(TblMili[[#This Row],[Spellblade]]+Races!$E$47,TblMili[[#This Row],[Adept-DP]]+Races!$F$47),6)  +  0.2 * ( MAX(TblMili[[#This Row],[Spellblade]]+Races!$E$47-6,0) + MAX(TblMili[[#This Row],[Adept-DP]]+Races!$F$47-6,0) )  -  Races!$I$47</f>
        <v>0</v>
      </c>
      <c r="CW120" s="97">
        <f ca="1">dark_elf*(TblMili[[#This Row],[Adept bonus]]*TblMili[[#This Row],[Unit 3]])</f>
        <v>0</v>
      </c>
      <c r="CX120" s="158">
        <f ca="1">1.8 * MIN(MAX(TblMili[[#This Row],[Frost Mage]]+Races!$F$71,Races!$E$71),6)  +  0.45 * MIN(MIN(TblMili[[#This Row],[Frost Mage]]+Races!$F$71,Races!$E$71),6)  +  0.2 * ( MAX(TblMili[[#This Row],[Frost Mage]]+Races!$F$71-6,0) + MAX(Races!$E$71-6,0) )  -  Races!$I$71</f>
        <v>3.9599999999999991</v>
      </c>
      <c r="CY120" s="158">
        <f ca="1">1.8 * MIN(MAX(TblMili[[#This Row],[Ice Elemental]]+Races!$E$71,Races!$F$71),6)  +  0.45 * MIN(MIN(TblMili[[#This Row],[Ice Elemental]]+Races!$E$71,Races!$F$71),6)  +  0.2 * ( MAX(TblMili[[#This Row],[Ice Elemental]]+Races!$E$71-6,0) + MAX(Races!$F$71-6,0) )  -  Races!$I$71</f>
        <v>0.17999999999999972</v>
      </c>
      <c r="CZ120" s="97">
        <f ca="1">TblMili[[#This Row],[Frost Mage bonus]]*TblMili[[#This Row],[Unit 3]]+TblMili[[#This Row],[Ice Elemental bonus]]*TblMili[[#This Row],[Unit 4]]</f>
        <v>0</v>
      </c>
      <c r="DA120" s="268"/>
      <c r="DB120" s="146">
        <f ca="1">MIN(SUM(TblConstr[[#This Row],[Plain]:[Water]])/TblMili[[#This Row],[Land]]/favorable_terrain_bonus/100,favorable_terrain_max)</f>
        <v>0.1</v>
      </c>
      <c r="DC120" s="268"/>
      <c r="DD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0" s="145"/>
      <c r="DF120" s="269">
        <f ca="1">(TblMili[[#This Row],[Wizards]]+2*TblMili[[#This Row],[Archmages]])/TblConstr[[#This Row],[Land]]</f>
        <v>0.1</v>
      </c>
      <c r="DG120" s="269">
        <f ca="1">TblMili[[#This Row],[Raw (2)]]*(1+race_wizard_strength+IF(TblMili[[#This Row],[Hour]]&gt;72,tech_magical_weaponry_wiz*TblTech[[#This Row],[3-5]],0))</f>
        <v>0.1</v>
      </c>
    </row>
    <row r="121" spans="1:111"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45462.874999999716</v>
      </c>
      <c r="AG121" s="182"/>
      <c r="AH121" s="182"/>
      <c r="AI121" s="182"/>
      <c r="AJ121" s="182"/>
      <c r="AK121" s="182"/>
      <c r="AL121" s="182"/>
      <c r="AM121" s="182"/>
      <c r="AN121" s="182"/>
      <c r="AO121" s="449">
        <f ca="1">IF(AND(TblMagic[[#This Row],[Active DnD]]&lt;12,TblMagic[[#This Row],[Active DnD]]&gt;5),OFFSET(TblPop[[#This Row],[Draft Growth]],-1,0)/2,0)</f>
        <v>0</v>
      </c>
      <c r="AP121" s="145"/>
      <c r="AQ121" s="97">
        <f ca="1">TblProd[[#This Row],[Platinum]]</f>
        <v>762740</v>
      </c>
      <c r="AR121" s="97">
        <f ca="1">INDEX(TblProd[[#Headers],[Lumber]]:TblProd[[#This Row],[Ore]],COUNTA(TblProd[[#Headers],[Lumber]]:TblProd[[#This Row],[Lumber]]),MATCH(Military!$AQ$2,TblProd[[#Headers],[Lumber]:[Ore]],0))</f>
        <v>0</v>
      </c>
      <c r="AS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7">
        <f ca="1">TblMili[[#This Row],[Train Unit 1]]*TblMili[[#This Row],[OP Ore]]+TblMili[[#This Row],[Train Unit 2]]*TblMili[[#This Row],[DP Ore]]+TblMili[[#This Row],[Train Unit 3]]*TblMili[[#This Row],[E1 Ore]]+TblMili[[#This Row],[Train Unit 4]]*TblMili[[#This Row],[E2 Ore]]</f>
        <v>0</v>
      </c>
      <c r="AU121" s="145">
        <f>TblMili[[#This Row],[Hour]]</f>
        <v>118</v>
      </c>
      <c r="AV121" s="155">
        <f ca="1">TblMili[[#This Row],[Time]]</f>
        <v>45462.874999999716</v>
      </c>
      <c r="AW121" s="97">
        <f ca="1">TblMili[[#This Row],[Draftees]]</f>
        <v>626</v>
      </c>
      <c r="AX121" s="182"/>
      <c r="AY121" s="182"/>
      <c r="AZ121" s="182"/>
      <c r="BA121" s="182"/>
      <c r="BB121" s="182"/>
      <c r="BC121" s="182"/>
      <c r="BD121" s="182"/>
      <c r="BE121" s="182"/>
      <c r="BF121" s="182"/>
      <c r="BG121" s="145"/>
      <c r="BH121" s="160">
        <f ca="1">TblConstr[[#This Row],[Tot WG]]/TblConstr[[#This Row],[Land]]</f>
        <v>0</v>
      </c>
      <c r="BI121" s="160">
        <f ca="1">TblConstr[[#This Row],[Tot Hav]]/TblConstr[[#This Row],[Land]]</f>
        <v>0</v>
      </c>
      <c r="BJ121" s="97">
        <f ca="1">ROUNDUP((1-MIN(TblMili[[#This Row],[Smithies]]*smithy_bonus,smithy_bonus_cap) + tech_3_5*TblTech[[#This Row],[3-5]] + tech_5_3*TblTech[[#This Row],[5-3]] + tech_5_5*TblTech[[#This Row],[5-5]])*spec_op_plat,0)</f>
        <v>275</v>
      </c>
      <c r="BK121" s="97">
        <f ca="1">ROUNDUP(IF(race="Gnome",1,(1-MIN(TblMili[[#This Row],[Smithies]]*smithy_bonus,smithy_bonus_cap) + tech_3_5*TblTech[[#This Row],[3-5]] + tech_5_3*TblTech[[#This Row],[5-3]] + tech_5_5*TblTech[[#This Row],[5-5]]))*spec_op_ore,0)</f>
        <v>25</v>
      </c>
      <c r="BL121" s="97">
        <f ca="1">ROUNDUP((1-MIN(TblMili[[#This Row],[Smithies]]*smithy_bonus,smithy_bonus_cap) + tech_3_5*TblTech[[#This Row],[3-5]] + tech_5_3*TblTech[[#This Row],[5-3]] + tech_5_5*TblTech[[#This Row],[5-5]])*spec_dp_plat,0)</f>
        <v>275</v>
      </c>
      <c r="BM121" s="97">
        <f ca="1">ROUNDUP(IF(race="Gnome",1,(1-MIN(TblMili[[#This Row],[Smithies]]*smithy_bonus,smithy_bonus_cap) + tech_3_5*TblTech[[#This Row],[3-5]] + tech_5_3*TblTech[[#This Row],[5-3]] + tech_5_5*TblTech[[#This Row],[5-5]]))*spec_dp_ore,0)</f>
        <v>15</v>
      </c>
      <c r="BN121" s="97">
        <f ca="1">ROUNDUP((1-MIN(TblMili[[#This Row],[Smithies]]*smithy_bonus,smithy_bonus_cap) + tech_3_5*TblTech[[#This Row],[3-5]] + tech_5_3*TblTech[[#This Row],[5-3]] + tech_5_5*TblTech[[#This Row],[5-5]])*elite1_plat,0)</f>
        <v>1000</v>
      </c>
      <c r="BO121" s="97">
        <f ca="1">ROUNDUP(IF(race="Gnome",1,(1-MIN(TblMili[[#This Row],[Smithies]]*smithy_bonus,smithy_bonus_cap) + tech_3_5*TblTech[[#This Row],[3-5]] + tech_5_3*TblTech[[#This Row],[5-3]] + tech_5_5*TblTech[[#This Row],[5-5]]))*elite1_ore,0)</f>
        <v>75</v>
      </c>
      <c r="BP121" s="97">
        <f ca="1">ROUNDUP((1-MIN(TblMili[[#This Row],[Smithies]]*smithy_bonus,smithy_bonus_cap) + tech_3_5*TblTech[[#This Row],[3-5]] + tech_5_3*TblTech[[#This Row],[5-3]] + tech_5_5*TblTech[[#This Row],[5-5]])*elite2_plat,0)</f>
        <v>1250</v>
      </c>
      <c r="BQ121" s="97">
        <f ca="1">ROUNDUP(IF(race="Gnome",1,(1-MIN(TblMili[[#This Row],[Smithies]]*smithy_bonus,smithy_bonus_cap) + tech_3_5*TblTech[[#This Row],[3-5]] + tech_5_3*TblTech[[#This Row],[5-3]] + tech_5_5*TblTech[[#This Row],[5-5]]))*elite2_ore,0)</f>
        <v>100</v>
      </c>
      <c r="BR121" s="97">
        <f ca="1">ROUNDUP((1-MIN(ROUND(fh_spy_cost_red*TblMili[[#This Row],[FH''s]],4),fh_spy_cost_cap)+ tech_1_9*TblTech[[#This Row],[1-9]] + tech_9_1*TblTech[[#This Row],[9-1]])*spy_plat,0)</f>
        <v>500</v>
      </c>
      <c r="BS121" s="97">
        <f ca="1">ROUNDUP((1-MIN(ROUND(fh_spy_cost_red*TblMili[[#This Row],[FH''s]],4),fh_spy_cost_cap)+ tech_1_9*TblTech[[#This Row],[1-9]] + tech_9_1*TblTech[[#This Row],[9-1]])*archspy_plat,0)</f>
        <v>1000</v>
      </c>
      <c r="BT121" s="97">
        <f ca="1">ROUNDUP((1-MIN(ROUND(wg_wiz_cost_bonus*TblMili[[#This Row],[WG''s]],4),wg_wiz_cost_cap) + tech_1_9_2*TblTech[[#This Row],[1-9]] + tech_9_1_2*TblTech[[#This Row],[9-1]])*wizard_plat,0)</f>
        <v>500</v>
      </c>
      <c r="BU121" s="97">
        <f ca="1">ROUNDUP((1-MIN(ROUND(wg_wiz_cost_bonus*TblMili[[#This Row],[WG''s]],4),wg_wiz_cost_cap) + tech_1_9_2*TblTech[[#This Row],[1-9]] + tech_9_1_2*TblTech[[#This Row],[9-1]])*archmage_plat,0)</f>
        <v>1000</v>
      </c>
      <c r="BV121" s="145"/>
      <c r="BW121" s="160">
        <f ca="1">TblConstr[[#This Row],[Homeland]]/TblConstr[[#This Row],[Land]]</f>
        <v>0.44</v>
      </c>
      <c r="BX121" s="160">
        <f ca="1">TblMili[[#This Row],[WG''s]]</f>
        <v>0</v>
      </c>
      <c r="BY121" s="266">
        <f ca="1">IF(mystic_cap="none",TblMili[[#This Row],[Hill]]/mystic_bonus,MIN(mystic_cap,TblMili[[#This Row],[Hill]]/mystic_bonus))</f>
        <v>2.1999999999999997</v>
      </c>
      <c r="BZ121" s="266">
        <f ca="1">IF(druid_op_cap="none",TblMili[[#This Row],[Hill]]/druid_op_bonus,MIN(druid_op_cap,TblMili[[#This Row],[Hill]]/druid_op_bonus))</f>
        <v>2.1999999999999997</v>
      </c>
      <c r="CA121" s="266">
        <f ca="1">IF(druid_dp_cap="none",TblMili[[#This Row],[Hill]]/druid_dp_bonus,MIN(druid_dp_cap,TblMili[[#This Row],[Hill]]/druid_dp_bonus))</f>
        <v>2.1999999999999997</v>
      </c>
      <c r="CB121" s="266">
        <f ca="1">MIN(dryad_cap,TblMili[[#This Row],[Hill]]/dryad_bonus)</f>
        <v>2.1999999999999997</v>
      </c>
      <c r="CC121" s="266">
        <f ca="1">MIN(rocka_cap,TblMili[[#This Row],[Hill]]/rocka_bonus)</f>
        <v>2</v>
      </c>
      <c r="CD121" s="266">
        <f ca="1">MIN(adept_op_cap,TblMili[[#This Row],[WG]]/adept_op_bonus)</f>
        <v>0</v>
      </c>
      <c r="CE121" s="266">
        <f ca="1">MIN(adept_dp_cap,TblMili[[#This Row],[WG]]/adept_dp_bonus)</f>
        <v>0</v>
      </c>
      <c r="CF121" s="97">
        <f ca="1">MIN(TblMili[[#This Row],[Unit 3]],TblMili[[#This Row],[Unit 2]])*2</f>
        <v>0</v>
      </c>
      <c r="CG121" s="97">
        <f ca="1">MIN(TblMili[[#This Row],[Unit 1]],TblMili[[#This Row],[Unit 4]])*2</f>
        <v>0</v>
      </c>
      <c r="CH121" s="266">
        <f ca="1">MIN(frost_mage_cap,TblMili[[#This Row],[Hill]]/frost_mage_bonus)</f>
        <v>2.1999999999999997</v>
      </c>
      <c r="CI121" s="45">
        <f ca="1">MIN(ice_elem_cap,TblMili[[#This Row],[Raw (2)]]*ice_elem_bonus)</f>
        <v>0.1</v>
      </c>
      <c r="CJ121" s="266">
        <f t="shared" si="4"/>
        <v>0.83333333333333337</v>
      </c>
      <c r="CK121" s="266">
        <f ca="1">MIN(nox_nightshade_cap,TblConstr[[#This Row],[Homeland]]/TblConstr[[#This Row],[Land]]/nox_nightshade_swamp_bonus)</f>
        <v>4</v>
      </c>
      <c r="CL121" s="267"/>
      <c r="CM121" s="267"/>
      <c r="CN121" s="267"/>
      <c r="CO121" s="266">
        <f ca="1">MIN(6,TblMili[[#This Row],[Mystic]]+Races!$F$19)*1.8 +  IF(TblMili[[#This Row],[Mystic]]+Races!$F$19&gt;6,(TblMili[[#This Row],[Mystic]]+Races!$F$19-6)*0.2,0) - Races!$I$19</f>
        <v>3.6399999999999997</v>
      </c>
      <c r="CP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1" s="97">
        <f ca="1">TblMili[[#This Row],[Mystic bonus]]*TblMili[[#This Row],[Unit 3]]+TblMili[[#This Row],[Druid bonus]]*TblMili[[#This Row],[Unit 4]]</f>
        <v>0</v>
      </c>
      <c r="CR121" s="158">
        <f ca="1">MIN(6,TblMili[[#This Row],[Dryad]]+Races!$F$35)*1.8 +  IF(TblMili[[#This Row],[Dryad]]+Races!$F$35&gt;6,(TblMili[[#This Row],[Dryad]]+Races!$F$35-6)*0.2,0) - Races!$I$19</f>
        <v>2.1599999999999993</v>
      </c>
      <c r="CS121" s="97">
        <f ca="1">sylvan*(TblMili[[#This Row],[Mystic bonus]]*TblMili[[#This Row],[Unit 3]])</f>
        <v>0</v>
      </c>
      <c r="CT121" s="158">
        <f ca="1">1.8 * MIN(MAX(Races!$E$27,TblMili[[#This Row],[Rockapult]]+Races!$F$27),6)  +  0.45 * MIN(MIN(Races!$E$27,TblMili[[#This Row],[Rockapult]]+Races!$F$27),6)  +  0.2 * ( MAX(Races!$E$27-6,0) + MAX(TblMili[[#This Row],[Rockapult]]+Races!$F$27-6,0) )  -  Races!$I$20</f>
        <v>5.8500000000000005</v>
      </c>
      <c r="CU121" s="97">
        <f ca="1">gnome*(TblMili[[#This Row],[Rockapult bonus]]*TblMili[[#This Row],[Unit 3]])</f>
        <v>0</v>
      </c>
      <c r="CV121" s="158">
        <f ca="1">1.8 * MIN(MAX(TblMili[[#This Row],[Spellblade]]+Races!$E$47,TblMili[[#This Row],[Adept-DP]]+Races!$F$47),6)  +  0.45 * MIN(MIN(TblMili[[#This Row],[Spellblade]]+Races!$E$47,TblMili[[#This Row],[Adept-DP]]+Races!$F$47),6)  +  0.2 * ( MAX(TblMili[[#This Row],[Spellblade]]+Races!$E$47-6,0) + MAX(TblMili[[#This Row],[Adept-DP]]+Races!$F$47-6,0) )  -  Races!$I$47</f>
        <v>0</v>
      </c>
      <c r="CW121" s="97">
        <f ca="1">dark_elf*(TblMili[[#This Row],[Adept bonus]]*TblMili[[#This Row],[Unit 3]])</f>
        <v>0</v>
      </c>
      <c r="CX121" s="158">
        <f ca="1">1.8 * MIN(MAX(TblMili[[#This Row],[Frost Mage]]+Races!$F$71,Races!$E$71),6)  +  0.45 * MIN(MIN(TblMili[[#This Row],[Frost Mage]]+Races!$F$71,Races!$E$71),6)  +  0.2 * ( MAX(TblMili[[#This Row],[Frost Mage]]+Races!$F$71-6,0) + MAX(Races!$E$71-6,0) )  -  Races!$I$71</f>
        <v>3.9599999999999991</v>
      </c>
      <c r="CY121" s="158">
        <f ca="1">1.8 * MIN(MAX(TblMili[[#This Row],[Ice Elemental]]+Races!$E$71,Races!$F$71),6)  +  0.45 * MIN(MIN(TblMili[[#This Row],[Ice Elemental]]+Races!$E$71,Races!$F$71),6)  +  0.2 * ( MAX(TblMili[[#This Row],[Ice Elemental]]+Races!$E$71-6,0) + MAX(Races!$F$71-6,0) )  -  Races!$I$71</f>
        <v>0.17999999999999972</v>
      </c>
      <c r="CZ121" s="97">
        <f ca="1">TblMili[[#This Row],[Frost Mage bonus]]*TblMili[[#This Row],[Unit 3]]+TblMili[[#This Row],[Ice Elemental bonus]]*TblMili[[#This Row],[Unit 4]]</f>
        <v>0</v>
      </c>
      <c r="DA121" s="268"/>
      <c r="DB121" s="146">
        <f ca="1">MIN(SUM(TblConstr[[#This Row],[Plain]:[Water]])/TblMili[[#This Row],[Land]]/favorable_terrain_bonus/100,favorable_terrain_max)</f>
        <v>0.1</v>
      </c>
      <c r="DC121" s="268"/>
      <c r="DD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1" s="145"/>
      <c r="DF121" s="269">
        <f ca="1">(TblMili[[#This Row],[Wizards]]+2*TblMili[[#This Row],[Archmages]])/TblConstr[[#This Row],[Land]]</f>
        <v>0.1</v>
      </c>
      <c r="DG121" s="269">
        <f ca="1">TblMili[[#This Row],[Raw (2)]]*(1+race_wizard_strength+IF(TblMili[[#This Row],[Hour]]&gt;72,tech_magical_weaponry_wiz*TblTech[[#This Row],[3-5]],0))</f>
        <v>0.1</v>
      </c>
    </row>
    <row r="122" spans="1:111"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45462.91666666638</v>
      </c>
      <c r="AG122" s="182"/>
      <c r="AH122" s="182"/>
      <c r="AI122" s="182"/>
      <c r="AJ122" s="182"/>
      <c r="AK122" s="182"/>
      <c r="AL122" s="182"/>
      <c r="AM122" s="182"/>
      <c r="AN122" s="182"/>
      <c r="AO122" s="449">
        <f ca="1">IF(AND(TblMagic[[#This Row],[Active DnD]]&lt;12,TblMagic[[#This Row],[Active DnD]]&gt;5),OFFSET(TblPop[[#This Row],[Draft Growth]],-1,0)/2,0)</f>
        <v>0</v>
      </c>
      <c r="AP122" s="145"/>
      <c r="AQ122" s="97">
        <f ca="1">TblProd[[#This Row],[Platinum]]</f>
        <v>768226</v>
      </c>
      <c r="AR122" s="97">
        <f ca="1">INDEX(TblProd[[#Headers],[Lumber]]:TblProd[[#This Row],[Ore]],COUNTA(TblProd[[#Headers],[Lumber]]:TblProd[[#This Row],[Lumber]]),MATCH(Military!$AQ$2,TblProd[[#Headers],[Lumber]:[Ore]],0))</f>
        <v>0</v>
      </c>
      <c r="AS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7">
        <f ca="1">TblMili[[#This Row],[Train Unit 1]]*TblMili[[#This Row],[OP Ore]]+TblMili[[#This Row],[Train Unit 2]]*TblMili[[#This Row],[DP Ore]]+TblMili[[#This Row],[Train Unit 3]]*TblMili[[#This Row],[E1 Ore]]+TblMili[[#This Row],[Train Unit 4]]*TblMili[[#This Row],[E2 Ore]]</f>
        <v>0</v>
      </c>
      <c r="AU122" s="145">
        <f>TblMili[[#This Row],[Hour]]</f>
        <v>119</v>
      </c>
      <c r="AV122" s="155">
        <f ca="1">TblMili[[#This Row],[Time]]</f>
        <v>45462.91666666638</v>
      </c>
      <c r="AW122" s="97">
        <f ca="1">TblMili[[#This Row],[Draftees]]</f>
        <v>626</v>
      </c>
      <c r="AX122" s="182"/>
      <c r="AY122" s="182"/>
      <c r="AZ122" s="182"/>
      <c r="BA122" s="182"/>
      <c r="BB122" s="182"/>
      <c r="BC122" s="182"/>
      <c r="BD122" s="182"/>
      <c r="BE122" s="182"/>
      <c r="BF122" s="182"/>
      <c r="BG122" s="145"/>
      <c r="BH122" s="160">
        <f ca="1">TblConstr[[#This Row],[Tot WG]]/TblConstr[[#This Row],[Land]]</f>
        <v>0</v>
      </c>
      <c r="BI122" s="160">
        <f ca="1">TblConstr[[#This Row],[Tot Hav]]/TblConstr[[#This Row],[Land]]</f>
        <v>0</v>
      </c>
      <c r="BJ122" s="97">
        <f ca="1">ROUNDUP((1-MIN(TblMili[[#This Row],[Smithies]]*smithy_bonus,smithy_bonus_cap) + tech_3_5*TblTech[[#This Row],[3-5]] + tech_5_3*TblTech[[#This Row],[5-3]] + tech_5_5*TblTech[[#This Row],[5-5]])*spec_op_plat,0)</f>
        <v>275</v>
      </c>
      <c r="BK122" s="97">
        <f ca="1">ROUNDUP(IF(race="Gnome",1,(1-MIN(TblMili[[#This Row],[Smithies]]*smithy_bonus,smithy_bonus_cap) + tech_3_5*TblTech[[#This Row],[3-5]] + tech_5_3*TblTech[[#This Row],[5-3]] + tech_5_5*TblTech[[#This Row],[5-5]]))*spec_op_ore,0)</f>
        <v>25</v>
      </c>
      <c r="BL122" s="97">
        <f ca="1">ROUNDUP((1-MIN(TblMili[[#This Row],[Smithies]]*smithy_bonus,smithy_bonus_cap) + tech_3_5*TblTech[[#This Row],[3-5]] + tech_5_3*TblTech[[#This Row],[5-3]] + tech_5_5*TblTech[[#This Row],[5-5]])*spec_dp_plat,0)</f>
        <v>275</v>
      </c>
      <c r="BM122" s="97">
        <f ca="1">ROUNDUP(IF(race="Gnome",1,(1-MIN(TblMili[[#This Row],[Smithies]]*smithy_bonus,smithy_bonus_cap) + tech_3_5*TblTech[[#This Row],[3-5]] + tech_5_3*TblTech[[#This Row],[5-3]] + tech_5_5*TblTech[[#This Row],[5-5]]))*spec_dp_ore,0)</f>
        <v>15</v>
      </c>
      <c r="BN122" s="97">
        <f ca="1">ROUNDUP((1-MIN(TblMili[[#This Row],[Smithies]]*smithy_bonus,smithy_bonus_cap) + tech_3_5*TblTech[[#This Row],[3-5]] + tech_5_3*TblTech[[#This Row],[5-3]] + tech_5_5*TblTech[[#This Row],[5-5]])*elite1_plat,0)</f>
        <v>1000</v>
      </c>
      <c r="BO122" s="97">
        <f ca="1">ROUNDUP(IF(race="Gnome",1,(1-MIN(TblMili[[#This Row],[Smithies]]*smithy_bonus,smithy_bonus_cap) + tech_3_5*TblTech[[#This Row],[3-5]] + tech_5_3*TblTech[[#This Row],[5-3]] + tech_5_5*TblTech[[#This Row],[5-5]]))*elite1_ore,0)</f>
        <v>75</v>
      </c>
      <c r="BP122" s="97">
        <f ca="1">ROUNDUP((1-MIN(TblMili[[#This Row],[Smithies]]*smithy_bonus,smithy_bonus_cap) + tech_3_5*TblTech[[#This Row],[3-5]] + tech_5_3*TblTech[[#This Row],[5-3]] + tech_5_5*TblTech[[#This Row],[5-5]])*elite2_plat,0)</f>
        <v>1250</v>
      </c>
      <c r="BQ122" s="97">
        <f ca="1">ROUNDUP(IF(race="Gnome",1,(1-MIN(TblMili[[#This Row],[Smithies]]*smithy_bonus,smithy_bonus_cap) + tech_3_5*TblTech[[#This Row],[3-5]] + tech_5_3*TblTech[[#This Row],[5-3]] + tech_5_5*TblTech[[#This Row],[5-5]]))*elite2_ore,0)</f>
        <v>100</v>
      </c>
      <c r="BR122" s="97">
        <f ca="1">ROUNDUP((1-MIN(ROUND(fh_spy_cost_red*TblMili[[#This Row],[FH''s]],4),fh_spy_cost_cap)+ tech_1_9*TblTech[[#This Row],[1-9]] + tech_9_1*TblTech[[#This Row],[9-1]])*spy_plat,0)</f>
        <v>500</v>
      </c>
      <c r="BS122" s="97">
        <f ca="1">ROUNDUP((1-MIN(ROUND(fh_spy_cost_red*TblMili[[#This Row],[FH''s]],4),fh_spy_cost_cap)+ tech_1_9*TblTech[[#This Row],[1-9]] + tech_9_1*TblTech[[#This Row],[9-1]])*archspy_plat,0)</f>
        <v>1000</v>
      </c>
      <c r="BT122" s="97">
        <f ca="1">ROUNDUP((1-MIN(ROUND(wg_wiz_cost_bonus*TblMili[[#This Row],[WG''s]],4),wg_wiz_cost_cap) + tech_1_9_2*TblTech[[#This Row],[1-9]] + tech_9_1_2*TblTech[[#This Row],[9-1]])*wizard_plat,0)</f>
        <v>500</v>
      </c>
      <c r="BU122" s="97">
        <f ca="1">ROUNDUP((1-MIN(ROUND(wg_wiz_cost_bonus*TblMili[[#This Row],[WG''s]],4),wg_wiz_cost_cap) + tech_1_9_2*TblTech[[#This Row],[1-9]] + tech_9_1_2*TblTech[[#This Row],[9-1]])*archmage_plat,0)</f>
        <v>1000</v>
      </c>
      <c r="BV122" s="145"/>
      <c r="BW122" s="160">
        <f ca="1">TblConstr[[#This Row],[Homeland]]/TblConstr[[#This Row],[Land]]</f>
        <v>0.44</v>
      </c>
      <c r="BX122" s="160">
        <f ca="1">TblMili[[#This Row],[WG''s]]</f>
        <v>0</v>
      </c>
      <c r="BY122" s="266">
        <f ca="1">IF(mystic_cap="none",TblMili[[#This Row],[Hill]]/mystic_bonus,MIN(mystic_cap,TblMili[[#This Row],[Hill]]/mystic_bonus))</f>
        <v>2.1999999999999997</v>
      </c>
      <c r="BZ122" s="266">
        <f ca="1">IF(druid_op_cap="none",TblMili[[#This Row],[Hill]]/druid_op_bonus,MIN(druid_op_cap,TblMili[[#This Row],[Hill]]/druid_op_bonus))</f>
        <v>2.1999999999999997</v>
      </c>
      <c r="CA122" s="266">
        <f ca="1">IF(druid_dp_cap="none",TblMili[[#This Row],[Hill]]/druid_dp_bonus,MIN(druid_dp_cap,TblMili[[#This Row],[Hill]]/druid_dp_bonus))</f>
        <v>2.1999999999999997</v>
      </c>
      <c r="CB122" s="266">
        <f ca="1">MIN(dryad_cap,TblMili[[#This Row],[Hill]]/dryad_bonus)</f>
        <v>2.1999999999999997</v>
      </c>
      <c r="CC122" s="266">
        <f ca="1">MIN(rocka_cap,TblMili[[#This Row],[Hill]]/rocka_bonus)</f>
        <v>2</v>
      </c>
      <c r="CD122" s="266">
        <f ca="1">MIN(adept_op_cap,TblMili[[#This Row],[WG]]/adept_op_bonus)</f>
        <v>0</v>
      </c>
      <c r="CE122" s="266">
        <f ca="1">MIN(adept_dp_cap,TblMili[[#This Row],[WG]]/adept_dp_bonus)</f>
        <v>0</v>
      </c>
      <c r="CF122" s="97">
        <f ca="1">MIN(TblMili[[#This Row],[Unit 3]],TblMili[[#This Row],[Unit 2]])*2</f>
        <v>0</v>
      </c>
      <c r="CG122" s="97">
        <f ca="1">MIN(TblMili[[#This Row],[Unit 1]],TblMili[[#This Row],[Unit 4]])*2</f>
        <v>0</v>
      </c>
      <c r="CH122" s="266">
        <f ca="1">MIN(frost_mage_cap,TblMili[[#This Row],[Hill]]/frost_mage_bonus)</f>
        <v>2.1999999999999997</v>
      </c>
      <c r="CI122" s="45">
        <f ca="1">MIN(ice_elem_cap,TblMili[[#This Row],[Raw (2)]]*ice_elem_bonus)</f>
        <v>0.1</v>
      </c>
      <c r="CJ122" s="266">
        <f t="shared" si="4"/>
        <v>0.83333333333333337</v>
      </c>
      <c r="CK122" s="266">
        <f ca="1">MIN(nox_nightshade_cap,TblConstr[[#This Row],[Homeland]]/TblConstr[[#This Row],[Land]]/nox_nightshade_swamp_bonus)</f>
        <v>4</v>
      </c>
      <c r="CL122" s="267"/>
      <c r="CM122" s="267"/>
      <c r="CN122" s="267"/>
      <c r="CO122" s="266">
        <f ca="1">MIN(6,TblMili[[#This Row],[Mystic]]+Races!$F$19)*1.8 +  IF(TblMili[[#This Row],[Mystic]]+Races!$F$19&gt;6,(TblMili[[#This Row],[Mystic]]+Races!$F$19-6)*0.2,0) - Races!$I$19</f>
        <v>3.6399999999999997</v>
      </c>
      <c r="CP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2" s="97">
        <f ca="1">TblMili[[#This Row],[Mystic bonus]]*TblMili[[#This Row],[Unit 3]]+TblMili[[#This Row],[Druid bonus]]*TblMili[[#This Row],[Unit 4]]</f>
        <v>0</v>
      </c>
      <c r="CR122" s="158">
        <f ca="1">MIN(6,TblMili[[#This Row],[Dryad]]+Races!$F$35)*1.8 +  IF(TblMili[[#This Row],[Dryad]]+Races!$F$35&gt;6,(TblMili[[#This Row],[Dryad]]+Races!$F$35-6)*0.2,0) - Races!$I$19</f>
        <v>2.1599999999999993</v>
      </c>
      <c r="CS122" s="97">
        <f ca="1">sylvan*(TblMili[[#This Row],[Mystic bonus]]*TblMili[[#This Row],[Unit 3]])</f>
        <v>0</v>
      </c>
      <c r="CT122" s="158">
        <f ca="1">1.8 * MIN(MAX(Races!$E$27,TblMili[[#This Row],[Rockapult]]+Races!$F$27),6)  +  0.45 * MIN(MIN(Races!$E$27,TblMili[[#This Row],[Rockapult]]+Races!$F$27),6)  +  0.2 * ( MAX(Races!$E$27-6,0) + MAX(TblMili[[#This Row],[Rockapult]]+Races!$F$27-6,0) )  -  Races!$I$20</f>
        <v>5.8500000000000005</v>
      </c>
      <c r="CU122" s="97">
        <f ca="1">gnome*(TblMili[[#This Row],[Rockapult bonus]]*TblMili[[#This Row],[Unit 3]])</f>
        <v>0</v>
      </c>
      <c r="CV122" s="158">
        <f ca="1">1.8 * MIN(MAX(TblMili[[#This Row],[Spellblade]]+Races!$E$47,TblMili[[#This Row],[Adept-DP]]+Races!$F$47),6)  +  0.45 * MIN(MIN(TblMili[[#This Row],[Spellblade]]+Races!$E$47,TblMili[[#This Row],[Adept-DP]]+Races!$F$47),6)  +  0.2 * ( MAX(TblMili[[#This Row],[Spellblade]]+Races!$E$47-6,0) + MAX(TblMili[[#This Row],[Adept-DP]]+Races!$F$47-6,0) )  -  Races!$I$47</f>
        <v>0</v>
      </c>
      <c r="CW122" s="97">
        <f ca="1">dark_elf*(TblMili[[#This Row],[Adept bonus]]*TblMili[[#This Row],[Unit 3]])</f>
        <v>0</v>
      </c>
      <c r="CX122" s="158">
        <f ca="1">1.8 * MIN(MAX(TblMili[[#This Row],[Frost Mage]]+Races!$F$71,Races!$E$71),6)  +  0.45 * MIN(MIN(TblMili[[#This Row],[Frost Mage]]+Races!$F$71,Races!$E$71),6)  +  0.2 * ( MAX(TblMili[[#This Row],[Frost Mage]]+Races!$F$71-6,0) + MAX(Races!$E$71-6,0) )  -  Races!$I$71</f>
        <v>3.9599999999999991</v>
      </c>
      <c r="CY122" s="158">
        <f ca="1">1.8 * MIN(MAX(TblMili[[#This Row],[Ice Elemental]]+Races!$E$71,Races!$F$71),6)  +  0.45 * MIN(MIN(TblMili[[#This Row],[Ice Elemental]]+Races!$E$71,Races!$F$71),6)  +  0.2 * ( MAX(TblMili[[#This Row],[Ice Elemental]]+Races!$E$71-6,0) + MAX(Races!$F$71-6,0) )  -  Races!$I$71</f>
        <v>0.17999999999999972</v>
      </c>
      <c r="CZ122" s="97">
        <f ca="1">TblMili[[#This Row],[Frost Mage bonus]]*TblMili[[#This Row],[Unit 3]]+TblMili[[#This Row],[Ice Elemental bonus]]*TblMili[[#This Row],[Unit 4]]</f>
        <v>0</v>
      </c>
      <c r="DA122" s="268"/>
      <c r="DB122" s="146">
        <f ca="1">MIN(SUM(TblConstr[[#This Row],[Plain]:[Water]])/TblMili[[#This Row],[Land]]/favorable_terrain_bonus/100,favorable_terrain_max)</f>
        <v>0.1</v>
      </c>
      <c r="DC122" s="268"/>
      <c r="DD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2" s="145"/>
      <c r="DF122" s="269">
        <f ca="1">(TblMili[[#This Row],[Wizards]]+2*TblMili[[#This Row],[Archmages]])/TblConstr[[#This Row],[Land]]</f>
        <v>0.1</v>
      </c>
      <c r="DG122" s="269">
        <f ca="1">TblMili[[#This Row],[Raw (2)]]*(1+race_wizard_strength+IF(TblMili[[#This Row],[Hour]]&gt;72,tech_magical_weaponry_wiz*TblTech[[#This Row],[3-5]],0))</f>
        <v>0.1</v>
      </c>
    </row>
    <row r="123" spans="1:111"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45462.958333333045</v>
      </c>
      <c r="AG123" s="182"/>
      <c r="AH123" s="182"/>
      <c r="AI123" s="182"/>
      <c r="AJ123" s="182"/>
      <c r="AK123" s="182"/>
      <c r="AL123" s="182"/>
      <c r="AM123" s="182"/>
      <c r="AN123" s="182"/>
      <c r="AO123" s="449">
        <f ca="1">IF(AND(TblMagic[[#This Row],[Active DnD]]&lt;12,TblMagic[[#This Row],[Active DnD]]&gt;5),OFFSET(TblPop[[#This Row],[Draft Growth]],-1,0)/2,0)</f>
        <v>0</v>
      </c>
      <c r="AP123" s="145"/>
      <c r="AQ123" s="97">
        <f ca="1">TblProd[[#This Row],[Platinum]]</f>
        <v>773712</v>
      </c>
      <c r="AR123" s="97">
        <f ca="1">INDEX(TblProd[[#Headers],[Lumber]]:TblProd[[#This Row],[Ore]],COUNTA(TblProd[[#Headers],[Lumber]]:TblProd[[#This Row],[Lumber]]),MATCH(Military!$AQ$2,TblProd[[#Headers],[Lumber]:[Ore]],0))</f>
        <v>0</v>
      </c>
      <c r="AS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7">
        <f ca="1">TblMili[[#This Row],[Train Unit 1]]*TblMili[[#This Row],[OP Ore]]+TblMili[[#This Row],[Train Unit 2]]*TblMili[[#This Row],[DP Ore]]+TblMili[[#This Row],[Train Unit 3]]*TblMili[[#This Row],[E1 Ore]]+TblMili[[#This Row],[Train Unit 4]]*TblMili[[#This Row],[E2 Ore]]</f>
        <v>0</v>
      </c>
      <c r="AU123" s="145">
        <f>TblMili[[#This Row],[Hour]]</f>
        <v>120</v>
      </c>
      <c r="AV123" s="155">
        <f ca="1">TblMili[[#This Row],[Time]]</f>
        <v>45462.958333333045</v>
      </c>
      <c r="AW123" s="97">
        <f ca="1">TblMili[[#This Row],[Draftees]]</f>
        <v>626</v>
      </c>
      <c r="AX123" s="182"/>
      <c r="AY123" s="182"/>
      <c r="AZ123" s="182"/>
      <c r="BA123" s="182"/>
      <c r="BB123" s="182"/>
      <c r="BC123" s="182"/>
      <c r="BD123" s="182"/>
      <c r="BE123" s="182"/>
      <c r="BF123" s="182"/>
      <c r="BG123" s="145"/>
      <c r="BH123" s="160">
        <f ca="1">TblConstr[[#This Row],[Tot WG]]/TblConstr[[#This Row],[Land]]</f>
        <v>0</v>
      </c>
      <c r="BI123" s="160">
        <f ca="1">TblConstr[[#This Row],[Tot Hav]]/TblConstr[[#This Row],[Land]]</f>
        <v>0</v>
      </c>
      <c r="BJ123" s="97">
        <f ca="1">ROUNDUP((1-MIN(TblMili[[#This Row],[Smithies]]*smithy_bonus,smithy_bonus_cap) + tech_3_5*TblTech[[#This Row],[3-5]] + tech_5_3*TblTech[[#This Row],[5-3]] + tech_5_5*TblTech[[#This Row],[5-5]])*spec_op_plat,0)</f>
        <v>275</v>
      </c>
      <c r="BK123" s="97">
        <f ca="1">ROUNDUP(IF(race="Gnome",1,(1-MIN(TblMili[[#This Row],[Smithies]]*smithy_bonus,smithy_bonus_cap) + tech_3_5*TblTech[[#This Row],[3-5]] + tech_5_3*TblTech[[#This Row],[5-3]] + tech_5_5*TblTech[[#This Row],[5-5]]))*spec_op_ore,0)</f>
        <v>25</v>
      </c>
      <c r="BL123" s="97">
        <f ca="1">ROUNDUP((1-MIN(TblMili[[#This Row],[Smithies]]*smithy_bonus,smithy_bonus_cap) + tech_3_5*TblTech[[#This Row],[3-5]] + tech_5_3*TblTech[[#This Row],[5-3]] + tech_5_5*TblTech[[#This Row],[5-5]])*spec_dp_plat,0)</f>
        <v>275</v>
      </c>
      <c r="BM123" s="97">
        <f ca="1">ROUNDUP(IF(race="Gnome",1,(1-MIN(TblMili[[#This Row],[Smithies]]*smithy_bonus,smithy_bonus_cap) + tech_3_5*TblTech[[#This Row],[3-5]] + tech_5_3*TblTech[[#This Row],[5-3]] + tech_5_5*TblTech[[#This Row],[5-5]]))*spec_dp_ore,0)</f>
        <v>15</v>
      </c>
      <c r="BN123" s="97">
        <f ca="1">ROUNDUP((1-MIN(TblMili[[#This Row],[Smithies]]*smithy_bonus,smithy_bonus_cap) + tech_3_5*TblTech[[#This Row],[3-5]] + tech_5_3*TblTech[[#This Row],[5-3]] + tech_5_5*TblTech[[#This Row],[5-5]])*elite1_plat,0)</f>
        <v>1000</v>
      </c>
      <c r="BO123" s="97">
        <f ca="1">ROUNDUP(IF(race="Gnome",1,(1-MIN(TblMili[[#This Row],[Smithies]]*smithy_bonus,smithy_bonus_cap) + tech_3_5*TblTech[[#This Row],[3-5]] + tech_5_3*TblTech[[#This Row],[5-3]] + tech_5_5*TblTech[[#This Row],[5-5]]))*elite1_ore,0)</f>
        <v>75</v>
      </c>
      <c r="BP123" s="97">
        <f ca="1">ROUNDUP((1-MIN(TblMili[[#This Row],[Smithies]]*smithy_bonus,smithy_bonus_cap) + tech_3_5*TblTech[[#This Row],[3-5]] + tech_5_3*TblTech[[#This Row],[5-3]] + tech_5_5*TblTech[[#This Row],[5-5]])*elite2_plat,0)</f>
        <v>1250</v>
      </c>
      <c r="BQ123" s="97">
        <f ca="1">ROUNDUP(IF(race="Gnome",1,(1-MIN(TblMili[[#This Row],[Smithies]]*smithy_bonus,smithy_bonus_cap) + tech_3_5*TblTech[[#This Row],[3-5]] + tech_5_3*TblTech[[#This Row],[5-3]] + tech_5_5*TblTech[[#This Row],[5-5]]))*elite2_ore,0)</f>
        <v>100</v>
      </c>
      <c r="BR123" s="97">
        <f ca="1">ROUNDUP((1-MIN(ROUND(fh_spy_cost_red*TblMili[[#This Row],[FH''s]],4),fh_spy_cost_cap)+ tech_1_9*TblTech[[#This Row],[1-9]] + tech_9_1*TblTech[[#This Row],[9-1]])*spy_plat,0)</f>
        <v>500</v>
      </c>
      <c r="BS123" s="97">
        <f ca="1">ROUNDUP((1-MIN(ROUND(fh_spy_cost_red*TblMili[[#This Row],[FH''s]],4),fh_spy_cost_cap)+ tech_1_9*TblTech[[#This Row],[1-9]] + tech_9_1*TblTech[[#This Row],[9-1]])*archspy_plat,0)</f>
        <v>1000</v>
      </c>
      <c r="BT123" s="97">
        <f ca="1">ROUNDUP((1-MIN(ROUND(wg_wiz_cost_bonus*TblMili[[#This Row],[WG''s]],4),wg_wiz_cost_cap) + tech_1_9_2*TblTech[[#This Row],[1-9]] + tech_9_1_2*TblTech[[#This Row],[9-1]])*wizard_plat,0)</f>
        <v>500</v>
      </c>
      <c r="BU123" s="97">
        <f ca="1">ROUNDUP((1-MIN(ROUND(wg_wiz_cost_bonus*TblMili[[#This Row],[WG''s]],4),wg_wiz_cost_cap) + tech_1_9_2*TblTech[[#This Row],[1-9]] + tech_9_1_2*TblTech[[#This Row],[9-1]])*archmage_plat,0)</f>
        <v>1000</v>
      </c>
      <c r="BV123" s="145"/>
      <c r="BW123" s="160">
        <f ca="1">TblConstr[[#This Row],[Homeland]]/TblConstr[[#This Row],[Land]]</f>
        <v>0.44</v>
      </c>
      <c r="BX123" s="160">
        <f ca="1">TblMili[[#This Row],[WG''s]]</f>
        <v>0</v>
      </c>
      <c r="BY123" s="266">
        <f ca="1">IF(mystic_cap="none",TblMili[[#This Row],[Hill]]/mystic_bonus,MIN(mystic_cap,TblMili[[#This Row],[Hill]]/mystic_bonus))</f>
        <v>2.1999999999999997</v>
      </c>
      <c r="BZ123" s="266">
        <f ca="1">IF(druid_op_cap="none",TblMili[[#This Row],[Hill]]/druid_op_bonus,MIN(druid_op_cap,TblMili[[#This Row],[Hill]]/druid_op_bonus))</f>
        <v>2.1999999999999997</v>
      </c>
      <c r="CA123" s="266">
        <f ca="1">IF(druid_dp_cap="none",TblMili[[#This Row],[Hill]]/druid_dp_bonus,MIN(druid_dp_cap,TblMili[[#This Row],[Hill]]/druid_dp_bonus))</f>
        <v>2.1999999999999997</v>
      </c>
      <c r="CB123" s="266">
        <f ca="1">MIN(dryad_cap,TblMili[[#This Row],[Hill]]/dryad_bonus)</f>
        <v>2.1999999999999997</v>
      </c>
      <c r="CC123" s="266">
        <f ca="1">MIN(rocka_cap,TblMili[[#This Row],[Hill]]/rocka_bonus)</f>
        <v>2</v>
      </c>
      <c r="CD123" s="266">
        <f ca="1">MIN(adept_op_cap,TblMili[[#This Row],[WG]]/adept_op_bonus)</f>
        <v>0</v>
      </c>
      <c r="CE123" s="266">
        <f ca="1">MIN(adept_dp_cap,TblMili[[#This Row],[WG]]/adept_dp_bonus)</f>
        <v>0</v>
      </c>
      <c r="CF123" s="97">
        <f ca="1">MIN(TblMili[[#This Row],[Unit 3]],TblMili[[#This Row],[Unit 2]])*2</f>
        <v>0</v>
      </c>
      <c r="CG123" s="97">
        <f ca="1">MIN(TblMili[[#This Row],[Unit 1]],TblMili[[#This Row],[Unit 4]])*2</f>
        <v>0</v>
      </c>
      <c r="CH123" s="266">
        <f ca="1">MIN(frost_mage_cap,TblMili[[#This Row],[Hill]]/frost_mage_bonus)</f>
        <v>2.1999999999999997</v>
      </c>
      <c r="CI123" s="45">
        <f ca="1">MIN(ice_elem_cap,TblMili[[#This Row],[Raw (2)]]*ice_elem_bonus)</f>
        <v>0.1</v>
      </c>
      <c r="CJ123" s="266">
        <f t="shared" si="4"/>
        <v>0.83333333333333337</v>
      </c>
      <c r="CK123" s="266">
        <f ca="1">MIN(nox_nightshade_cap,TblConstr[[#This Row],[Homeland]]/TblConstr[[#This Row],[Land]]/nox_nightshade_swamp_bonus)</f>
        <v>4</v>
      </c>
      <c r="CL123" s="267"/>
      <c r="CM123" s="267"/>
      <c r="CN123" s="267"/>
      <c r="CO123" s="266">
        <f ca="1">MIN(6,TblMili[[#This Row],[Mystic]]+Races!$F$19)*1.8 +  IF(TblMili[[#This Row],[Mystic]]+Races!$F$19&gt;6,(TblMili[[#This Row],[Mystic]]+Races!$F$19-6)*0.2,0) - Races!$I$19</f>
        <v>3.6399999999999997</v>
      </c>
      <c r="CP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3" s="97">
        <f ca="1">TblMili[[#This Row],[Mystic bonus]]*TblMili[[#This Row],[Unit 3]]+TblMili[[#This Row],[Druid bonus]]*TblMili[[#This Row],[Unit 4]]</f>
        <v>0</v>
      </c>
      <c r="CR123" s="158">
        <f ca="1">MIN(6,TblMili[[#This Row],[Dryad]]+Races!$F$35)*1.8 +  IF(TblMili[[#This Row],[Dryad]]+Races!$F$35&gt;6,(TblMili[[#This Row],[Dryad]]+Races!$F$35-6)*0.2,0) - Races!$I$19</f>
        <v>2.1599999999999993</v>
      </c>
      <c r="CS123" s="97">
        <f ca="1">sylvan*(TblMili[[#This Row],[Mystic bonus]]*TblMili[[#This Row],[Unit 3]])</f>
        <v>0</v>
      </c>
      <c r="CT123" s="158">
        <f ca="1">1.8 * MIN(MAX(Races!$E$27,TblMili[[#This Row],[Rockapult]]+Races!$F$27),6)  +  0.45 * MIN(MIN(Races!$E$27,TblMili[[#This Row],[Rockapult]]+Races!$F$27),6)  +  0.2 * ( MAX(Races!$E$27-6,0) + MAX(TblMili[[#This Row],[Rockapult]]+Races!$F$27-6,0) )  -  Races!$I$20</f>
        <v>5.8500000000000005</v>
      </c>
      <c r="CU123" s="97">
        <f ca="1">gnome*(TblMili[[#This Row],[Rockapult bonus]]*TblMili[[#This Row],[Unit 3]])</f>
        <v>0</v>
      </c>
      <c r="CV123" s="158">
        <f ca="1">1.8 * MIN(MAX(TblMili[[#This Row],[Spellblade]]+Races!$E$47,TblMili[[#This Row],[Adept-DP]]+Races!$F$47),6)  +  0.45 * MIN(MIN(TblMili[[#This Row],[Spellblade]]+Races!$E$47,TblMili[[#This Row],[Adept-DP]]+Races!$F$47),6)  +  0.2 * ( MAX(TblMili[[#This Row],[Spellblade]]+Races!$E$47-6,0) + MAX(TblMili[[#This Row],[Adept-DP]]+Races!$F$47-6,0) )  -  Races!$I$47</f>
        <v>0</v>
      </c>
      <c r="CW123" s="97">
        <f ca="1">dark_elf*(TblMili[[#This Row],[Adept bonus]]*TblMili[[#This Row],[Unit 3]])</f>
        <v>0</v>
      </c>
      <c r="CX123" s="158">
        <f ca="1">1.8 * MIN(MAX(TblMili[[#This Row],[Frost Mage]]+Races!$F$71,Races!$E$71),6)  +  0.45 * MIN(MIN(TblMili[[#This Row],[Frost Mage]]+Races!$F$71,Races!$E$71),6)  +  0.2 * ( MAX(TblMili[[#This Row],[Frost Mage]]+Races!$F$71-6,0) + MAX(Races!$E$71-6,0) )  -  Races!$I$71</f>
        <v>3.9599999999999991</v>
      </c>
      <c r="CY123" s="158">
        <f ca="1">1.8 * MIN(MAX(TblMili[[#This Row],[Ice Elemental]]+Races!$E$71,Races!$F$71),6)  +  0.45 * MIN(MIN(TblMili[[#This Row],[Ice Elemental]]+Races!$E$71,Races!$F$71),6)  +  0.2 * ( MAX(TblMili[[#This Row],[Ice Elemental]]+Races!$E$71-6,0) + MAX(Races!$F$71-6,0) )  -  Races!$I$71</f>
        <v>0.17999999999999972</v>
      </c>
      <c r="CZ123" s="97">
        <f ca="1">TblMili[[#This Row],[Frost Mage bonus]]*TblMili[[#This Row],[Unit 3]]+TblMili[[#This Row],[Ice Elemental bonus]]*TblMili[[#This Row],[Unit 4]]</f>
        <v>0</v>
      </c>
      <c r="DA123" s="268"/>
      <c r="DB123" s="146">
        <f ca="1">MIN(SUM(TblConstr[[#This Row],[Plain]:[Water]])/TblMili[[#This Row],[Land]]/favorable_terrain_bonus/100,favorable_terrain_max)</f>
        <v>0.1</v>
      </c>
      <c r="DC123" s="268"/>
      <c r="DD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3" s="145"/>
      <c r="DF123" s="269">
        <f ca="1">(TblMili[[#This Row],[Wizards]]+2*TblMili[[#This Row],[Archmages]])/TblConstr[[#This Row],[Land]]</f>
        <v>0.1</v>
      </c>
      <c r="DG123" s="269">
        <f ca="1">TblMili[[#This Row],[Raw (2)]]*(1+race_wizard_strength+IF(TblMili[[#This Row],[Hour]]&gt;72,tech_magical_weaponry_wiz*TblTech[[#This Row],[3-5]],0))</f>
        <v>0.1</v>
      </c>
    </row>
    <row r="124" spans="1:111"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45462.999999999709</v>
      </c>
      <c r="AG124" s="182"/>
      <c r="AH124" s="182"/>
      <c r="AI124" s="182"/>
      <c r="AJ124" s="182"/>
      <c r="AK124" s="182"/>
      <c r="AL124" s="182"/>
      <c r="AM124" s="182"/>
      <c r="AN124" s="182"/>
      <c r="AO124" s="449">
        <f ca="1">IF(AND(TblMagic[[#This Row],[Active DnD]]&lt;12,TblMagic[[#This Row],[Active DnD]]&gt;5),OFFSET(TblPop[[#This Row],[Draft Growth]],-1,0)/2,0)</f>
        <v>0</v>
      </c>
      <c r="AP124" s="145"/>
      <c r="AQ124" s="97">
        <f ca="1">TblProd[[#This Row],[Platinum]]</f>
        <v>779198</v>
      </c>
      <c r="AR124" s="97">
        <f ca="1">INDEX(TblProd[[#Headers],[Lumber]]:TblProd[[#This Row],[Ore]],COUNTA(TblProd[[#Headers],[Lumber]]:TblProd[[#This Row],[Lumber]]),MATCH(Military!$AQ$2,TblProd[[#Headers],[Lumber]:[Ore]],0))</f>
        <v>0</v>
      </c>
      <c r="AS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7">
        <f ca="1">TblMili[[#This Row],[Train Unit 1]]*TblMili[[#This Row],[OP Ore]]+TblMili[[#This Row],[Train Unit 2]]*TblMili[[#This Row],[DP Ore]]+TblMili[[#This Row],[Train Unit 3]]*TblMili[[#This Row],[E1 Ore]]+TblMili[[#This Row],[Train Unit 4]]*TblMili[[#This Row],[E2 Ore]]</f>
        <v>0</v>
      </c>
      <c r="AU124" s="145">
        <f>TblMili[[#This Row],[Hour]]</f>
        <v>121</v>
      </c>
      <c r="AV124" s="155">
        <f ca="1">TblMili[[#This Row],[Time]]</f>
        <v>45462.999999999709</v>
      </c>
      <c r="AW124" s="97">
        <f ca="1">TblMili[[#This Row],[Draftees]]</f>
        <v>626</v>
      </c>
      <c r="AX124" s="182"/>
      <c r="AY124" s="182"/>
      <c r="AZ124" s="182"/>
      <c r="BA124" s="182"/>
      <c r="BB124" s="182"/>
      <c r="BC124" s="182"/>
      <c r="BD124" s="182"/>
      <c r="BE124" s="182"/>
      <c r="BF124" s="182"/>
      <c r="BG124" s="145"/>
      <c r="BH124" s="160">
        <f ca="1">TblConstr[[#This Row],[Tot WG]]/TblConstr[[#This Row],[Land]]</f>
        <v>0</v>
      </c>
      <c r="BI124" s="160">
        <f ca="1">TblConstr[[#This Row],[Tot Hav]]/TblConstr[[#This Row],[Land]]</f>
        <v>0</v>
      </c>
      <c r="BJ124" s="97">
        <f ca="1">ROUNDUP((1-MIN(TblMili[[#This Row],[Smithies]]*smithy_bonus,smithy_bonus_cap) + tech_3_5*TblTech[[#This Row],[3-5]] + tech_5_3*TblTech[[#This Row],[5-3]] + tech_5_5*TblTech[[#This Row],[5-5]])*spec_op_plat,0)</f>
        <v>275</v>
      </c>
      <c r="BK124" s="97">
        <f ca="1">ROUNDUP(IF(race="Gnome",1,(1-MIN(TblMili[[#This Row],[Smithies]]*smithy_bonus,smithy_bonus_cap) + tech_3_5*TblTech[[#This Row],[3-5]] + tech_5_3*TblTech[[#This Row],[5-3]] + tech_5_5*TblTech[[#This Row],[5-5]]))*spec_op_ore,0)</f>
        <v>25</v>
      </c>
      <c r="BL124" s="97">
        <f ca="1">ROUNDUP((1-MIN(TblMili[[#This Row],[Smithies]]*smithy_bonus,smithy_bonus_cap) + tech_3_5*TblTech[[#This Row],[3-5]] + tech_5_3*TblTech[[#This Row],[5-3]] + tech_5_5*TblTech[[#This Row],[5-5]])*spec_dp_plat,0)</f>
        <v>275</v>
      </c>
      <c r="BM124" s="97">
        <f ca="1">ROUNDUP(IF(race="Gnome",1,(1-MIN(TblMili[[#This Row],[Smithies]]*smithy_bonus,smithy_bonus_cap) + tech_3_5*TblTech[[#This Row],[3-5]] + tech_5_3*TblTech[[#This Row],[5-3]] + tech_5_5*TblTech[[#This Row],[5-5]]))*spec_dp_ore,0)</f>
        <v>15</v>
      </c>
      <c r="BN124" s="97">
        <f ca="1">ROUNDUP((1-MIN(TblMili[[#This Row],[Smithies]]*smithy_bonus,smithy_bonus_cap) + tech_3_5*TblTech[[#This Row],[3-5]] + tech_5_3*TblTech[[#This Row],[5-3]] + tech_5_5*TblTech[[#This Row],[5-5]])*elite1_plat,0)</f>
        <v>1000</v>
      </c>
      <c r="BO124" s="97">
        <f ca="1">ROUNDUP(IF(race="Gnome",1,(1-MIN(TblMili[[#This Row],[Smithies]]*smithy_bonus,smithy_bonus_cap) + tech_3_5*TblTech[[#This Row],[3-5]] + tech_5_3*TblTech[[#This Row],[5-3]] + tech_5_5*TblTech[[#This Row],[5-5]]))*elite1_ore,0)</f>
        <v>75</v>
      </c>
      <c r="BP124" s="97">
        <f ca="1">ROUNDUP((1-MIN(TblMili[[#This Row],[Smithies]]*smithy_bonus,smithy_bonus_cap) + tech_3_5*TblTech[[#This Row],[3-5]] + tech_5_3*TblTech[[#This Row],[5-3]] + tech_5_5*TblTech[[#This Row],[5-5]])*elite2_plat,0)</f>
        <v>1250</v>
      </c>
      <c r="BQ124" s="97">
        <f ca="1">ROUNDUP(IF(race="Gnome",1,(1-MIN(TblMili[[#This Row],[Smithies]]*smithy_bonus,smithy_bonus_cap) + tech_3_5*TblTech[[#This Row],[3-5]] + tech_5_3*TblTech[[#This Row],[5-3]] + tech_5_5*TblTech[[#This Row],[5-5]]))*elite2_ore,0)</f>
        <v>100</v>
      </c>
      <c r="BR124" s="97">
        <f ca="1">ROUNDUP((1-MIN(ROUND(fh_spy_cost_red*TblMili[[#This Row],[FH''s]],4),fh_spy_cost_cap)+ tech_1_9*TblTech[[#This Row],[1-9]] + tech_9_1*TblTech[[#This Row],[9-1]])*spy_plat,0)</f>
        <v>500</v>
      </c>
      <c r="BS124" s="97">
        <f ca="1">ROUNDUP((1-MIN(ROUND(fh_spy_cost_red*TblMili[[#This Row],[FH''s]],4),fh_spy_cost_cap)+ tech_1_9*TblTech[[#This Row],[1-9]] + tech_9_1*TblTech[[#This Row],[9-1]])*archspy_plat,0)</f>
        <v>1000</v>
      </c>
      <c r="BT124" s="97">
        <f ca="1">ROUNDUP((1-MIN(ROUND(wg_wiz_cost_bonus*TblMili[[#This Row],[WG''s]],4),wg_wiz_cost_cap) + tech_1_9_2*TblTech[[#This Row],[1-9]] + tech_9_1_2*TblTech[[#This Row],[9-1]])*wizard_plat,0)</f>
        <v>500</v>
      </c>
      <c r="BU124" s="97">
        <f ca="1">ROUNDUP((1-MIN(ROUND(wg_wiz_cost_bonus*TblMili[[#This Row],[WG''s]],4),wg_wiz_cost_cap) + tech_1_9_2*TblTech[[#This Row],[1-9]] + tech_9_1_2*TblTech[[#This Row],[9-1]])*archmage_plat,0)</f>
        <v>1000</v>
      </c>
      <c r="BV124" s="145"/>
      <c r="BW124" s="160">
        <f ca="1">TblConstr[[#This Row],[Homeland]]/TblConstr[[#This Row],[Land]]</f>
        <v>0.44</v>
      </c>
      <c r="BX124" s="160">
        <f ca="1">TblMili[[#This Row],[WG''s]]</f>
        <v>0</v>
      </c>
      <c r="BY124" s="266">
        <f ca="1">IF(mystic_cap="none",TblMili[[#This Row],[Hill]]/mystic_bonus,MIN(mystic_cap,TblMili[[#This Row],[Hill]]/mystic_bonus))</f>
        <v>2.1999999999999997</v>
      </c>
      <c r="BZ124" s="266">
        <f ca="1">IF(druid_op_cap="none",TblMili[[#This Row],[Hill]]/druid_op_bonus,MIN(druid_op_cap,TblMili[[#This Row],[Hill]]/druid_op_bonus))</f>
        <v>2.1999999999999997</v>
      </c>
      <c r="CA124" s="266">
        <f ca="1">IF(druid_dp_cap="none",TblMili[[#This Row],[Hill]]/druid_dp_bonus,MIN(druid_dp_cap,TblMili[[#This Row],[Hill]]/druid_dp_bonus))</f>
        <v>2.1999999999999997</v>
      </c>
      <c r="CB124" s="266">
        <f ca="1">MIN(dryad_cap,TblMili[[#This Row],[Hill]]/dryad_bonus)</f>
        <v>2.1999999999999997</v>
      </c>
      <c r="CC124" s="266">
        <f ca="1">MIN(rocka_cap,TblMili[[#This Row],[Hill]]/rocka_bonus)</f>
        <v>2</v>
      </c>
      <c r="CD124" s="266">
        <f ca="1">MIN(adept_op_cap,TblMili[[#This Row],[WG]]/adept_op_bonus)</f>
        <v>0</v>
      </c>
      <c r="CE124" s="266">
        <f ca="1">MIN(adept_dp_cap,TblMili[[#This Row],[WG]]/adept_dp_bonus)</f>
        <v>0</v>
      </c>
      <c r="CF124" s="97">
        <f ca="1">MIN(TblMili[[#This Row],[Unit 3]],TblMili[[#This Row],[Unit 2]])*2</f>
        <v>0</v>
      </c>
      <c r="CG124" s="97">
        <f ca="1">MIN(TblMili[[#This Row],[Unit 1]],TblMili[[#This Row],[Unit 4]])*2</f>
        <v>0</v>
      </c>
      <c r="CH124" s="266">
        <f ca="1">MIN(frost_mage_cap,TblMili[[#This Row],[Hill]]/frost_mage_bonus)</f>
        <v>2.1999999999999997</v>
      </c>
      <c r="CI124" s="45">
        <f ca="1">MIN(ice_elem_cap,TblMili[[#This Row],[Raw (2)]]*ice_elem_bonus)</f>
        <v>0.1</v>
      </c>
      <c r="CJ124" s="266">
        <f t="shared" si="4"/>
        <v>0.83333333333333337</v>
      </c>
      <c r="CK124" s="266">
        <f ca="1">MIN(nox_nightshade_cap,TblConstr[[#This Row],[Homeland]]/TblConstr[[#This Row],[Land]]/nox_nightshade_swamp_bonus)</f>
        <v>4</v>
      </c>
      <c r="CL124" s="267"/>
      <c r="CM124" s="267"/>
      <c r="CN124" s="267"/>
      <c r="CO124" s="266">
        <f ca="1">MIN(6,TblMili[[#This Row],[Mystic]]+Races!$F$19)*1.8 +  IF(TblMili[[#This Row],[Mystic]]+Races!$F$19&gt;6,(TblMili[[#This Row],[Mystic]]+Races!$F$19-6)*0.2,0) - Races!$I$19</f>
        <v>3.6399999999999997</v>
      </c>
      <c r="CP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4" s="97">
        <f ca="1">TblMili[[#This Row],[Mystic bonus]]*TblMili[[#This Row],[Unit 3]]+TblMili[[#This Row],[Druid bonus]]*TblMili[[#This Row],[Unit 4]]</f>
        <v>0</v>
      </c>
      <c r="CR124" s="158">
        <f ca="1">MIN(6,TblMili[[#This Row],[Dryad]]+Races!$F$35)*1.8 +  IF(TblMili[[#This Row],[Dryad]]+Races!$F$35&gt;6,(TblMili[[#This Row],[Dryad]]+Races!$F$35-6)*0.2,0) - Races!$I$19</f>
        <v>2.1599999999999993</v>
      </c>
      <c r="CS124" s="97">
        <f ca="1">sylvan*(TblMili[[#This Row],[Mystic bonus]]*TblMili[[#This Row],[Unit 3]])</f>
        <v>0</v>
      </c>
      <c r="CT124" s="158">
        <f ca="1">1.8 * MIN(MAX(Races!$E$27,TblMili[[#This Row],[Rockapult]]+Races!$F$27),6)  +  0.45 * MIN(MIN(Races!$E$27,TblMili[[#This Row],[Rockapult]]+Races!$F$27),6)  +  0.2 * ( MAX(Races!$E$27-6,0) + MAX(TblMili[[#This Row],[Rockapult]]+Races!$F$27-6,0) )  -  Races!$I$20</f>
        <v>5.8500000000000005</v>
      </c>
      <c r="CU124" s="97">
        <f ca="1">gnome*(TblMili[[#This Row],[Rockapult bonus]]*TblMili[[#This Row],[Unit 3]])</f>
        <v>0</v>
      </c>
      <c r="CV124" s="158">
        <f ca="1">1.8 * MIN(MAX(TblMili[[#This Row],[Spellblade]]+Races!$E$47,TblMili[[#This Row],[Adept-DP]]+Races!$F$47),6)  +  0.45 * MIN(MIN(TblMili[[#This Row],[Spellblade]]+Races!$E$47,TblMili[[#This Row],[Adept-DP]]+Races!$F$47),6)  +  0.2 * ( MAX(TblMili[[#This Row],[Spellblade]]+Races!$E$47-6,0) + MAX(TblMili[[#This Row],[Adept-DP]]+Races!$F$47-6,0) )  -  Races!$I$47</f>
        <v>0</v>
      </c>
      <c r="CW124" s="97">
        <f ca="1">dark_elf*(TblMili[[#This Row],[Adept bonus]]*TblMili[[#This Row],[Unit 3]])</f>
        <v>0</v>
      </c>
      <c r="CX124" s="158">
        <f ca="1">1.8 * MIN(MAX(TblMili[[#This Row],[Frost Mage]]+Races!$F$71,Races!$E$71),6)  +  0.45 * MIN(MIN(TblMili[[#This Row],[Frost Mage]]+Races!$F$71,Races!$E$71),6)  +  0.2 * ( MAX(TblMili[[#This Row],[Frost Mage]]+Races!$F$71-6,0) + MAX(Races!$E$71-6,0) )  -  Races!$I$71</f>
        <v>3.9599999999999991</v>
      </c>
      <c r="CY124" s="158">
        <f ca="1">1.8 * MIN(MAX(TblMili[[#This Row],[Ice Elemental]]+Races!$E$71,Races!$F$71),6)  +  0.45 * MIN(MIN(TblMili[[#This Row],[Ice Elemental]]+Races!$E$71,Races!$F$71),6)  +  0.2 * ( MAX(TblMili[[#This Row],[Ice Elemental]]+Races!$E$71-6,0) + MAX(Races!$F$71-6,0) )  -  Races!$I$71</f>
        <v>0.17999999999999972</v>
      </c>
      <c r="CZ124" s="97">
        <f ca="1">TblMili[[#This Row],[Frost Mage bonus]]*TblMili[[#This Row],[Unit 3]]+TblMili[[#This Row],[Ice Elemental bonus]]*TblMili[[#This Row],[Unit 4]]</f>
        <v>0</v>
      </c>
      <c r="DA124" s="268"/>
      <c r="DB124" s="146">
        <f ca="1">MIN(SUM(TblConstr[[#This Row],[Plain]:[Water]])/TblMili[[#This Row],[Land]]/favorable_terrain_bonus/100,favorable_terrain_max)</f>
        <v>0.1</v>
      </c>
      <c r="DC124" s="268"/>
      <c r="DD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4" s="145"/>
      <c r="DF124" s="269">
        <f ca="1">(TblMili[[#This Row],[Wizards]]+2*TblMili[[#This Row],[Archmages]])/TblConstr[[#This Row],[Land]]</f>
        <v>0.1</v>
      </c>
      <c r="DG124" s="269">
        <f ca="1">TblMili[[#This Row],[Raw (2)]]*(1+race_wizard_strength+IF(TblMili[[#This Row],[Hour]]&gt;72,tech_magical_weaponry_wiz*TblTech[[#This Row],[3-5]],0))</f>
        <v>0.1</v>
      </c>
    </row>
    <row r="125" spans="1:111"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45463.041666666373</v>
      </c>
      <c r="AG125" s="161"/>
      <c r="AH125" s="182"/>
      <c r="AI125" s="161"/>
      <c r="AJ125" s="182"/>
      <c r="AK125" s="182"/>
      <c r="AL125" s="182"/>
      <c r="AM125" s="182"/>
      <c r="AN125" s="182"/>
      <c r="AO125" s="449">
        <f ca="1">IF(AND(TblMagic[[#This Row],[Active DnD]]&lt;12,TblMagic[[#This Row],[Active DnD]]&gt;5),OFFSET(TblPop[[#This Row],[Draft Growth]],-1,0)/2,0)</f>
        <v>0</v>
      </c>
      <c r="AP125" s="145"/>
      <c r="AQ125" s="97">
        <f ca="1">TblProd[[#This Row],[Platinum]]</f>
        <v>784684</v>
      </c>
      <c r="AR125" s="97">
        <f ca="1">INDEX(TblProd[[#Headers],[Lumber]]:TblProd[[#This Row],[Ore]],COUNTA(TblProd[[#Headers],[Lumber]]:TblProd[[#This Row],[Lumber]]),MATCH(Military!$AQ$2,TblProd[[#Headers],[Lumber]:[Ore]],0))</f>
        <v>0</v>
      </c>
      <c r="AS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7">
        <f ca="1">TblMili[[#This Row],[Train Unit 1]]*TblMili[[#This Row],[OP Ore]]+TblMili[[#This Row],[Train Unit 2]]*TblMili[[#This Row],[DP Ore]]+TblMili[[#This Row],[Train Unit 3]]*TblMili[[#This Row],[E1 Ore]]+TblMili[[#This Row],[Train Unit 4]]*TblMili[[#This Row],[E2 Ore]]</f>
        <v>0</v>
      </c>
      <c r="AU125" s="145">
        <f>TblMili[[#This Row],[Hour]]</f>
        <v>122</v>
      </c>
      <c r="AV125" s="155">
        <f ca="1">TblMili[[#This Row],[Time]]</f>
        <v>45463.041666666373</v>
      </c>
      <c r="AW125" s="97">
        <f ca="1">TblMili[[#This Row],[Draftees]]</f>
        <v>626</v>
      </c>
      <c r="AX125" s="182"/>
      <c r="AY125" s="182"/>
      <c r="AZ125" s="182"/>
      <c r="BA125" s="182"/>
      <c r="BB125" s="182"/>
      <c r="BC125" s="182"/>
      <c r="BD125" s="182"/>
      <c r="BE125" s="182"/>
      <c r="BF125" s="182"/>
      <c r="BG125" s="145"/>
      <c r="BH125" s="160">
        <f ca="1">TblConstr[[#This Row],[Tot WG]]/TblConstr[[#This Row],[Land]]</f>
        <v>0</v>
      </c>
      <c r="BI125" s="160">
        <f ca="1">TblConstr[[#This Row],[Tot Hav]]/TblConstr[[#This Row],[Land]]</f>
        <v>0</v>
      </c>
      <c r="BJ125" s="97">
        <f ca="1">ROUNDUP((1-MIN(TblMili[[#This Row],[Smithies]]*smithy_bonus,smithy_bonus_cap) + tech_3_5*TblTech[[#This Row],[3-5]] + tech_5_3*TblTech[[#This Row],[5-3]] + tech_5_5*TblTech[[#This Row],[5-5]])*spec_op_plat,0)</f>
        <v>275</v>
      </c>
      <c r="BK125" s="97">
        <f ca="1">ROUNDUP(IF(race="Gnome",1,(1-MIN(TblMili[[#This Row],[Smithies]]*smithy_bonus,smithy_bonus_cap) + tech_3_5*TblTech[[#This Row],[3-5]] + tech_5_3*TblTech[[#This Row],[5-3]] + tech_5_5*TblTech[[#This Row],[5-5]]))*spec_op_ore,0)</f>
        <v>25</v>
      </c>
      <c r="BL125" s="97">
        <f ca="1">ROUNDUP((1-MIN(TblMili[[#This Row],[Smithies]]*smithy_bonus,smithy_bonus_cap) + tech_3_5*TblTech[[#This Row],[3-5]] + tech_5_3*TblTech[[#This Row],[5-3]] + tech_5_5*TblTech[[#This Row],[5-5]])*spec_dp_plat,0)</f>
        <v>275</v>
      </c>
      <c r="BM125" s="97">
        <f ca="1">ROUNDUP(IF(race="Gnome",1,(1-MIN(TblMili[[#This Row],[Smithies]]*smithy_bonus,smithy_bonus_cap) + tech_3_5*TblTech[[#This Row],[3-5]] + tech_5_3*TblTech[[#This Row],[5-3]] + tech_5_5*TblTech[[#This Row],[5-5]]))*spec_dp_ore,0)</f>
        <v>15</v>
      </c>
      <c r="BN125" s="97">
        <f ca="1">ROUNDUP((1-MIN(TblMili[[#This Row],[Smithies]]*smithy_bonus,smithy_bonus_cap) + tech_3_5*TblTech[[#This Row],[3-5]] + tech_5_3*TblTech[[#This Row],[5-3]] + tech_5_5*TblTech[[#This Row],[5-5]])*elite1_plat,0)</f>
        <v>1000</v>
      </c>
      <c r="BO125" s="97">
        <f ca="1">ROUNDUP(IF(race="Gnome",1,(1-MIN(TblMili[[#This Row],[Smithies]]*smithy_bonus,smithy_bonus_cap) + tech_3_5*TblTech[[#This Row],[3-5]] + tech_5_3*TblTech[[#This Row],[5-3]] + tech_5_5*TblTech[[#This Row],[5-5]]))*elite1_ore,0)</f>
        <v>75</v>
      </c>
      <c r="BP125" s="97">
        <f ca="1">ROUNDUP((1-MIN(TblMili[[#This Row],[Smithies]]*smithy_bonus,smithy_bonus_cap) + tech_3_5*TblTech[[#This Row],[3-5]] + tech_5_3*TblTech[[#This Row],[5-3]] + tech_5_5*TblTech[[#This Row],[5-5]])*elite2_plat,0)</f>
        <v>1250</v>
      </c>
      <c r="BQ125" s="97">
        <f ca="1">ROUNDUP(IF(race="Gnome",1,(1-MIN(TblMili[[#This Row],[Smithies]]*smithy_bonus,smithy_bonus_cap) + tech_3_5*TblTech[[#This Row],[3-5]] + tech_5_3*TblTech[[#This Row],[5-3]] + tech_5_5*TblTech[[#This Row],[5-5]]))*elite2_ore,0)</f>
        <v>100</v>
      </c>
      <c r="BR125" s="97">
        <f ca="1">ROUNDUP((1-MIN(ROUND(fh_spy_cost_red*TblMili[[#This Row],[FH''s]],4),fh_spy_cost_cap)+ tech_1_9*TblTech[[#This Row],[1-9]] + tech_9_1*TblTech[[#This Row],[9-1]])*spy_plat,0)</f>
        <v>500</v>
      </c>
      <c r="BS125" s="97">
        <f ca="1">ROUNDUP((1-MIN(ROUND(fh_spy_cost_red*TblMili[[#This Row],[FH''s]],4),fh_spy_cost_cap)+ tech_1_9*TblTech[[#This Row],[1-9]] + tech_9_1*TblTech[[#This Row],[9-1]])*archspy_plat,0)</f>
        <v>1000</v>
      </c>
      <c r="BT125" s="97">
        <f ca="1">ROUNDUP((1-MIN(ROUND(wg_wiz_cost_bonus*TblMili[[#This Row],[WG''s]],4),wg_wiz_cost_cap) + tech_1_9_2*TblTech[[#This Row],[1-9]] + tech_9_1_2*TblTech[[#This Row],[9-1]])*wizard_plat,0)</f>
        <v>500</v>
      </c>
      <c r="BU125" s="97">
        <f ca="1">ROUNDUP((1-MIN(ROUND(wg_wiz_cost_bonus*TblMili[[#This Row],[WG''s]],4),wg_wiz_cost_cap) + tech_1_9_2*TblTech[[#This Row],[1-9]] + tech_9_1_2*TblTech[[#This Row],[9-1]])*archmage_plat,0)</f>
        <v>1000</v>
      </c>
      <c r="BV125" s="145"/>
      <c r="BW125" s="160">
        <f ca="1">TblConstr[[#This Row],[Homeland]]/TblConstr[[#This Row],[Land]]</f>
        <v>0.44</v>
      </c>
      <c r="BX125" s="160">
        <f ca="1">TblMili[[#This Row],[WG''s]]</f>
        <v>0</v>
      </c>
      <c r="BY125" s="266">
        <f ca="1">IF(mystic_cap="none",TblMili[[#This Row],[Hill]]/mystic_bonus,MIN(mystic_cap,TblMili[[#This Row],[Hill]]/mystic_bonus))</f>
        <v>2.1999999999999997</v>
      </c>
      <c r="BZ125" s="266">
        <f ca="1">IF(druid_op_cap="none",TblMili[[#This Row],[Hill]]/druid_op_bonus,MIN(druid_op_cap,TblMili[[#This Row],[Hill]]/druid_op_bonus))</f>
        <v>2.1999999999999997</v>
      </c>
      <c r="CA125" s="266">
        <f ca="1">IF(druid_dp_cap="none",TblMili[[#This Row],[Hill]]/druid_dp_bonus,MIN(druid_dp_cap,TblMili[[#This Row],[Hill]]/druid_dp_bonus))</f>
        <v>2.1999999999999997</v>
      </c>
      <c r="CB125" s="266">
        <f ca="1">MIN(dryad_cap,TblMili[[#This Row],[Hill]]/dryad_bonus)</f>
        <v>2.1999999999999997</v>
      </c>
      <c r="CC125" s="266">
        <f ca="1">MIN(rocka_cap,TblMili[[#This Row],[Hill]]/rocka_bonus)</f>
        <v>2</v>
      </c>
      <c r="CD125" s="266">
        <f ca="1">MIN(adept_op_cap,TblMili[[#This Row],[WG]]/adept_op_bonus)</f>
        <v>0</v>
      </c>
      <c r="CE125" s="266">
        <f ca="1">MIN(adept_dp_cap,TblMili[[#This Row],[WG]]/adept_dp_bonus)</f>
        <v>0</v>
      </c>
      <c r="CF125" s="97">
        <f ca="1">MIN(TblMili[[#This Row],[Unit 3]],TblMili[[#This Row],[Unit 2]])*2</f>
        <v>0</v>
      </c>
      <c r="CG125" s="97">
        <f ca="1">MIN(TblMili[[#This Row],[Unit 1]],TblMili[[#This Row],[Unit 4]])*2</f>
        <v>0</v>
      </c>
      <c r="CH125" s="266">
        <f ca="1">MIN(frost_mage_cap,TblMili[[#This Row],[Hill]]/frost_mage_bonus)</f>
        <v>2.1999999999999997</v>
      </c>
      <c r="CI125" s="45">
        <f ca="1">MIN(ice_elem_cap,TblMili[[#This Row],[Raw (2)]]*ice_elem_bonus)</f>
        <v>0.1</v>
      </c>
      <c r="CJ125" s="266">
        <f t="shared" si="4"/>
        <v>0.83333333333333337</v>
      </c>
      <c r="CK125" s="266">
        <f ca="1">MIN(nox_nightshade_cap,TblConstr[[#This Row],[Homeland]]/TblConstr[[#This Row],[Land]]/nox_nightshade_swamp_bonus)</f>
        <v>4</v>
      </c>
      <c r="CL125" s="267"/>
      <c r="CM125" s="267"/>
      <c r="CN125" s="267"/>
      <c r="CO125" s="266">
        <f ca="1">MIN(6,TblMili[[#This Row],[Mystic]]+Races!$F$19)*1.8 +  IF(TblMili[[#This Row],[Mystic]]+Races!$F$19&gt;6,(TblMili[[#This Row],[Mystic]]+Races!$F$19-6)*0.2,0) - Races!$I$19</f>
        <v>3.6399999999999997</v>
      </c>
      <c r="CP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5" s="97">
        <f ca="1">TblMili[[#This Row],[Mystic bonus]]*TblMili[[#This Row],[Unit 3]]+TblMili[[#This Row],[Druid bonus]]*TblMili[[#This Row],[Unit 4]]</f>
        <v>0</v>
      </c>
      <c r="CR125" s="158">
        <f ca="1">MIN(6,TblMili[[#This Row],[Dryad]]+Races!$F$35)*1.8 +  IF(TblMili[[#This Row],[Dryad]]+Races!$F$35&gt;6,(TblMili[[#This Row],[Dryad]]+Races!$F$35-6)*0.2,0) - Races!$I$19</f>
        <v>2.1599999999999993</v>
      </c>
      <c r="CS125" s="97">
        <f ca="1">sylvan*(TblMili[[#This Row],[Mystic bonus]]*TblMili[[#This Row],[Unit 3]])</f>
        <v>0</v>
      </c>
      <c r="CT125" s="158">
        <f ca="1">1.8 * MIN(MAX(Races!$E$27,TblMili[[#This Row],[Rockapult]]+Races!$F$27),6)  +  0.45 * MIN(MIN(Races!$E$27,TblMili[[#This Row],[Rockapult]]+Races!$F$27),6)  +  0.2 * ( MAX(Races!$E$27-6,0) + MAX(TblMili[[#This Row],[Rockapult]]+Races!$F$27-6,0) )  -  Races!$I$20</f>
        <v>5.8500000000000005</v>
      </c>
      <c r="CU125" s="97">
        <f ca="1">gnome*(TblMili[[#This Row],[Rockapult bonus]]*TblMili[[#This Row],[Unit 3]])</f>
        <v>0</v>
      </c>
      <c r="CV125" s="158">
        <f ca="1">1.8 * MIN(MAX(TblMili[[#This Row],[Spellblade]]+Races!$E$47,TblMili[[#This Row],[Adept-DP]]+Races!$F$47),6)  +  0.45 * MIN(MIN(TblMili[[#This Row],[Spellblade]]+Races!$E$47,TblMili[[#This Row],[Adept-DP]]+Races!$F$47),6)  +  0.2 * ( MAX(TblMili[[#This Row],[Spellblade]]+Races!$E$47-6,0) + MAX(TblMili[[#This Row],[Adept-DP]]+Races!$F$47-6,0) )  -  Races!$I$47</f>
        <v>0</v>
      </c>
      <c r="CW125" s="97">
        <f ca="1">dark_elf*(TblMili[[#This Row],[Adept bonus]]*TblMili[[#This Row],[Unit 3]])</f>
        <v>0</v>
      </c>
      <c r="CX125" s="158">
        <f ca="1">1.8 * MIN(MAX(TblMili[[#This Row],[Frost Mage]]+Races!$F$71,Races!$E$71),6)  +  0.45 * MIN(MIN(TblMili[[#This Row],[Frost Mage]]+Races!$F$71,Races!$E$71),6)  +  0.2 * ( MAX(TblMili[[#This Row],[Frost Mage]]+Races!$F$71-6,0) + MAX(Races!$E$71-6,0) )  -  Races!$I$71</f>
        <v>3.9599999999999991</v>
      </c>
      <c r="CY125" s="158">
        <f ca="1">1.8 * MIN(MAX(TblMili[[#This Row],[Ice Elemental]]+Races!$E$71,Races!$F$71),6)  +  0.45 * MIN(MIN(TblMili[[#This Row],[Ice Elemental]]+Races!$E$71,Races!$F$71),6)  +  0.2 * ( MAX(TblMili[[#This Row],[Ice Elemental]]+Races!$E$71-6,0) + MAX(Races!$F$71-6,0) )  -  Races!$I$71</f>
        <v>0.17999999999999972</v>
      </c>
      <c r="CZ125" s="97">
        <f ca="1">TblMili[[#This Row],[Frost Mage bonus]]*TblMili[[#This Row],[Unit 3]]+TblMili[[#This Row],[Ice Elemental bonus]]*TblMili[[#This Row],[Unit 4]]</f>
        <v>0</v>
      </c>
      <c r="DA125" s="268"/>
      <c r="DB125" s="146">
        <f ca="1">MIN(SUM(TblConstr[[#This Row],[Plain]:[Water]])/TblMili[[#This Row],[Land]]/favorable_terrain_bonus/100,favorable_terrain_max)</f>
        <v>0.1</v>
      </c>
      <c r="DC125" s="268"/>
      <c r="DD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5" s="145"/>
      <c r="DF125" s="269">
        <f ca="1">(TblMili[[#This Row],[Wizards]]+2*TblMili[[#This Row],[Archmages]])/TblConstr[[#This Row],[Land]]</f>
        <v>0.1</v>
      </c>
      <c r="DG125" s="269">
        <f ca="1">TblMili[[#This Row],[Raw (2)]]*(1+race_wizard_strength+IF(TblMili[[#This Row],[Hour]]&gt;72,tech_magical_weaponry_wiz*TblTech[[#This Row],[3-5]],0))</f>
        <v>0.1</v>
      </c>
    </row>
    <row r="126" spans="1:111"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45463.083333333037</v>
      </c>
      <c r="AG126" s="182"/>
      <c r="AH126" s="182"/>
      <c r="AI126" s="182"/>
      <c r="AJ126" s="182"/>
      <c r="AK126" s="182"/>
      <c r="AL126" s="182"/>
      <c r="AM126" s="182"/>
      <c r="AN126" s="182"/>
      <c r="AO126" s="449">
        <f ca="1">IF(AND(TblMagic[[#This Row],[Active DnD]]&lt;12,TblMagic[[#This Row],[Active DnD]]&gt;5),OFFSET(TblPop[[#This Row],[Draft Growth]],-1,0)/2,0)</f>
        <v>0</v>
      </c>
      <c r="AP126" s="145"/>
      <c r="AQ126" s="97">
        <f ca="1">TblProd[[#This Row],[Platinum]]</f>
        <v>790170</v>
      </c>
      <c r="AR126" s="97">
        <f ca="1">INDEX(TblProd[[#Headers],[Lumber]]:TblProd[[#This Row],[Ore]],COUNTA(TblProd[[#Headers],[Lumber]]:TblProd[[#This Row],[Lumber]]),MATCH(Military!$AQ$2,TblProd[[#Headers],[Lumber]:[Ore]],0))</f>
        <v>0</v>
      </c>
      <c r="AS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7">
        <f ca="1">TblMili[[#This Row],[Train Unit 1]]*TblMili[[#This Row],[OP Ore]]+TblMili[[#This Row],[Train Unit 2]]*TblMili[[#This Row],[DP Ore]]+TblMili[[#This Row],[Train Unit 3]]*TblMili[[#This Row],[E1 Ore]]+TblMili[[#This Row],[Train Unit 4]]*TblMili[[#This Row],[E2 Ore]]</f>
        <v>0</v>
      </c>
      <c r="AU126" s="145">
        <f>TblMili[[#This Row],[Hour]]</f>
        <v>123</v>
      </c>
      <c r="AV126" s="155">
        <f ca="1">TblMili[[#This Row],[Time]]</f>
        <v>45463.083333333037</v>
      </c>
      <c r="AW126" s="97">
        <f ca="1">TblMili[[#This Row],[Draftees]]</f>
        <v>626</v>
      </c>
      <c r="AX126" s="182"/>
      <c r="AY126" s="182"/>
      <c r="AZ126" s="182"/>
      <c r="BA126" s="182"/>
      <c r="BB126" s="182"/>
      <c r="BC126" s="182"/>
      <c r="BD126" s="182"/>
      <c r="BE126" s="182"/>
      <c r="BF126" s="182"/>
      <c r="BG126" s="145"/>
      <c r="BH126" s="160">
        <f ca="1">TblConstr[[#This Row],[Tot WG]]/TblConstr[[#This Row],[Land]]</f>
        <v>0</v>
      </c>
      <c r="BI126" s="160">
        <f ca="1">TblConstr[[#This Row],[Tot Hav]]/TblConstr[[#This Row],[Land]]</f>
        <v>0</v>
      </c>
      <c r="BJ126" s="97">
        <f ca="1">ROUNDUP((1-MIN(TblMili[[#This Row],[Smithies]]*smithy_bonus,smithy_bonus_cap) + tech_3_5*TblTech[[#This Row],[3-5]] + tech_5_3*TblTech[[#This Row],[5-3]] + tech_5_5*TblTech[[#This Row],[5-5]])*spec_op_plat,0)</f>
        <v>275</v>
      </c>
      <c r="BK126" s="97">
        <f ca="1">ROUNDUP(IF(race="Gnome",1,(1-MIN(TblMili[[#This Row],[Smithies]]*smithy_bonus,smithy_bonus_cap) + tech_3_5*TblTech[[#This Row],[3-5]] + tech_5_3*TblTech[[#This Row],[5-3]] + tech_5_5*TblTech[[#This Row],[5-5]]))*spec_op_ore,0)</f>
        <v>25</v>
      </c>
      <c r="BL126" s="97">
        <f ca="1">ROUNDUP((1-MIN(TblMili[[#This Row],[Smithies]]*smithy_bonus,smithy_bonus_cap) + tech_3_5*TblTech[[#This Row],[3-5]] + tech_5_3*TblTech[[#This Row],[5-3]] + tech_5_5*TblTech[[#This Row],[5-5]])*spec_dp_plat,0)</f>
        <v>275</v>
      </c>
      <c r="BM126" s="97">
        <f ca="1">ROUNDUP(IF(race="Gnome",1,(1-MIN(TblMili[[#This Row],[Smithies]]*smithy_bonus,smithy_bonus_cap) + tech_3_5*TblTech[[#This Row],[3-5]] + tech_5_3*TblTech[[#This Row],[5-3]] + tech_5_5*TblTech[[#This Row],[5-5]]))*spec_dp_ore,0)</f>
        <v>15</v>
      </c>
      <c r="BN126" s="97">
        <f ca="1">ROUNDUP((1-MIN(TblMili[[#This Row],[Smithies]]*smithy_bonus,smithy_bonus_cap) + tech_3_5*TblTech[[#This Row],[3-5]] + tech_5_3*TblTech[[#This Row],[5-3]] + tech_5_5*TblTech[[#This Row],[5-5]])*elite1_plat,0)</f>
        <v>1000</v>
      </c>
      <c r="BO126" s="97">
        <f ca="1">ROUNDUP(IF(race="Gnome",1,(1-MIN(TblMili[[#This Row],[Smithies]]*smithy_bonus,smithy_bonus_cap) + tech_3_5*TblTech[[#This Row],[3-5]] + tech_5_3*TblTech[[#This Row],[5-3]] + tech_5_5*TblTech[[#This Row],[5-5]]))*elite1_ore,0)</f>
        <v>75</v>
      </c>
      <c r="BP126" s="97">
        <f ca="1">ROUNDUP((1-MIN(TblMili[[#This Row],[Smithies]]*smithy_bonus,smithy_bonus_cap) + tech_3_5*TblTech[[#This Row],[3-5]] + tech_5_3*TblTech[[#This Row],[5-3]] + tech_5_5*TblTech[[#This Row],[5-5]])*elite2_plat,0)</f>
        <v>1250</v>
      </c>
      <c r="BQ126" s="97">
        <f ca="1">ROUNDUP(IF(race="Gnome",1,(1-MIN(TblMili[[#This Row],[Smithies]]*smithy_bonus,smithy_bonus_cap) + tech_3_5*TblTech[[#This Row],[3-5]] + tech_5_3*TblTech[[#This Row],[5-3]] + tech_5_5*TblTech[[#This Row],[5-5]]))*elite2_ore,0)</f>
        <v>100</v>
      </c>
      <c r="BR126" s="97">
        <f ca="1">ROUNDUP((1-MIN(ROUND(fh_spy_cost_red*TblMili[[#This Row],[FH''s]],4),fh_spy_cost_cap)+ tech_1_9*TblTech[[#This Row],[1-9]] + tech_9_1*TblTech[[#This Row],[9-1]])*spy_plat,0)</f>
        <v>500</v>
      </c>
      <c r="BS126" s="97">
        <f ca="1">ROUNDUP((1-MIN(ROUND(fh_spy_cost_red*TblMili[[#This Row],[FH''s]],4),fh_spy_cost_cap)+ tech_1_9*TblTech[[#This Row],[1-9]] + tech_9_1*TblTech[[#This Row],[9-1]])*archspy_plat,0)</f>
        <v>1000</v>
      </c>
      <c r="BT126" s="97">
        <f ca="1">ROUNDUP((1-MIN(ROUND(wg_wiz_cost_bonus*TblMili[[#This Row],[WG''s]],4),wg_wiz_cost_cap) + tech_1_9_2*TblTech[[#This Row],[1-9]] + tech_9_1_2*TblTech[[#This Row],[9-1]])*wizard_plat,0)</f>
        <v>500</v>
      </c>
      <c r="BU126" s="97">
        <f ca="1">ROUNDUP((1-MIN(ROUND(wg_wiz_cost_bonus*TblMili[[#This Row],[WG''s]],4),wg_wiz_cost_cap) + tech_1_9_2*TblTech[[#This Row],[1-9]] + tech_9_1_2*TblTech[[#This Row],[9-1]])*archmage_plat,0)</f>
        <v>1000</v>
      </c>
      <c r="BV126" s="145"/>
      <c r="BW126" s="160">
        <f ca="1">TblConstr[[#This Row],[Homeland]]/TblConstr[[#This Row],[Land]]</f>
        <v>0.44</v>
      </c>
      <c r="BX126" s="160">
        <f ca="1">TblMili[[#This Row],[WG''s]]</f>
        <v>0</v>
      </c>
      <c r="BY126" s="266">
        <f ca="1">IF(mystic_cap="none",TblMili[[#This Row],[Hill]]/mystic_bonus,MIN(mystic_cap,TblMili[[#This Row],[Hill]]/mystic_bonus))</f>
        <v>2.1999999999999997</v>
      </c>
      <c r="BZ126" s="266">
        <f ca="1">IF(druid_op_cap="none",TblMili[[#This Row],[Hill]]/druid_op_bonus,MIN(druid_op_cap,TblMili[[#This Row],[Hill]]/druid_op_bonus))</f>
        <v>2.1999999999999997</v>
      </c>
      <c r="CA126" s="266">
        <f ca="1">IF(druid_dp_cap="none",TblMili[[#This Row],[Hill]]/druid_dp_bonus,MIN(druid_dp_cap,TblMili[[#This Row],[Hill]]/druid_dp_bonus))</f>
        <v>2.1999999999999997</v>
      </c>
      <c r="CB126" s="266">
        <f ca="1">MIN(dryad_cap,TblMili[[#This Row],[Hill]]/dryad_bonus)</f>
        <v>2.1999999999999997</v>
      </c>
      <c r="CC126" s="266">
        <f ca="1">MIN(rocka_cap,TblMili[[#This Row],[Hill]]/rocka_bonus)</f>
        <v>2</v>
      </c>
      <c r="CD126" s="266">
        <f ca="1">MIN(adept_op_cap,TblMili[[#This Row],[WG]]/adept_op_bonus)</f>
        <v>0</v>
      </c>
      <c r="CE126" s="266">
        <f ca="1">MIN(adept_dp_cap,TblMili[[#This Row],[WG]]/adept_dp_bonus)</f>
        <v>0</v>
      </c>
      <c r="CF126" s="97">
        <f ca="1">MIN(TblMili[[#This Row],[Unit 3]],TblMili[[#This Row],[Unit 2]])*2</f>
        <v>0</v>
      </c>
      <c r="CG126" s="97">
        <f ca="1">MIN(TblMili[[#This Row],[Unit 1]],TblMili[[#This Row],[Unit 4]])*2</f>
        <v>0</v>
      </c>
      <c r="CH126" s="266">
        <f ca="1">MIN(frost_mage_cap,TblMili[[#This Row],[Hill]]/frost_mage_bonus)</f>
        <v>2.1999999999999997</v>
      </c>
      <c r="CI126" s="45">
        <f ca="1">MIN(ice_elem_cap,TblMili[[#This Row],[Raw (2)]]*ice_elem_bonus)</f>
        <v>0.1</v>
      </c>
      <c r="CJ126" s="266">
        <f t="shared" si="4"/>
        <v>0.83333333333333337</v>
      </c>
      <c r="CK126" s="266">
        <f ca="1">MIN(nox_nightshade_cap,TblConstr[[#This Row],[Homeland]]/TblConstr[[#This Row],[Land]]/nox_nightshade_swamp_bonus)</f>
        <v>4</v>
      </c>
      <c r="CL126" s="267"/>
      <c r="CM126" s="267"/>
      <c r="CN126" s="267"/>
      <c r="CO126" s="266">
        <f ca="1">MIN(6,TblMili[[#This Row],[Mystic]]+Races!$F$19)*1.8 +  IF(TblMili[[#This Row],[Mystic]]+Races!$F$19&gt;6,(TblMili[[#This Row],[Mystic]]+Races!$F$19-6)*0.2,0) - Races!$I$19</f>
        <v>3.6399999999999997</v>
      </c>
      <c r="CP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6" s="97">
        <f ca="1">TblMili[[#This Row],[Mystic bonus]]*TblMili[[#This Row],[Unit 3]]+TblMili[[#This Row],[Druid bonus]]*TblMili[[#This Row],[Unit 4]]</f>
        <v>0</v>
      </c>
      <c r="CR126" s="158">
        <f ca="1">MIN(6,TblMili[[#This Row],[Dryad]]+Races!$F$35)*1.8 +  IF(TblMili[[#This Row],[Dryad]]+Races!$F$35&gt;6,(TblMili[[#This Row],[Dryad]]+Races!$F$35-6)*0.2,0) - Races!$I$19</f>
        <v>2.1599999999999993</v>
      </c>
      <c r="CS126" s="97">
        <f ca="1">sylvan*(TblMili[[#This Row],[Mystic bonus]]*TblMili[[#This Row],[Unit 3]])</f>
        <v>0</v>
      </c>
      <c r="CT126" s="158">
        <f ca="1">1.8 * MIN(MAX(Races!$E$27,TblMili[[#This Row],[Rockapult]]+Races!$F$27),6)  +  0.45 * MIN(MIN(Races!$E$27,TblMili[[#This Row],[Rockapult]]+Races!$F$27),6)  +  0.2 * ( MAX(Races!$E$27-6,0) + MAX(TblMili[[#This Row],[Rockapult]]+Races!$F$27-6,0) )  -  Races!$I$20</f>
        <v>5.8500000000000005</v>
      </c>
      <c r="CU126" s="97">
        <f ca="1">gnome*(TblMili[[#This Row],[Rockapult bonus]]*TblMili[[#This Row],[Unit 3]])</f>
        <v>0</v>
      </c>
      <c r="CV126" s="158">
        <f ca="1">1.8 * MIN(MAX(TblMili[[#This Row],[Spellblade]]+Races!$E$47,TblMili[[#This Row],[Adept-DP]]+Races!$F$47),6)  +  0.45 * MIN(MIN(TblMili[[#This Row],[Spellblade]]+Races!$E$47,TblMili[[#This Row],[Adept-DP]]+Races!$F$47),6)  +  0.2 * ( MAX(TblMili[[#This Row],[Spellblade]]+Races!$E$47-6,0) + MAX(TblMili[[#This Row],[Adept-DP]]+Races!$F$47-6,0) )  -  Races!$I$47</f>
        <v>0</v>
      </c>
      <c r="CW126" s="97">
        <f ca="1">dark_elf*(TblMili[[#This Row],[Adept bonus]]*TblMili[[#This Row],[Unit 3]])</f>
        <v>0</v>
      </c>
      <c r="CX126" s="158">
        <f ca="1">1.8 * MIN(MAX(TblMili[[#This Row],[Frost Mage]]+Races!$F$71,Races!$E$71),6)  +  0.45 * MIN(MIN(TblMili[[#This Row],[Frost Mage]]+Races!$F$71,Races!$E$71),6)  +  0.2 * ( MAX(TblMili[[#This Row],[Frost Mage]]+Races!$F$71-6,0) + MAX(Races!$E$71-6,0) )  -  Races!$I$71</f>
        <v>3.9599999999999991</v>
      </c>
      <c r="CY126" s="158">
        <f ca="1">1.8 * MIN(MAX(TblMili[[#This Row],[Ice Elemental]]+Races!$E$71,Races!$F$71),6)  +  0.45 * MIN(MIN(TblMili[[#This Row],[Ice Elemental]]+Races!$E$71,Races!$F$71),6)  +  0.2 * ( MAX(TblMili[[#This Row],[Ice Elemental]]+Races!$E$71-6,0) + MAX(Races!$F$71-6,0) )  -  Races!$I$71</f>
        <v>0.17999999999999972</v>
      </c>
      <c r="CZ126" s="97">
        <f ca="1">TblMili[[#This Row],[Frost Mage bonus]]*TblMili[[#This Row],[Unit 3]]+TblMili[[#This Row],[Ice Elemental bonus]]*TblMili[[#This Row],[Unit 4]]</f>
        <v>0</v>
      </c>
      <c r="DA126" s="268"/>
      <c r="DB126" s="146">
        <f ca="1">MIN(SUM(TblConstr[[#This Row],[Plain]:[Water]])/TblMili[[#This Row],[Land]]/favorable_terrain_bonus/100,favorable_terrain_max)</f>
        <v>0.1</v>
      </c>
      <c r="DC126" s="268"/>
      <c r="DD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6" s="145"/>
      <c r="DF126" s="269">
        <f ca="1">(TblMili[[#This Row],[Wizards]]+2*TblMili[[#This Row],[Archmages]])/TblConstr[[#This Row],[Land]]</f>
        <v>0.1</v>
      </c>
      <c r="DG126" s="269">
        <f ca="1">TblMili[[#This Row],[Raw (2)]]*(1+race_wizard_strength+IF(TblMili[[#This Row],[Hour]]&gt;72,tech_magical_weaponry_wiz*TblTech[[#This Row],[3-5]],0))</f>
        <v>0.1</v>
      </c>
    </row>
    <row r="127" spans="1:111"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45463.124999999702</v>
      </c>
      <c r="AG127" s="182"/>
      <c r="AH127" s="182"/>
      <c r="AI127" s="182"/>
      <c r="AJ127" s="182"/>
      <c r="AK127" s="182"/>
      <c r="AL127" s="182"/>
      <c r="AM127" s="182"/>
      <c r="AN127" s="182"/>
      <c r="AO127" s="449">
        <f ca="1">IF(AND(TblMagic[[#This Row],[Active DnD]]&lt;12,TblMagic[[#This Row],[Active DnD]]&gt;5),OFFSET(TblPop[[#This Row],[Draft Growth]],-1,0)/2,0)</f>
        <v>0</v>
      </c>
      <c r="AP127" s="145"/>
      <c r="AQ127" s="97">
        <f ca="1">TblProd[[#This Row],[Platinum]]</f>
        <v>795656</v>
      </c>
      <c r="AR127" s="97">
        <f ca="1">INDEX(TblProd[[#Headers],[Lumber]]:TblProd[[#This Row],[Ore]],COUNTA(TblProd[[#Headers],[Lumber]]:TblProd[[#This Row],[Lumber]]),MATCH(Military!$AQ$2,TblProd[[#Headers],[Lumber]:[Ore]],0))</f>
        <v>0</v>
      </c>
      <c r="AS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7">
        <f ca="1">TblMili[[#This Row],[Train Unit 1]]*TblMili[[#This Row],[OP Ore]]+TblMili[[#This Row],[Train Unit 2]]*TblMili[[#This Row],[DP Ore]]+TblMili[[#This Row],[Train Unit 3]]*TblMili[[#This Row],[E1 Ore]]+TblMili[[#This Row],[Train Unit 4]]*TblMili[[#This Row],[E2 Ore]]</f>
        <v>0</v>
      </c>
      <c r="AU127" s="145">
        <f>TblMili[[#This Row],[Hour]]</f>
        <v>124</v>
      </c>
      <c r="AV127" s="155">
        <f ca="1">TblMili[[#This Row],[Time]]</f>
        <v>45463.124999999702</v>
      </c>
      <c r="AW127" s="97">
        <f ca="1">TblMili[[#This Row],[Draftees]]</f>
        <v>626</v>
      </c>
      <c r="AX127" s="182"/>
      <c r="AY127" s="182"/>
      <c r="AZ127" s="182"/>
      <c r="BA127" s="182"/>
      <c r="BB127" s="182"/>
      <c r="BC127" s="182"/>
      <c r="BD127" s="182"/>
      <c r="BE127" s="182"/>
      <c r="BF127" s="182"/>
      <c r="BG127" s="145"/>
      <c r="BH127" s="160">
        <f ca="1">TblConstr[[#This Row],[Tot WG]]/TblConstr[[#This Row],[Land]]</f>
        <v>0</v>
      </c>
      <c r="BI127" s="160">
        <f ca="1">TblConstr[[#This Row],[Tot Hav]]/TblConstr[[#This Row],[Land]]</f>
        <v>0</v>
      </c>
      <c r="BJ127" s="97">
        <f ca="1">ROUNDUP((1-MIN(TblMili[[#This Row],[Smithies]]*smithy_bonus,smithy_bonus_cap) + tech_3_5*TblTech[[#This Row],[3-5]] + tech_5_3*TblTech[[#This Row],[5-3]] + tech_5_5*TblTech[[#This Row],[5-5]])*spec_op_plat,0)</f>
        <v>275</v>
      </c>
      <c r="BK127" s="97">
        <f ca="1">ROUNDUP(IF(race="Gnome",1,(1-MIN(TblMili[[#This Row],[Smithies]]*smithy_bonus,smithy_bonus_cap) + tech_3_5*TblTech[[#This Row],[3-5]] + tech_5_3*TblTech[[#This Row],[5-3]] + tech_5_5*TblTech[[#This Row],[5-5]]))*spec_op_ore,0)</f>
        <v>25</v>
      </c>
      <c r="BL127" s="97">
        <f ca="1">ROUNDUP((1-MIN(TblMili[[#This Row],[Smithies]]*smithy_bonus,smithy_bonus_cap) + tech_3_5*TblTech[[#This Row],[3-5]] + tech_5_3*TblTech[[#This Row],[5-3]] + tech_5_5*TblTech[[#This Row],[5-5]])*spec_dp_plat,0)</f>
        <v>275</v>
      </c>
      <c r="BM127" s="97">
        <f ca="1">ROUNDUP(IF(race="Gnome",1,(1-MIN(TblMili[[#This Row],[Smithies]]*smithy_bonus,smithy_bonus_cap) + tech_3_5*TblTech[[#This Row],[3-5]] + tech_5_3*TblTech[[#This Row],[5-3]] + tech_5_5*TblTech[[#This Row],[5-5]]))*spec_dp_ore,0)</f>
        <v>15</v>
      </c>
      <c r="BN127" s="97">
        <f ca="1">ROUNDUP((1-MIN(TblMili[[#This Row],[Smithies]]*smithy_bonus,smithy_bonus_cap) + tech_3_5*TblTech[[#This Row],[3-5]] + tech_5_3*TblTech[[#This Row],[5-3]] + tech_5_5*TblTech[[#This Row],[5-5]])*elite1_plat,0)</f>
        <v>1000</v>
      </c>
      <c r="BO127" s="97">
        <f ca="1">ROUNDUP(IF(race="Gnome",1,(1-MIN(TblMili[[#This Row],[Smithies]]*smithy_bonus,smithy_bonus_cap) + tech_3_5*TblTech[[#This Row],[3-5]] + tech_5_3*TblTech[[#This Row],[5-3]] + tech_5_5*TblTech[[#This Row],[5-5]]))*elite1_ore,0)</f>
        <v>75</v>
      </c>
      <c r="BP127" s="97">
        <f ca="1">ROUNDUP((1-MIN(TblMili[[#This Row],[Smithies]]*smithy_bonus,smithy_bonus_cap) + tech_3_5*TblTech[[#This Row],[3-5]] + tech_5_3*TblTech[[#This Row],[5-3]] + tech_5_5*TblTech[[#This Row],[5-5]])*elite2_plat,0)</f>
        <v>1250</v>
      </c>
      <c r="BQ127" s="97">
        <f ca="1">ROUNDUP(IF(race="Gnome",1,(1-MIN(TblMili[[#This Row],[Smithies]]*smithy_bonus,smithy_bonus_cap) + tech_3_5*TblTech[[#This Row],[3-5]] + tech_5_3*TblTech[[#This Row],[5-3]] + tech_5_5*TblTech[[#This Row],[5-5]]))*elite2_ore,0)</f>
        <v>100</v>
      </c>
      <c r="BR127" s="97">
        <f ca="1">ROUNDUP((1-MIN(ROUND(fh_spy_cost_red*TblMili[[#This Row],[FH''s]],4),fh_spy_cost_cap)+ tech_1_9*TblTech[[#This Row],[1-9]] + tech_9_1*TblTech[[#This Row],[9-1]])*spy_plat,0)</f>
        <v>500</v>
      </c>
      <c r="BS127" s="97">
        <f ca="1">ROUNDUP((1-MIN(ROUND(fh_spy_cost_red*TblMili[[#This Row],[FH''s]],4),fh_spy_cost_cap)+ tech_1_9*TblTech[[#This Row],[1-9]] + tech_9_1*TblTech[[#This Row],[9-1]])*archspy_plat,0)</f>
        <v>1000</v>
      </c>
      <c r="BT127" s="97">
        <f ca="1">ROUNDUP((1-MIN(ROUND(wg_wiz_cost_bonus*TblMili[[#This Row],[WG''s]],4),wg_wiz_cost_cap) + tech_1_9_2*TblTech[[#This Row],[1-9]] + tech_9_1_2*TblTech[[#This Row],[9-1]])*wizard_plat,0)</f>
        <v>500</v>
      </c>
      <c r="BU127" s="97">
        <f ca="1">ROUNDUP((1-MIN(ROUND(wg_wiz_cost_bonus*TblMili[[#This Row],[WG''s]],4),wg_wiz_cost_cap) + tech_1_9_2*TblTech[[#This Row],[1-9]] + tech_9_1_2*TblTech[[#This Row],[9-1]])*archmage_plat,0)</f>
        <v>1000</v>
      </c>
      <c r="BV127" s="145"/>
      <c r="BW127" s="160">
        <f ca="1">TblConstr[[#This Row],[Homeland]]/TblConstr[[#This Row],[Land]]</f>
        <v>0.44</v>
      </c>
      <c r="BX127" s="160">
        <f ca="1">TblMili[[#This Row],[WG''s]]</f>
        <v>0</v>
      </c>
      <c r="BY127" s="266">
        <f ca="1">IF(mystic_cap="none",TblMili[[#This Row],[Hill]]/mystic_bonus,MIN(mystic_cap,TblMili[[#This Row],[Hill]]/mystic_bonus))</f>
        <v>2.1999999999999997</v>
      </c>
      <c r="BZ127" s="266">
        <f ca="1">IF(druid_op_cap="none",TblMili[[#This Row],[Hill]]/druid_op_bonus,MIN(druid_op_cap,TblMili[[#This Row],[Hill]]/druid_op_bonus))</f>
        <v>2.1999999999999997</v>
      </c>
      <c r="CA127" s="266">
        <f ca="1">IF(druid_dp_cap="none",TblMili[[#This Row],[Hill]]/druid_dp_bonus,MIN(druid_dp_cap,TblMili[[#This Row],[Hill]]/druid_dp_bonus))</f>
        <v>2.1999999999999997</v>
      </c>
      <c r="CB127" s="266">
        <f ca="1">MIN(dryad_cap,TblMili[[#This Row],[Hill]]/dryad_bonus)</f>
        <v>2.1999999999999997</v>
      </c>
      <c r="CC127" s="266">
        <f ca="1">MIN(rocka_cap,TblMili[[#This Row],[Hill]]/rocka_bonus)</f>
        <v>2</v>
      </c>
      <c r="CD127" s="266">
        <f ca="1">MIN(adept_op_cap,TblMili[[#This Row],[WG]]/adept_op_bonus)</f>
        <v>0</v>
      </c>
      <c r="CE127" s="266">
        <f ca="1">MIN(adept_dp_cap,TblMili[[#This Row],[WG]]/adept_dp_bonus)</f>
        <v>0</v>
      </c>
      <c r="CF127" s="97">
        <f ca="1">MIN(TblMili[[#This Row],[Unit 3]],TblMili[[#This Row],[Unit 2]])*2</f>
        <v>0</v>
      </c>
      <c r="CG127" s="97">
        <f ca="1">MIN(TblMili[[#This Row],[Unit 1]],TblMili[[#This Row],[Unit 4]])*2</f>
        <v>0</v>
      </c>
      <c r="CH127" s="266">
        <f ca="1">MIN(frost_mage_cap,TblMili[[#This Row],[Hill]]/frost_mage_bonus)</f>
        <v>2.1999999999999997</v>
      </c>
      <c r="CI127" s="45">
        <f ca="1">MIN(ice_elem_cap,TblMili[[#This Row],[Raw (2)]]*ice_elem_bonus)</f>
        <v>0.1</v>
      </c>
      <c r="CJ127" s="266">
        <f t="shared" si="4"/>
        <v>0.83333333333333337</v>
      </c>
      <c r="CK127" s="266">
        <f ca="1">MIN(nox_nightshade_cap,TblConstr[[#This Row],[Homeland]]/TblConstr[[#This Row],[Land]]/nox_nightshade_swamp_bonus)</f>
        <v>4</v>
      </c>
      <c r="CL127" s="267"/>
      <c r="CM127" s="267"/>
      <c r="CN127" s="267"/>
      <c r="CO127" s="266">
        <f ca="1">MIN(6,TblMili[[#This Row],[Mystic]]+Races!$F$19)*1.8 +  IF(TblMili[[#This Row],[Mystic]]+Races!$F$19&gt;6,(TblMili[[#This Row],[Mystic]]+Races!$F$19-6)*0.2,0) - Races!$I$19</f>
        <v>3.6399999999999997</v>
      </c>
      <c r="CP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7" s="97">
        <f ca="1">TblMili[[#This Row],[Mystic bonus]]*TblMili[[#This Row],[Unit 3]]+TblMili[[#This Row],[Druid bonus]]*TblMili[[#This Row],[Unit 4]]</f>
        <v>0</v>
      </c>
      <c r="CR127" s="158">
        <f ca="1">MIN(6,TblMili[[#This Row],[Dryad]]+Races!$F$35)*1.8 +  IF(TblMili[[#This Row],[Dryad]]+Races!$F$35&gt;6,(TblMili[[#This Row],[Dryad]]+Races!$F$35-6)*0.2,0) - Races!$I$19</f>
        <v>2.1599999999999993</v>
      </c>
      <c r="CS127" s="97">
        <f ca="1">sylvan*(TblMili[[#This Row],[Mystic bonus]]*TblMili[[#This Row],[Unit 3]])</f>
        <v>0</v>
      </c>
      <c r="CT127" s="158">
        <f ca="1">1.8 * MIN(MAX(Races!$E$27,TblMili[[#This Row],[Rockapult]]+Races!$F$27),6)  +  0.45 * MIN(MIN(Races!$E$27,TblMili[[#This Row],[Rockapult]]+Races!$F$27),6)  +  0.2 * ( MAX(Races!$E$27-6,0) + MAX(TblMili[[#This Row],[Rockapult]]+Races!$F$27-6,0) )  -  Races!$I$20</f>
        <v>5.8500000000000005</v>
      </c>
      <c r="CU127" s="97">
        <f ca="1">gnome*(TblMili[[#This Row],[Rockapult bonus]]*TblMili[[#This Row],[Unit 3]])</f>
        <v>0</v>
      </c>
      <c r="CV127" s="158">
        <f ca="1">1.8 * MIN(MAX(TblMili[[#This Row],[Spellblade]]+Races!$E$47,TblMili[[#This Row],[Adept-DP]]+Races!$F$47),6)  +  0.45 * MIN(MIN(TblMili[[#This Row],[Spellblade]]+Races!$E$47,TblMili[[#This Row],[Adept-DP]]+Races!$F$47),6)  +  0.2 * ( MAX(TblMili[[#This Row],[Spellblade]]+Races!$E$47-6,0) + MAX(TblMili[[#This Row],[Adept-DP]]+Races!$F$47-6,0) )  -  Races!$I$47</f>
        <v>0</v>
      </c>
      <c r="CW127" s="97">
        <f ca="1">dark_elf*(TblMili[[#This Row],[Adept bonus]]*TblMili[[#This Row],[Unit 3]])</f>
        <v>0</v>
      </c>
      <c r="CX127" s="158">
        <f ca="1">1.8 * MIN(MAX(TblMili[[#This Row],[Frost Mage]]+Races!$F$71,Races!$E$71),6)  +  0.45 * MIN(MIN(TblMili[[#This Row],[Frost Mage]]+Races!$F$71,Races!$E$71),6)  +  0.2 * ( MAX(TblMili[[#This Row],[Frost Mage]]+Races!$F$71-6,0) + MAX(Races!$E$71-6,0) )  -  Races!$I$71</f>
        <v>3.9599999999999991</v>
      </c>
      <c r="CY127" s="158">
        <f ca="1">1.8 * MIN(MAX(TblMili[[#This Row],[Ice Elemental]]+Races!$E$71,Races!$F$71),6)  +  0.45 * MIN(MIN(TblMili[[#This Row],[Ice Elemental]]+Races!$E$71,Races!$F$71),6)  +  0.2 * ( MAX(TblMili[[#This Row],[Ice Elemental]]+Races!$E$71-6,0) + MAX(Races!$F$71-6,0) )  -  Races!$I$71</f>
        <v>0.17999999999999972</v>
      </c>
      <c r="CZ127" s="97">
        <f ca="1">TblMili[[#This Row],[Frost Mage bonus]]*TblMili[[#This Row],[Unit 3]]+TblMili[[#This Row],[Ice Elemental bonus]]*TblMili[[#This Row],[Unit 4]]</f>
        <v>0</v>
      </c>
      <c r="DA127" s="268"/>
      <c r="DB127" s="146">
        <f ca="1">MIN(SUM(TblConstr[[#This Row],[Plain]:[Water]])/TblMili[[#This Row],[Land]]/favorable_terrain_bonus/100,favorable_terrain_max)</f>
        <v>0.1</v>
      </c>
      <c r="DC127" s="268"/>
      <c r="DD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7" s="145"/>
      <c r="DF127" s="269">
        <f ca="1">(TblMili[[#This Row],[Wizards]]+2*TblMili[[#This Row],[Archmages]])/TblConstr[[#This Row],[Land]]</f>
        <v>0.1</v>
      </c>
      <c r="DG127" s="269">
        <f ca="1">TblMili[[#This Row],[Raw (2)]]*(1+race_wizard_strength+IF(TblMili[[#This Row],[Hour]]&gt;72,tech_magical_weaponry_wiz*TblTech[[#This Row],[3-5]],0))</f>
        <v>0.1</v>
      </c>
    </row>
    <row r="128" spans="1:111"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45463.166666666366</v>
      </c>
      <c r="AG128" s="182"/>
      <c r="AH128" s="182"/>
      <c r="AI128" s="182"/>
      <c r="AJ128" s="182"/>
      <c r="AK128" s="182"/>
      <c r="AL128" s="182"/>
      <c r="AM128" s="182"/>
      <c r="AN128" s="182"/>
      <c r="AO128" s="449">
        <f ca="1">IF(AND(TblMagic[[#This Row],[Active DnD]]&lt;12,TblMagic[[#This Row],[Active DnD]]&gt;5),OFFSET(TblPop[[#This Row],[Draft Growth]],-1,0)/2,0)</f>
        <v>0</v>
      </c>
      <c r="AP128" s="145"/>
      <c r="AQ128" s="97">
        <f ca="1">TblProd[[#This Row],[Platinum]]</f>
        <v>801142</v>
      </c>
      <c r="AR128" s="97">
        <f ca="1">INDEX(TblProd[[#Headers],[Lumber]]:TblProd[[#This Row],[Ore]],COUNTA(TblProd[[#Headers],[Lumber]]:TblProd[[#This Row],[Lumber]]),MATCH(Military!$AQ$2,TblProd[[#Headers],[Lumber]:[Ore]],0))</f>
        <v>0</v>
      </c>
      <c r="AS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7">
        <f ca="1">TblMili[[#This Row],[Train Unit 1]]*TblMili[[#This Row],[OP Ore]]+TblMili[[#This Row],[Train Unit 2]]*TblMili[[#This Row],[DP Ore]]+TblMili[[#This Row],[Train Unit 3]]*TblMili[[#This Row],[E1 Ore]]+TblMili[[#This Row],[Train Unit 4]]*TblMili[[#This Row],[E2 Ore]]</f>
        <v>0</v>
      </c>
      <c r="AU128" s="145">
        <f>TblMili[[#This Row],[Hour]]</f>
        <v>125</v>
      </c>
      <c r="AV128" s="155">
        <f ca="1">TblMili[[#This Row],[Time]]</f>
        <v>45463.166666666366</v>
      </c>
      <c r="AW128" s="97">
        <f ca="1">TblMili[[#This Row],[Draftees]]</f>
        <v>626</v>
      </c>
      <c r="AX128" s="182"/>
      <c r="AY128" s="182"/>
      <c r="AZ128" s="182"/>
      <c r="BA128" s="182"/>
      <c r="BB128" s="182"/>
      <c r="BC128" s="182"/>
      <c r="BD128" s="182"/>
      <c r="BE128" s="182"/>
      <c r="BF128" s="182"/>
      <c r="BG128" s="145"/>
      <c r="BH128" s="160">
        <f ca="1">TblConstr[[#This Row],[Tot WG]]/TblConstr[[#This Row],[Land]]</f>
        <v>0</v>
      </c>
      <c r="BI128" s="160">
        <f ca="1">TblConstr[[#This Row],[Tot Hav]]/TblConstr[[#This Row],[Land]]</f>
        <v>0</v>
      </c>
      <c r="BJ128" s="97">
        <f ca="1">ROUNDUP((1-MIN(TblMili[[#This Row],[Smithies]]*smithy_bonus,smithy_bonus_cap) + tech_3_5*TblTech[[#This Row],[3-5]] + tech_5_3*TblTech[[#This Row],[5-3]] + tech_5_5*TblTech[[#This Row],[5-5]])*spec_op_plat,0)</f>
        <v>275</v>
      </c>
      <c r="BK128" s="97">
        <f ca="1">ROUNDUP(IF(race="Gnome",1,(1-MIN(TblMili[[#This Row],[Smithies]]*smithy_bonus,smithy_bonus_cap) + tech_3_5*TblTech[[#This Row],[3-5]] + tech_5_3*TblTech[[#This Row],[5-3]] + tech_5_5*TblTech[[#This Row],[5-5]]))*spec_op_ore,0)</f>
        <v>25</v>
      </c>
      <c r="BL128" s="97">
        <f ca="1">ROUNDUP((1-MIN(TblMili[[#This Row],[Smithies]]*smithy_bonus,smithy_bonus_cap) + tech_3_5*TblTech[[#This Row],[3-5]] + tech_5_3*TblTech[[#This Row],[5-3]] + tech_5_5*TblTech[[#This Row],[5-5]])*spec_dp_plat,0)</f>
        <v>275</v>
      </c>
      <c r="BM128" s="97">
        <f ca="1">ROUNDUP(IF(race="Gnome",1,(1-MIN(TblMili[[#This Row],[Smithies]]*smithy_bonus,smithy_bonus_cap) + tech_3_5*TblTech[[#This Row],[3-5]] + tech_5_3*TblTech[[#This Row],[5-3]] + tech_5_5*TblTech[[#This Row],[5-5]]))*spec_dp_ore,0)</f>
        <v>15</v>
      </c>
      <c r="BN128" s="97">
        <f ca="1">ROUNDUP((1-MIN(TblMili[[#This Row],[Smithies]]*smithy_bonus,smithy_bonus_cap) + tech_3_5*TblTech[[#This Row],[3-5]] + tech_5_3*TblTech[[#This Row],[5-3]] + tech_5_5*TblTech[[#This Row],[5-5]])*elite1_plat,0)</f>
        <v>1000</v>
      </c>
      <c r="BO128" s="97">
        <f ca="1">ROUNDUP(IF(race="Gnome",1,(1-MIN(TblMili[[#This Row],[Smithies]]*smithy_bonus,smithy_bonus_cap) + tech_3_5*TblTech[[#This Row],[3-5]] + tech_5_3*TblTech[[#This Row],[5-3]] + tech_5_5*TblTech[[#This Row],[5-5]]))*elite1_ore,0)</f>
        <v>75</v>
      </c>
      <c r="BP128" s="97">
        <f ca="1">ROUNDUP((1-MIN(TblMili[[#This Row],[Smithies]]*smithy_bonus,smithy_bonus_cap) + tech_3_5*TblTech[[#This Row],[3-5]] + tech_5_3*TblTech[[#This Row],[5-3]] + tech_5_5*TblTech[[#This Row],[5-5]])*elite2_plat,0)</f>
        <v>1250</v>
      </c>
      <c r="BQ128" s="97">
        <f ca="1">ROUNDUP(IF(race="Gnome",1,(1-MIN(TblMili[[#This Row],[Smithies]]*smithy_bonus,smithy_bonus_cap) + tech_3_5*TblTech[[#This Row],[3-5]] + tech_5_3*TblTech[[#This Row],[5-3]] + tech_5_5*TblTech[[#This Row],[5-5]]))*elite2_ore,0)</f>
        <v>100</v>
      </c>
      <c r="BR128" s="97">
        <f ca="1">ROUNDUP((1-MIN(ROUND(fh_spy_cost_red*TblMili[[#This Row],[FH''s]],4),fh_spy_cost_cap)+ tech_1_9*TblTech[[#This Row],[1-9]] + tech_9_1*TblTech[[#This Row],[9-1]])*spy_plat,0)</f>
        <v>500</v>
      </c>
      <c r="BS128" s="97">
        <f ca="1">ROUNDUP((1-MIN(ROUND(fh_spy_cost_red*TblMili[[#This Row],[FH''s]],4),fh_spy_cost_cap)+ tech_1_9*TblTech[[#This Row],[1-9]] + tech_9_1*TblTech[[#This Row],[9-1]])*archspy_plat,0)</f>
        <v>1000</v>
      </c>
      <c r="BT128" s="97">
        <f ca="1">ROUNDUP((1-MIN(ROUND(wg_wiz_cost_bonus*TblMili[[#This Row],[WG''s]],4),wg_wiz_cost_cap) + tech_1_9_2*TblTech[[#This Row],[1-9]] + tech_9_1_2*TblTech[[#This Row],[9-1]])*wizard_plat,0)</f>
        <v>500</v>
      </c>
      <c r="BU128" s="97">
        <f ca="1">ROUNDUP((1-MIN(ROUND(wg_wiz_cost_bonus*TblMili[[#This Row],[WG''s]],4),wg_wiz_cost_cap) + tech_1_9_2*TblTech[[#This Row],[1-9]] + tech_9_1_2*TblTech[[#This Row],[9-1]])*archmage_plat,0)</f>
        <v>1000</v>
      </c>
      <c r="BV128" s="145"/>
      <c r="BW128" s="160">
        <f ca="1">TblConstr[[#This Row],[Homeland]]/TblConstr[[#This Row],[Land]]</f>
        <v>0.44</v>
      </c>
      <c r="BX128" s="160">
        <f ca="1">TblMili[[#This Row],[WG''s]]</f>
        <v>0</v>
      </c>
      <c r="BY128" s="266">
        <f ca="1">IF(mystic_cap="none",TblMili[[#This Row],[Hill]]/mystic_bonus,MIN(mystic_cap,TblMili[[#This Row],[Hill]]/mystic_bonus))</f>
        <v>2.1999999999999997</v>
      </c>
      <c r="BZ128" s="266">
        <f ca="1">IF(druid_op_cap="none",TblMili[[#This Row],[Hill]]/druid_op_bonus,MIN(druid_op_cap,TblMili[[#This Row],[Hill]]/druid_op_bonus))</f>
        <v>2.1999999999999997</v>
      </c>
      <c r="CA128" s="266">
        <f ca="1">IF(druid_dp_cap="none",TblMili[[#This Row],[Hill]]/druid_dp_bonus,MIN(druid_dp_cap,TblMili[[#This Row],[Hill]]/druid_dp_bonus))</f>
        <v>2.1999999999999997</v>
      </c>
      <c r="CB128" s="266">
        <f ca="1">MIN(dryad_cap,TblMili[[#This Row],[Hill]]/dryad_bonus)</f>
        <v>2.1999999999999997</v>
      </c>
      <c r="CC128" s="266">
        <f ca="1">MIN(rocka_cap,TblMili[[#This Row],[Hill]]/rocka_bonus)</f>
        <v>2</v>
      </c>
      <c r="CD128" s="266">
        <f ca="1">MIN(adept_op_cap,TblMili[[#This Row],[WG]]/adept_op_bonus)</f>
        <v>0</v>
      </c>
      <c r="CE128" s="266">
        <f ca="1">MIN(adept_dp_cap,TblMili[[#This Row],[WG]]/adept_dp_bonus)</f>
        <v>0</v>
      </c>
      <c r="CF128" s="97">
        <f ca="1">MIN(TblMili[[#This Row],[Unit 3]],TblMili[[#This Row],[Unit 2]])*2</f>
        <v>0</v>
      </c>
      <c r="CG128" s="97">
        <f ca="1">MIN(TblMili[[#This Row],[Unit 1]],TblMili[[#This Row],[Unit 4]])*2</f>
        <v>0</v>
      </c>
      <c r="CH128" s="266">
        <f ca="1">MIN(frost_mage_cap,TblMili[[#This Row],[Hill]]/frost_mage_bonus)</f>
        <v>2.1999999999999997</v>
      </c>
      <c r="CI128" s="45">
        <f ca="1">MIN(ice_elem_cap,TblMili[[#This Row],[Raw (2)]]*ice_elem_bonus)</f>
        <v>0.1</v>
      </c>
      <c r="CJ128" s="266">
        <f t="shared" si="4"/>
        <v>0.83333333333333337</v>
      </c>
      <c r="CK128" s="266">
        <f ca="1">MIN(nox_nightshade_cap,TblConstr[[#This Row],[Homeland]]/TblConstr[[#This Row],[Land]]/nox_nightshade_swamp_bonus)</f>
        <v>4</v>
      </c>
      <c r="CL128" s="267"/>
      <c r="CM128" s="267"/>
      <c r="CN128" s="267"/>
      <c r="CO128" s="266">
        <f ca="1">MIN(6,TblMili[[#This Row],[Mystic]]+Races!$F$19)*1.8 +  IF(TblMili[[#This Row],[Mystic]]+Races!$F$19&gt;6,(TblMili[[#This Row],[Mystic]]+Races!$F$19-6)*0.2,0) - Races!$I$19</f>
        <v>3.6399999999999997</v>
      </c>
      <c r="CP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8" s="97">
        <f ca="1">TblMili[[#This Row],[Mystic bonus]]*TblMili[[#This Row],[Unit 3]]+TblMili[[#This Row],[Druid bonus]]*TblMili[[#This Row],[Unit 4]]</f>
        <v>0</v>
      </c>
      <c r="CR128" s="158">
        <f ca="1">MIN(6,TblMili[[#This Row],[Dryad]]+Races!$F$35)*1.8 +  IF(TblMili[[#This Row],[Dryad]]+Races!$F$35&gt;6,(TblMili[[#This Row],[Dryad]]+Races!$F$35-6)*0.2,0) - Races!$I$19</f>
        <v>2.1599999999999993</v>
      </c>
      <c r="CS128" s="97">
        <f ca="1">sylvan*(TblMili[[#This Row],[Mystic bonus]]*TblMili[[#This Row],[Unit 3]])</f>
        <v>0</v>
      </c>
      <c r="CT128" s="158">
        <f ca="1">1.8 * MIN(MAX(Races!$E$27,TblMili[[#This Row],[Rockapult]]+Races!$F$27),6)  +  0.45 * MIN(MIN(Races!$E$27,TblMili[[#This Row],[Rockapult]]+Races!$F$27),6)  +  0.2 * ( MAX(Races!$E$27-6,0) + MAX(TblMili[[#This Row],[Rockapult]]+Races!$F$27-6,0) )  -  Races!$I$20</f>
        <v>5.8500000000000005</v>
      </c>
      <c r="CU128" s="97">
        <f ca="1">gnome*(TblMili[[#This Row],[Rockapult bonus]]*TblMili[[#This Row],[Unit 3]])</f>
        <v>0</v>
      </c>
      <c r="CV128" s="158">
        <f ca="1">1.8 * MIN(MAX(TblMili[[#This Row],[Spellblade]]+Races!$E$47,TblMili[[#This Row],[Adept-DP]]+Races!$F$47),6)  +  0.45 * MIN(MIN(TblMili[[#This Row],[Spellblade]]+Races!$E$47,TblMili[[#This Row],[Adept-DP]]+Races!$F$47),6)  +  0.2 * ( MAX(TblMili[[#This Row],[Spellblade]]+Races!$E$47-6,0) + MAX(TblMili[[#This Row],[Adept-DP]]+Races!$F$47-6,0) )  -  Races!$I$47</f>
        <v>0</v>
      </c>
      <c r="CW128" s="97">
        <f ca="1">dark_elf*(TblMili[[#This Row],[Adept bonus]]*TblMili[[#This Row],[Unit 3]])</f>
        <v>0</v>
      </c>
      <c r="CX128" s="158">
        <f ca="1">1.8 * MIN(MAX(TblMili[[#This Row],[Frost Mage]]+Races!$F$71,Races!$E$71),6)  +  0.45 * MIN(MIN(TblMili[[#This Row],[Frost Mage]]+Races!$F$71,Races!$E$71),6)  +  0.2 * ( MAX(TblMili[[#This Row],[Frost Mage]]+Races!$F$71-6,0) + MAX(Races!$E$71-6,0) )  -  Races!$I$71</f>
        <v>3.9599999999999991</v>
      </c>
      <c r="CY128" s="158">
        <f ca="1">1.8 * MIN(MAX(TblMili[[#This Row],[Ice Elemental]]+Races!$E$71,Races!$F$71),6)  +  0.45 * MIN(MIN(TblMili[[#This Row],[Ice Elemental]]+Races!$E$71,Races!$F$71),6)  +  0.2 * ( MAX(TblMili[[#This Row],[Ice Elemental]]+Races!$E$71-6,0) + MAX(Races!$F$71-6,0) )  -  Races!$I$71</f>
        <v>0.17999999999999972</v>
      </c>
      <c r="CZ128" s="97">
        <f ca="1">TblMili[[#This Row],[Frost Mage bonus]]*TblMili[[#This Row],[Unit 3]]+TblMili[[#This Row],[Ice Elemental bonus]]*TblMili[[#This Row],[Unit 4]]</f>
        <v>0</v>
      </c>
      <c r="DA128" s="268"/>
      <c r="DB128" s="146">
        <f ca="1">MIN(SUM(TblConstr[[#This Row],[Plain]:[Water]])/TblMili[[#This Row],[Land]]/favorable_terrain_bonus/100,favorable_terrain_max)</f>
        <v>0.1</v>
      </c>
      <c r="DC128" s="268"/>
      <c r="DD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8" s="145"/>
      <c r="DF128" s="269">
        <f ca="1">(TblMili[[#This Row],[Wizards]]+2*TblMili[[#This Row],[Archmages]])/TblConstr[[#This Row],[Land]]</f>
        <v>0.1</v>
      </c>
      <c r="DG128" s="269">
        <f ca="1">TblMili[[#This Row],[Raw (2)]]*(1+race_wizard_strength+IF(TblMili[[#This Row],[Hour]]&gt;72,tech_magical_weaponry_wiz*TblTech[[#This Row],[3-5]],0))</f>
        <v>0.1</v>
      </c>
    </row>
    <row r="129" spans="1:111"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45463.20833333303</v>
      </c>
      <c r="AG129" s="182"/>
      <c r="AH129" s="182"/>
      <c r="AI129" s="182"/>
      <c r="AJ129" s="182"/>
      <c r="AK129" s="182"/>
      <c r="AL129" s="182"/>
      <c r="AM129" s="182"/>
      <c r="AN129" s="182"/>
      <c r="AO129" s="449">
        <f ca="1">IF(AND(TblMagic[[#This Row],[Active DnD]]&lt;12,TblMagic[[#This Row],[Active DnD]]&gt;5),OFFSET(TblPop[[#This Row],[Draft Growth]],-1,0)/2,0)</f>
        <v>0</v>
      </c>
      <c r="AP129" s="145"/>
      <c r="AQ129" s="97">
        <f ca="1">TblProd[[#This Row],[Platinum]]</f>
        <v>806628</v>
      </c>
      <c r="AR129" s="97">
        <f ca="1">INDEX(TblProd[[#Headers],[Lumber]]:TblProd[[#This Row],[Ore]],COUNTA(TblProd[[#Headers],[Lumber]]:TblProd[[#This Row],[Lumber]]),MATCH(Military!$AQ$2,TblProd[[#Headers],[Lumber]:[Ore]],0))</f>
        <v>0</v>
      </c>
      <c r="AS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7">
        <f ca="1">TblMili[[#This Row],[Train Unit 1]]*TblMili[[#This Row],[OP Ore]]+TblMili[[#This Row],[Train Unit 2]]*TblMili[[#This Row],[DP Ore]]+TblMili[[#This Row],[Train Unit 3]]*TblMili[[#This Row],[E1 Ore]]+TblMili[[#This Row],[Train Unit 4]]*TblMili[[#This Row],[E2 Ore]]</f>
        <v>0</v>
      </c>
      <c r="AU129" s="145">
        <f>TblMili[[#This Row],[Hour]]</f>
        <v>126</v>
      </c>
      <c r="AV129" s="155">
        <f ca="1">TblMili[[#This Row],[Time]]</f>
        <v>45463.20833333303</v>
      </c>
      <c r="AW129" s="97">
        <f ca="1">TblMili[[#This Row],[Draftees]]</f>
        <v>626</v>
      </c>
      <c r="AX129" s="182"/>
      <c r="AY129" s="182"/>
      <c r="AZ129" s="182"/>
      <c r="BA129" s="182"/>
      <c r="BB129" s="182"/>
      <c r="BC129" s="182"/>
      <c r="BD129" s="182"/>
      <c r="BE129" s="182"/>
      <c r="BF129" s="182"/>
      <c r="BG129" s="145"/>
      <c r="BH129" s="160">
        <f ca="1">TblConstr[[#This Row],[Tot WG]]/TblConstr[[#This Row],[Land]]</f>
        <v>0</v>
      </c>
      <c r="BI129" s="160">
        <f ca="1">TblConstr[[#This Row],[Tot Hav]]/TblConstr[[#This Row],[Land]]</f>
        <v>0</v>
      </c>
      <c r="BJ129" s="97">
        <f ca="1">ROUNDUP((1-MIN(TblMili[[#This Row],[Smithies]]*smithy_bonus,smithy_bonus_cap) + tech_3_5*TblTech[[#This Row],[3-5]] + tech_5_3*TblTech[[#This Row],[5-3]] + tech_5_5*TblTech[[#This Row],[5-5]])*spec_op_plat,0)</f>
        <v>275</v>
      </c>
      <c r="BK129" s="97">
        <f ca="1">ROUNDUP(IF(race="Gnome",1,(1-MIN(TblMili[[#This Row],[Smithies]]*smithy_bonus,smithy_bonus_cap) + tech_3_5*TblTech[[#This Row],[3-5]] + tech_5_3*TblTech[[#This Row],[5-3]] + tech_5_5*TblTech[[#This Row],[5-5]]))*spec_op_ore,0)</f>
        <v>25</v>
      </c>
      <c r="BL129" s="97">
        <f ca="1">ROUNDUP((1-MIN(TblMili[[#This Row],[Smithies]]*smithy_bonus,smithy_bonus_cap) + tech_3_5*TblTech[[#This Row],[3-5]] + tech_5_3*TblTech[[#This Row],[5-3]] + tech_5_5*TblTech[[#This Row],[5-5]])*spec_dp_plat,0)</f>
        <v>275</v>
      </c>
      <c r="BM129" s="97">
        <f ca="1">ROUNDUP(IF(race="Gnome",1,(1-MIN(TblMili[[#This Row],[Smithies]]*smithy_bonus,smithy_bonus_cap) + tech_3_5*TblTech[[#This Row],[3-5]] + tech_5_3*TblTech[[#This Row],[5-3]] + tech_5_5*TblTech[[#This Row],[5-5]]))*spec_dp_ore,0)</f>
        <v>15</v>
      </c>
      <c r="BN129" s="97">
        <f ca="1">ROUNDUP((1-MIN(TblMili[[#This Row],[Smithies]]*smithy_bonus,smithy_bonus_cap) + tech_3_5*TblTech[[#This Row],[3-5]] + tech_5_3*TblTech[[#This Row],[5-3]] + tech_5_5*TblTech[[#This Row],[5-5]])*elite1_plat,0)</f>
        <v>1000</v>
      </c>
      <c r="BO129" s="97">
        <f ca="1">ROUNDUP(IF(race="Gnome",1,(1-MIN(TblMili[[#This Row],[Smithies]]*smithy_bonus,smithy_bonus_cap) + tech_3_5*TblTech[[#This Row],[3-5]] + tech_5_3*TblTech[[#This Row],[5-3]] + tech_5_5*TblTech[[#This Row],[5-5]]))*elite1_ore,0)</f>
        <v>75</v>
      </c>
      <c r="BP129" s="97">
        <f ca="1">ROUNDUP((1-MIN(TblMili[[#This Row],[Smithies]]*smithy_bonus,smithy_bonus_cap) + tech_3_5*TblTech[[#This Row],[3-5]] + tech_5_3*TblTech[[#This Row],[5-3]] + tech_5_5*TblTech[[#This Row],[5-5]])*elite2_plat,0)</f>
        <v>1250</v>
      </c>
      <c r="BQ129" s="97">
        <f ca="1">ROUNDUP(IF(race="Gnome",1,(1-MIN(TblMili[[#This Row],[Smithies]]*smithy_bonus,smithy_bonus_cap) + tech_3_5*TblTech[[#This Row],[3-5]] + tech_5_3*TblTech[[#This Row],[5-3]] + tech_5_5*TblTech[[#This Row],[5-5]]))*elite2_ore,0)</f>
        <v>100</v>
      </c>
      <c r="BR129" s="97">
        <f ca="1">ROUNDUP((1-MIN(ROUND(fh_spy_cost_red*TblMili[[#This Row],[FH''s]],4),fh_spy_cost_cap)+ tech_1_9*TblTech[[#This Row],[1-9]] + tech_9_1*TblTech[[#This Row],[9-1]])*spy_plat,0)</f>
        <v>500</v>
      </c>
      <c r="BS129" s="97">
        <f ca="1">ROUNDUP((1-MIN(ROUND(fh_spy_cost_red*TblMili[[#This Row],[FH''s]],4),fh_spy_cost_cap)+ tech_1_9*TblTech[[#This Row],[1-9]] + tech_9_1*TblTech[[#This Row],[9-1]])*archspy_plat,0)</f>
        <v>1000</v>
      </c>
      <c r="BT129" s="97">
        <f ca="1">ROUNDUP((1-MIN(ROUND(wg_wiz_cost_bonus*TblMili[[#This Row],[WG''s]],4),wg_wiz_cost_cap) + tech_1_9_2*TblTech[[#This Row],[1-9]] + tech_9_1_2*TblTech[[#This Row],[9-1]])*wizard_plat,0)</f>
        <v>500</v>
      </c>
      <c r="BU129" s="97">
        <f ca="1">ROUNDUP((1-MIN(ROUND(wg_wiz_cost_bonus*TblMili[[#This Row],[WG''s]],4),wg_wiz_cost_cap) + tech_1_9_2*TblTech[[#This Row],[1-9]] + tech_9_1_2*TblTech[[#This Row],[9-1]])*archmage_plat,0)</f>
        <v>1000</v>
      </c>
      <c r="BV129" s="145"/>
      <c r="BW129" s="160">
        <f ca="1">TblConstr[[#This Row],[Homeland]]/TblConstr[[#This Row],[Land]]</f>
        <v>0.44</v>
      </c>
      <c r="BX129" s="160">
        <f ca="1">TblMili[[#This Row],[WG''s]]</f>
        <v>0</v>
      </c>
      <c r="BY129" s="266">
        <f ca="1">IF(mystic_cap="none",TblMili[[#This Row],[Hill]]/mystic_bonus,MIN(mystic_cap,TblMili[[#This Row],[Hill]]/mystic_bonus))</f>
        <v>2.1999999999999997</v>
      </c>
      <c r="BZ129" s="266">
        <f ca="1">IF(druid_op_cap="none",TblMili[[#This Row],[Hill]]/druid_op_bonus,MIN(druid_op_cap,TblMili[[#This Row],[Hill]]/druid_op_bonus))</f>
        <v>2.1999999999999997</v>
      </c>
      <c r="CA129" s="266">
        <f ca="1">IF(druid_dp_cap="none",TblMili[[#This Row],[Hill]]/druid_dp_bonus,MIN(druid_dp_cap,TblMili[[#This Row],[Hill]]/druid_dp_bonus))</f>
        <v>2.1999999999999997</v>
      </c>
      <c r="CB129" s="266">
        <f ca="1">MIN(dryad_cap,TblMili[[#This Row],[Hill]]/dryad_bonus)</f>
        <v>2.1999999999999997</v>
      </c>
      <c r="CC129" s="266">
        <f ca="1">MIN(rocka_cap,TblMili[[#This Row],[Hill]]/rocka_bonus)</f>
        <v>2</v>
      </c>
      <c r="CD129" s="266">
        <f ca="1">MIN(adept_op_cap,TblMili[[#This Row],[WG]]/adept_op_bonus)</f>
        <v>0</v>
      </c>
      <c r="CE129" s="266">
        <f ca="1">MIN(adept_dp_cap,TblMili[[#This Row],[WG]]/adept_dp_bonus)</f>
        <v>0</v>
      </c>
      <c r="CF129" s="97">
        <f ca="1">MIN(TblMili[[#This Row],[Unit 3]],TblMili[[#This Row],[Unit 2]])*2</f>
        <v>0</v>
      </c>
      <c r="CG129" s="97">
        <f ca="1">MIN(TblMili[[#This Row],[Unit 1]],TblMili[[#This Row],[Unit 4]])*2</f>
        <v>0</v>
      </c>
      <c r="CH129" s="266">
        <f ca="1">MIN(frost_mage_cap,TblMili[[#This Row],[Hill]]/frost_mage_bonus)</f>
        <v>2.1999999999999997</v>
      </c>
      <c r="CI129" s="45">
        <f ca="1">MIN(ice_elem_cap,TblMili[[#This Row],[Raw (2)]]*ice_elem_bonus)</f>
        <v>0.1</v>
      </c>
      <c r="CJ129" s="266">
        <f t="shared" si="4"/>
        <v>0.83333333333333337</v>
      </c>
      <c r="CK129" s="266">
        <f ca="1">MIN(nox_nightshade_cap,TblConstr[[#This Row],[Homeland]]/TblConstr[[#This Row],[Land]]/nox_nightshade_swamp_bonus)</f>
        <v>4</v>
      </c>
      <c r="CL129" s="267"/>
      <c r="CM129" s="267"/>
      <c r="CN129" s="267"/>
      <c r="CO129" s="266">
        <f ca="1">MIN(6,TblMili[[#This Row],[Mystic]]+Races!$F$19)*1.8 +  IF(TblMili[[#This Row],[Mystic]]+Races!$F$19&gt;6,(TblMili[[#This Row],[Mystic]]+Races!$F$19-6)*0.2,0) - Races!$I$19</f>
        <v>3.6399999999999997</v>
      </c>
      <c r="CP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9" s="97">
        <f ca="1">TblMili[[#This Row],[Mystic bonus]]*TblMili[[#This Row],[Unit 3]]+TblMili[[#This Row],[Druid bonus]]*TblMili[[#This Row],[Unit 4]]</f>
        <v>0</v>
      </c>
      <c r="CR129" s="158">
        <f ca="1">MIN(6,TblMili[[#This Row],[Dryad]]+Races!$F$35)*1.8 +  IF(TblMili[[#This Row],[Dryad]]+Races!$F$35&gt;6,(TblMili[[#This Row],[Dryad]]+Races!$F$35-6)*0.2,0) - Races!$I$19</f>
        <v>2.1599999999999993</v>
      </c>
      <c r="CS129" s="97">
        <f ca="1">sylvan*(TblMili[[#This Row],[Mystic bonus]]*TblMili[[#This Row],[Unit 3]])</f>
        <v>0</v>
      </c>
      <c r="CT129" s="158">
        <f ca="1">1.8 * MIN(MAX(Races!$E$27,TblMili[[#This Row],[Rockapult]]+Races!$F$27),6)  +  0.45 * MIN(MIN(Races!$E$27,TblMili[[#This Row],[Rockapult]]+Races!$F$27),6)  +  0.2 * ( MAX(Races!$E$27-6,0) + MAX(TblMili[[#This Row],[Rockapult]]+Races!$F$27-6,0) )  -  Races!$I$20</f>
        <v>5.8500000000000005</v>
      </c>
      <c r="CU129" s="97">
        <f ca="1">gnome*(TblMili[[#This Row],[Rockapult bonus]]*TblMili[[#This Row],[Unit 3]])</f>
        <v>0</v>
      </c>
      <c r="CV129" s="158">
        <f ca="1">1.8 * MIN(MAX(TblMili[[#This Row],[Spellblade]]+Races!$E$47,TblMili[[#This Row],[Adept-DP]]+Races!$F$47),6)  +  0.45 * MIN(MIN(TblMili[[#This Row],[Spellblade]]+Races!$E$47,TblMili[[#This Row],[Adept-DP]]+Races!$F$47),6)  +  0.2 * ( MAX(TblMili[[#This Row],[Spellblade]]+Races!$E$47-6,0) + MAX(TblMili[[#This Row],[Adept-DP]]+Races!$F$47-6,0) )  -  Races!$I$47</f>
        <v>0</v>
      </c>
      <c r="CW129" s="97">
        <f ca="1">dark_elf*(TblMili[[#This Row],[Adept bonus]]*TblMili[[#This Row],[Unit 3]])</f>
        <v>0</v>
      </c>
      <c r="CX129" s="158">
        <f ca="1">1.8 * MIN(MAX(TblMili[[#This Row],[Frost Mage]]+Races!$F$71,Races!$E$71),6)  +  0.45 * MIN(MIN(TblMili[[#This Row],[Frost Mage]]+Races!$F$71,Races!$E$71),6)  +  0.2 * ( MAX(TblMili[[#This Row],[Frost Mage]]+Races!$F$71-6,0) + MAX(Races!$E$71-6,0) )  -  Races!$I$71</f>
        <v>3.9599999999999991</v>
      </c>
      <c r="CY129" s="158">
        <f ca="1">1.8 * MIN(MAX(TblMili[[#This Row],[Ice Elemental]]+Races!$E$71,Races!$F$71),6)  +  0.45 * MIN(MIN(TblMili[[#This Row],[Ice Elemental]]+Races!$E$71,Races!$F$71),6)  +  0.2 * ( MAX(TblMili[[#This Row],[Ice Elemental]]+Races!$E$71-6,0) + MAX(Races!$F$71-6,0) )  -  Races!$I$71</f>
        <v>0.17999999999999972</v>
      </c>
      <c r="CZ129" s="97">
        <f ca="1">TblMili[[#This Row],[Frost Mage bonus]]*TblMili[[#This Row],[Unit 3]]+TblMili[[#This Row],[Ice Elemental bonus]]*TblMili[[#This Row],[Unit 4]]</f>
        <v>0</v>
      </c>
      <c r="DA129" s="268"/>
      <c r="DB129" s="146">
        <f ca="1">MIN(SUM(TblConstr[[#This Row],[Plain]:[Water]])/TblMili[[#This Row],[Land]]/favorable_terrain_bonus/100,favorable_terrain_max)</f>
        <v>0.1</v>
      </c>
      <c r="DC129" s="268"/>
      <c r="DD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9" s="145"/>
      <c r="DF129" s="269">
        <f ca="1">(TblMili[[#This Row],[Wizards]]+2*TblMili[[#This Row],[Archmages]])/TblConstr[[#This Row],[Land]]</f>
        <v>0.1</v>
      </c>
      <c r="DG129" s="269">
        <f ca="1">TblMili[[#This Row],[Raw (2)]]*(1+race_wizard_strength+IF(TblMili[[#This Row],[Hour]]&gt;72,tech_magical_weaponry_wiz*TblTech[[#This Row],[3-5]],0))</f>
        <v>0.1</v>
      </c>
    </row>
    <row r="130" spans="1:111"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45463.249999999694</v>
      </c>
      <c r="AG130" s="182"/>
      <c r="AH130" s="182"/>
      <c r="AI130" s="182"/>
      <c r="AJ130" s="182"/>
      <c r="AK130" s="182"/>
      <c r="AL130" s="182"/>
      <c r="AM130" s="182"/>
      <c r="AN130" s="182"/>
      <c r="AO130" s="449">
        <f ca="1">IF(AND(TblMagic[[#This Row],[Active DnD]]&lt;12,TblMagic[[#This Row],[Active DnD]]&gt;5),OFFSET(TblPop[[#This Row],[Draft Growth]],-1,0)/2,0)</f>
        <v>0</v>
      </c>
      <c r="AP130" s="145"/>
      <c r="AQ130" s="97">
        <f ca="1">TblProd[[#This Row],[Platinum]]</f>
        <v>812114</v>
      </c>
      <c r="AR130" s="97">
        <f ca="1">INDEX(TblProd[[#Headers],[Lumber]]:TblProd[[#This Row],[Ore]],COUNTA(TblProd[[#Headers],[Lumber]]:TblProd[[#This Row],[Lumber]]),MATCH(Military!$AQ$2,TblProd[[#Headers],[Lumber]:[Ore]],0))</f>
        <v>0</v>
      </c>
      <c r="AS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7">
        <f ca="1">TblMili[[#This Row],[Train Unit 1]]*TblMili[[#This Row],[OP Ore]]+TblMili[[#This Row],[Train Unit 2]]*TblMili[[#This Row],[DP Ore]]+TblMili[[#This Row],[Train Unit 3]]*TblMili[[#This Row],[E1 Ore]]+TblMili[[#This Row],[Train Unit 4]]*TblMili[[#This Row],[E2 Ore]]</f>
        <v>0</v>
      </c>
      <c r="AU130" s="145">
        <f>TblMili[[#This Row],[Hour]]</f>
        <v>127</v>
      </c>
      <c r="AV130" s="155">
        <f ca="1">TblMili[[#This Row],[Time]]</f>
        <v>45463.249999999694</v>
      </c>
      <c r="AW130" s="97">
        <f ca="1">TblMili[[#This Row],[Draftees]]</f>
        <v>626</v>
      </c>
      <c r="AX130" s="182"/>
      <c r="AY130" s="182"/>
      <c r="AZ130" s="182"/>
      <c r="BA130" s="182"/>
      <c r="BB130" s="182"/>
      <c r="BC130" s="182"/>
      <c r="BD130" s="182"/>
      <c r="BE130" s="182"/>
      <c r="BF130" s="182"/>
      <c r="BG130" s="145"/>
      <c r="BH130" s="160">
        <f ca="1">TblConstr[[#This Row],[Tot WG]]/TblConstr[[#This Row],[Land]]</f>
        <v>0</v>
      </c>
      <c r="BI130" s="160">
        <f ca="1">TblConstr[[#This Row],[Tot Hav]]/TblConstr[[#This Row],[Land]]</f>
        <v>0</v>
      </c>
      <c r="BJ130" s="97">
        <f ca="1">ROUNDUP((1-MIN(TblMili[[#This Row],[Smithies]]*smithy_bonus,smithy_bonus_cap) + tech_3_5*TblTech[[#This Row],[3-5]] + tech_5_3*TblTech[[#This Row],[5-3]] + tech_5_5*TblTech[[#This Row],[5-5]])*spec_op_plat,0)</f>
        <v>275</v>
      </c>
      <c r="BK130" s="97">
        <f ca="1">ROUNDUP(IF(race="Gnome",1,(1-MIN(TblMili[[#This Row],[Smithies]]*smithy_bonus,smithy_bonus_cap) + tech_3_5*TblTech[[#This Row],[3-5]] + tech_5_3*TblTech[[#This Row],[5-3]] + tech_5_5*TblTech[[#This Row],[5-5]]))*spec_op_ore,0)</f>
        <v>25</v>
      </c>
      <c r="BL130" s="97">
        <f ca="1">ROUNDUP((1-MIN(TblMili[[#This Row],[Smithies]]*smithy_bonus,smithy_bonus_cap) + tech_3_5*TblTech[[#This Row],[3-5]] + tech_5_3*TblTech[[#This Row],[5-3]] + tech_5_5*TblTech[[#This Row],[5-5]])*spec_dp_plat,0)</f>
        <v>275</v>
      </c>
      <c r="BM130" s="97">
        <f ca="1">ROUNDUP(IF(race="Gnome",1,(1-MIN(TblMili[[#This Row],[Smithies]]*smithy_bonus,smithy_bonus_cap) + tech_3_5*TblTech[[#This Row],[3-5]] + tech_5_3*TblTech[[#This Row],[5-3]] + tech_5_5*TblTech[[#This Row],[5-5]]))*spec_dp_ore,0)</f>
        <v>15</v>
      </c>
      <c r="BN130" s="97">
        <f ca="1">ROUNDUP((1-MIN(TblMili[[#This Row],[Smithies]]*smithy_bonus,smithy_bonus_cap) + tech_3_5*TblTech[[#This Row],[3-5]] + tech_5_3*TblTech[[#This Row],[5-3]] + tech_5_5*TblTech[[#This Row],[5-5]])*elite1_plat,0)</f>
        <v>1000</v>
      </c>
      <c r="BO130" s="97">
        <f ca="1">ROUNDUP(IF(race="Gnome",1,(1-MIN(TblMili[[#This Row],[Smithies]]*smithy_bonus,smithy_bonus_cap) + tech_3_5*TblTech[[#This Row],[3-5]] + tech_5_3*TblTech[[#This Row],[5-3]] + tech_5_5*TblTech[[#This Row],[5-5]]))*elite1_ore,0)</f>
        <v>75</v>
      </c>
      <c r="BP130" s="97">
        <f ca="1">ROUNDUP((1-MIN(TblMili[[#This Row],[Smithies]]*smithy_bonus,smithy_bonus_cap) + tech_3_5*TblTech[[#This Row],[3-5]] + tech_5_3*TblTech[[#This Row],[5-3]] + tech_5_5*TblTech[[#This Row],[5-5]])*elite2_plat,0)</f>
        <v>1250</v>
      </c>
      <c r="BQ130" s="97">
        <f ca="1">ROUNDUP(IF(race="Gnome",1,(1-MIN(TblMili[[#This Row],[Smithies]]*smithy_bonus,smithy_bonus_cap) + tech_3_5*TblTech[[#This Row],[3-5]] + tech_5_3*TblTech[[#This Row],[5-3]] + tech_5_5*TblTech[[#This Row],[5-5]]))*elite2_ore,0)</f>
        <v>100</v>
      </c>
      <c r="BR130" s="97">
        <f ca="1">ROUNDUP((1-MIN(ROUND(fh_spy_cost_red*TblMili[[#This Row],[FH''s]],4),fh_spy_cost_cap)+ tech_1_9*TblTech[[#This Row],[1-9]] + tech_9_1*TblTech[[#This Row],[9-1]])*spy_plat,0)</f>
        <v>500</v>
      </c>
      <c r="BS130" s="97">
        <f ca="1">ROUNDUP((1-MIN(ROUND(fh_spy_cost_red*TblMili[[#This Row],[FH''s]],4),fh_spy_cost_cap)+ tech_1_9*TblTech[[#This Row],[1-9]] + tech_9_1*TblTech[[#This Row],[9-1]])*archspy_plat,0)</f>
        <v>1000</v>
      </c>
      <c r="BT130" s="97">
        <f ca="1">ROUNDUP((1-MIN(ROUND(wg_wiz_cost_bonus*TblMili[[#This Row],[WG''s]],4),wg_wiz_cost_cap) + tech_1_9_2*TblTech[[#This Row],[1-9]] + tech_9_1_2*TblTech[[#This Row],[9-1]])*wizard_plat,0)</f>
        <v>500</v>
      </c>
      <c r="BU130" s="97">
        <f ca="1">ROUNDUP((1-MIN(ROUND(wg_wiz_cost_bonus*TblMili[[#This Row],[WG''s]],4),wg_wiz_cost_cap) + tech_1_9_2*TblTech[[#This Row],[1-9]] + tech_9_1_2*TblTech[[#This Row],[9-1]])*archmage_plat,0)</f>
        <v>1000</v>
      </c>
      <c r="BV130" s="145"/>
      <c r="BW130" s="160">
        <f ca="1">TblConstr[[#This Row],[Homeland]]/TblConstr[[#This Row],[Land]]</f>
        <v>0.44</v>
      </c>
      <c r="BX130" s="160">
        <f ca="1">TblMili[[#This Row],[WG''s]]</f>
        <v>0</v>
      </c>
      <c r="BY130" s="266">
        <f ca="1">IF(mystic_cap="none",TblMili[[#This Row],[Hill]]/mystic_bonus,MIN(mystic_cap,TblMili[[#This Row],[Hill]]/mystic_bonus))</f>
        <v>2.1999999999999997</v>
      </c>
      <c r="BZ130" s="266">
        <f ca="1">IF(druid_op_cap="none",TblMili[[#This Row],[Hill]]/druid_op_bonus,MIN(druid_op_cap,TblMili[[#This Row],[Hill]]/druid_op_bonus))</f>
        <v>2.1999999999999997</v>
      </c>
      <c r="CA130" s="266">
        <f ca="1">IF(druid_dp_cap="none",TblMili[[#This Row],[Hill]]/druid_dp_bonus,MIN(druid_dp_cap,TblMili[[#This Row],[Hill]]/druid_dp_bonus))</f>
        <v>2.1999999999999997</v>
      </c>
      <c r="CB130" s="266">
        <f ca="1">MIN(dryad_cap,TblMili[[#This Row],[Hill]]/dryad_bonus)</f>
        <v>2.1999999999999997</v>
      </c>
      <c r="CC130" s="266">
        <f ca="1">MIN(rocka_cap,TblMili[[#This Row],[Hill]]/rocka_bonus)</f>
        <v>2</v>
      </c>
      <c r="CD130" s="266">
        <f ca="1">MIN(adept_op_cap,TblMili[[#This Row],[WG]]/adept_op_bonus)</f>
        <v>0</v>
      </c>
      <c r="CE130" s="266">
        <f ca="1">MIN(adept_dp_cap,TblMili[[#This Row],[WG]]/adept_dp_bonus)</f>
        <v>0</v>
      </c>
      <c r="CF130" s="97">
        <f ca="1">MIN(TblMili[[#This Row],[Unit 3]],TblMili[[#This Row],[Unit 2]])*2</f>
        <v>0</v>
      </c>
      <c r="CG130" s="97">
        <f ca="1">MIN(TblMili[[#This Row],[Unit 1]],TblMili[[#This Row],[Unit 4]])*2</f>
        <v>0</v>
      </c>
      <c r="CH130" s="266">
        <f ca="1">MIN(frost_mage_cap,TblMili[[#This Row],[Hill]]/frost_mage_bonus)</f>
        <v>2.1999999999999997</v>
      </c>
      <c r="CI130" s="45">
        <f ca="1">MIN(ice_elem_cap,TblMili[[#This Row],[Raw (2)]]*ice_elem_bonus)</f>
        <v>0.1</v>
      </c>
      <c r="CJ130" s="266">
        <f t="shared" si="4"/>
        <v>0.83333333333333337</v>
      </c>
      <c r="CK130" s="266">
        <f ca="1">MIN(nox_nightshade_cap,TblConstr[[#This Row],[Homeland]]/TblConstr[[#This Row],[Land]]/nox_nightshade_swamp_bonus)</f>
        <v>4</v>
      </c>
      <c r="CL130" s="267"/>
      <c r="CM130" s="267"/>
      <c r="CN130" s="267"/>
      <c r="CO130" s="266">
        <f ca="1">MIN(6,TblMili[[#This Row],[Mystic]]+Races!$F$19)*1.8 +  IF(TblMili[[#This Row],[Mystic]]+Races!$F$19&gt;6,(TblMili[[#This Row],[Mystic]]+Races!$F$19-6)*0.2,0) - Races!$I$19</f>
        <v>3.6399999999999997</v>
      </c>
      <c r="CP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0" s="97">
        <f ca="1">TblMili[[#This Row],[Mystic bonus]]*TblMili[[#This Row],[Unit 3]]+TblMili[[#This Row],[Druid bonus]]*TblMili[[#This Row],[Unit 4]]</f>
        <v>0</v>
      </c>
      <c r="CR130" s="158">
        <f ca="1">MIN(6,TblMili[[#This Row],[Dryad]]+Races!$F$35)*1.8 +  IF(TblMili[[#This Row],[Dryad]]+Races!$F$35&gt;6,(TblMili[[#This Row],[Dryad]]+Races!$F$35-6)*0.2,0) - Races!$I$19</f>
        <v>2.1599999999999993</v>
      </c>
      <c r="CS130" s="97">
        <f ca="1">sylvan*(TblMili[[#This Row],[Mystic bonus]]*TblMili[[#This Row],[Unit 3]])</f>
        <v>0</v>
      </c>
      <c r="CT130" s="158">
        <f ca="1">1.8 * MIN(MAX(Races!$E$27,TblMili[[#This Row],[Rockapult]]+Races!$F$27),6)  +  0.45 * MIN(MIN(Races!$E$27,TblMili[[#This Row],[Rockapult]]+Races!$F$27),6)  +  0.2 * ( MAX(Races!$E$27-6,0) + MAX(TblMili[[#This Row],[Rockapult]]+Races!$F$27-6,0) )  -  Races!$I$20</f>
        <v>5.8500000000000005</v>
      </c>
      <c r="CU130" s="97">
        <f ca="1">gnome*(TblMili[[#This Row],[Rockapult bonus]]*TblMili[[#This Row],[Unit 3]])</f>
        <v>0</v>
      </c>
      <c r="CV130" s="158">
        <f ca="1">1.8 * MIN(MAX(TblMili[[#This Row],[Spellblade]]+Races!$E$47,TblMili[[#This Row],[Adept-DP]]+Races!$F$47),6)  +  0.45 * MIN(MIN(TblMili[[#This Row],[Spellblade]]+Races!$E$47,TblMili[[#This Row],[Adept-DP]]+Races!$F$47),6)  +  0.2 * ( MAX(TblMili[[#This Row],[Spellblade]]+Races!$E$47-6,0) + MAX(TblMili[[#This Row],[Adept-DP]]+Races!$F$47-6,0) )  -  Races!$I$47</f>
        <v>0</v>
      </c>
      <c r="CW130" s="97">
        <f ca="1">dark_elf*(TblMili[[#This Row],[Adept bonus]]*TblMili[[#This Row],[Unit 3]])</f>
        <v>0</v>
      </c>
      <c r="CX130" s="158">
        <f ca="1">1.8 * MIN(MAX(TblMili[[#This Row],[Frost Mage]]+Races!$F$71,Races!$E$71),6)  +  0.45 * MIN(MIN(TblMili[[#This Row],[Frost Mage]]+Races!$F$71,Races!$E$71),6)  +  0.2 * ( MAX(TblMili[[#This Row],[Frost Mage]]+Races!$F$71-6,0) + MAX(Races!$E$71-6,0) )  -  Races!$I$71</f>
        <v>3.9599999999999991</v>
      </c>
      <c r="CY130" s="158">
        <f ca="1">1.8 * MIN(MAX(TblMili[[#This Row],[Ice Elemental]]+Races!$E$71,Races!$F$71),6)  +  0.45 * MIN(MIN(TblMili[[#This Row],[Ice Elemental]]+Races!$E$71,Races!$F$71),6)  +  0.2 * ( MAX(TblMili[[#This Row],[Ice Elemental]]+Races!$E$71-6,0) + MAX(Races!$F$71-6,0) )  -  Races!$I$71</f>
        <v>0.17999999999999972</v>
      </c>
      <c r="CZ130" s="97">
        <f ca="1">TblMili[[#This Row],[Frost Mage bonus]]*TblMili[[#This Row],[Unit 3]]+TblMili[[#This Row],[Ice Elemental bonus]]*TblMili[[#This Row],[Unit 4]]</f>
        <v>0</v>
      </c>
      <c r="DA130" s="268"/>
      <c r="DB130" s="146">
        <f ca="1">MIN(SUM(TblConstr[[#This Row],[Plain]:[Water]])/TblMili[[#This Row],[Land]]/favorable_terrain_bonus/100,favorable_terrain_max)</f>
        <v>0.1</v>
      </c>
      <c r="DC130" s="268"/>
      <c r="DD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0" s="145"/>
      <c r="DF130" s="269">
        <f ca="1">(TblMili[[#This Row],[Wizards]]+2*TblMili[[#This Row],[Archmages]])/TblConstr[[#This Row],[Land]]</f>
        <v>0.1</v>
      </c>
      <c r="DG130" s="269">
        <f ca="1">TblMili[[#This Row],[Raw (2)]]*(1+race_wizard_strength+IF(TblMili[[#This Row],[Hour]]&gt;72,tech_magical_weaponry_wiz*TblTech[[#This Row],[3-5]],0))</f>
        <v>0.1</v>
      </c>
    </row>
    <row r="131" spans="1:111"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45463.291666666359</v>
      </c>
      <c r="AG131" s="182"/>
      <c r="AH131" s="182"/>
      <c r="AI131" s="182"/>
      <c r="AJ131" s="182"/>
      <c r="AK131" s="182"/>
      <c r="AL131" s="182"/>
      <c r="AM131" s="182"/>
      <c r="AN131" s="182"/>
      <c r="AO131" s="449">
        <f ca="1">IF(AND(TblMagic[[#This Row],[Active DnD]]&lt;12,TblMagic[[#This Row],[Active DnD]]&gt;5),OFFSET(TblPop[[#This Row],[Draft Growth]],-1,0)/2,0)</f>
        <v>0</v>
      </c>
      <c r="AP131" s="145"/>
      <c r="AQ131" s="97">
        <f ca="1">TblProd[[#This Row],[Platinum]]</f>
        <v>817600</v>
      </c>
      <c r="AR131" s="97">
        <f ca="1">INDEX(TblProd[[#Headers],[Lumber]]:TblProd[[#This Row],[Ore]],COUNTA(TblProd[[#Headers],[Lumber]]:TblProd[[#This Row],[Lumber]]),MATCH(Military!$AQ$2,TblProd[[#Headers],[Lumber]:[Ore]],0))</f>
        <v>0</v>
      </c>
      <c r="AS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7">
        <f ca="1">TblMili[[#This Row],[Train Unit 1]]*TblMili[[#This Row],[OP Ore]]+TblMili[[#This Row],[Train Unit 2]]*TblMili[[#This Row],[DP Ore]]+TblMili[[#This Row],[Train Unit 3]]*TblMili[[#This Row],[E1 Ore]]+TblMili[[#This Row],[Train Unit 4]]*TblMili[[#This Row],[E2 Ore]]</f>
        <v>0</v>
      </c>
      <c r="AU131" s="145">
        <f>TblMili[[#This Row],[Hour]]</f>
        <v>128</v>
      </c>
      <c r="AV131" s="155">
        <f ca="1">TblMili[[#This Row],[Time]]</f>
        <v>45463.291666666359</v>
      </c>
      <c r="AW131" s="97">
        <f ca="1">TblMili[[#This Row],[Draftees]]</f>
        <v>626</v>
      </c>
      <c r="AX131" s="182"/>
      <c r="AY131" s="182"/>
      <c r="AZ131" s="182"/>
      <c r="BA131" s="182"/>
      <c r="BB131" s="182"/>
      <c r="BC131" s="182"/>
      <c r="BD131" s="182"/>
      <c r="BE131" s="182"/>
      <c r="BF131" s="182"/>
      <c r="BG131" s="145"/>
      <c r="BH131" s="160">
        <f ca="1">TblConstr[[#This Row],[Tot WG]]/TblConstr[[#This Row],[Land]]</f>
        <v>0</v>
      </c>
      <c r="BI131" s="160">
        <f ca="1">TblConstr[[#This Row],[Tot Hav]]/TblConstr[[#This Row],[Land]]</f>
        <v>0</v>
      </c>
      <c r="BJ131" s="97">
        <f ca="1">ROUNDUP((1-MIN(TblMili[[#This Row],[Smithies]]*smithy_bonus,smithy_bonus_cap) + tech_3_5*TblTech[[#This Row],[3-5]] + tech_5_3*TblTech[[#This Row],[5-3]] + tech_5_5*TblTech[[#This Row],[5-5]])*spec_op_plat,0)</f>
        <v>275</v>
      </c>
      <c r="BK131" s="97">
        <f ca="1">ROUNDUP(IF(race="Gnome",1,(1-MIN(TblMili[[#This Row],[Smithies]]*smithy_bonus,smithy_bonus_cap) + tech_3_5*TblTech[[#This Row],[3-5]] + tech_5_3*TblTech[[#This Row],[5-3]] + tech_5_5*TblTech[[#This Row],[5-5]]))*spec_op_ore,0)</f>
        <v>25</v>
      </c>
      <c r="BL131" s="97">
        <f ca="1">ROUNDUP((1-MIN(TblMili[[#This Row],[Smithies]]*smithy_bonus,smithy_bonus_cap) + tech_3_5*TblTech[[#This Row],[3-5]] + tech_5_3*TblTech[[#This Row],[5-3]] + tech_5_5*TblTech[[#This Row],[5-5]])*spec_dp_plat,0)</f>
        <v>275</v>
      </c>
      <c r="BM131" s="97">
        <f ca="1">ROUNDUP(IF(race="Gnome",1,(1-MIN(TblMili[[#This Row],[Smithies]]*smithy_bonus,smithy_bonus_cap) + tech_3_5*TblTech[[#This Row],[3-5]] + tech_5_3*TblTech[[#This Row],[5-3]] + tech_5_5*TblTech[[#This Row],[5-5]]))*spec_dp_ore,0)</f>
        <v>15</v>
      </c>
      <c r="BN131" s="97">
        <f ca="1">ROUNDUP((1-MIN(TblMili[[#This Row],[Smithies]]*smithy_bonus,smithy_bonus_cap) + tech_3_5*TblTech[[#This Row],[3-5]] + tech_5_3*TblTech[[#This Row],[5-3]] + tech_5_5*TblTech[[#This Row],[5-5]])*elite1_plat,0)</f>
        <v>1000</v>
      </c>
      <c r="BO131" s="97">
        <f ca="1">ROUNDUP(IF(race="Gnome",1,(1-MIN(TblMili[[#This Row],[Smithies]]*smithy_bonus,smithy_bonus_cap) + tech_3_5*TblTech[[#This Row],[3-5]] + tech_5_3*TblTech[[#This Row],[5-3]] + tech_5_5*TblTech[[#This Row],[5-5]]))*elite1_ore,0)</f>
        <v>75</v>
      </c>
      <c r="BP131" s="97">
        <f ca="1">ROUNDUP((1-MIN(TblMili[[#This Row],[Smithies]]*smithy_bonus,smithy_bonus_cap) + tech_3_5*TblTech[[#This Row],[3-5]] + tech_5_3*TblTech[[#This Row],[5-3]] + tech_5_5*TblTech[[#This Row],[5-5]])*elite2_plat,0)</f>
        <v>1250</v>
      </c>
      <c r="BQ131" s="97">
        <f ca="1">ROUNDUP(IF(race="Gnome",1,(1-MIN(TblMili[[#This Row],[Smithies]]*smithy_bonus,smithy_bonus_cap) + tech_3_5*TblTech[[#This Row],[3-5]] + tech_5_3*TblTech[[#This Row],[5-3]] + tech_5_5*TblTech[[#This Row],[5-5]]))*elite2_ore,0)</f>
        <v>100</v>
      </c>
      <c r="BR131" s="97">
        <f ca="1">ROUNDUP((1-MIN(ROUND(fh_spy_cost_red*TblMili[[#This Row],[FH''s]],4),fh_spy_cost_cap)+ tech_1_9*TblTech[[#This Row],[1-9]] + tech_9_1*TblTech[[#This Row],[9-1]])*spy_plat,0)</f>
        <v>500</v>
      </c>
      <c r="BS131" s="97">
        <f ca="1">ROUNDUP((1-MIN(ROUND(fh_spy_cost_red*TblMili[[#This Row],[FH''s]],4),fh_spy_cost_cap)+ tech_1_9*TblTech[[#This Row],[1-9]] + tech_9_1*TblTech[[#This Row],[9-1]])*archspy_plat,0)</f>
        <v>1000</v>
      </c>
      <c r="BT131" s="97">
        <f ca="1">ROUNDUP((1-MIN(ROUND(wg_wiz_cost_bonus*TblMili[[#This Row],[WG''s]],4),wg_wiz_cost_cap) + tech_1_9_2*TblTech[[#This Row],[1-9]] + tech_9_1_2*TblTech[[#This Row],[9-1]])*wizard_plat,0)</f>
        <v>500</v>
      </c>
      <c r="BU131" s="97">
        <f ca="1">ROUNDUP((1-MIN(ROUND(wg_wiz_cost_bonus*TblMili[[#This Row],[WG''s]],4),wg_wiz_cost_cap) + tech_1_9_2*TblTech[[#This Row],[1-9]] + tech_9_1_2*TblTech[[#This Row],[9-1]])*archmage_plat,0)</f>
        <v>1000</v>
      </c>
      <c r="BV131" s="145"/>
      <c r="BW131" s="160">
        <f ca="1">TblConstr[[#This Row],[Homeland]]/TblConstr[[#This Row],[Land]]</f>
        <v>0.44</v>
      </c>
      <c r="BX131" s="160">
        <f ca="1">TblMili[[#This Row],[WG''s]]</f>
        <v>0</v>
      </c>
      <c r="BY131" s="266">
        <f ca="1">IF(mystic_cap="none",TblMili[[#This Row],[Hill]]/mystic_bonus,MIN(mystic_cap,TblMili[[#This Row],[Hill]]/mystic_bonus))</f>
        <v>2.1999999999999997</v>
      </c>
      <c r="BZ131" s="266">
        <f ca="1">IF(druid_op_cap="none",TblMili[[#This Row],[Hill]]/druid_op_bonus,MIN(druid_op_cap,TblMili[[#This Row],[Hill]]/druid_op_bonus))</f>
        <v>2.1999999999999997</v>
      </c>
      <c r="CA131" s="266">
        <f ca="1">IF(druid_dp_cap="none",TblMili[[#This Row],[Hill]]/druid_dp_bonus,MIN(druid_dp_cap,TblMili[[#This Row],[Hill]]/druid_dp_bonus))</f>
        <v>2.1999999999999997</v>
      </c>
      <c r="CB131" s="266">
        <f ca="1">MIN(dryad_cap,TblMili[[#This Row],[Hill]]/dryad_bonus)</f>
        <v>2.1999999999999997</v>
      </c>
      <c r="CC131" s="266">
        <f ca="1">MIN(rocka_cap,TblMili[[#This Row],[Hill]]/rocka_bonus)</f>
        <v>2</v>
      </c>
      <c r="CD131" s="266">
        <f ca="1">MIN(adept_op_cap,TblMili[[#This Row],[WG]]/adept_op_bonus)</f>
        <v>0</v>
      </c>
      <c r="CE131" s="266">
        <f ca="1">MIN(adept_dp_cap,TblMili[[#This Row],[WG]]/adept_dp_bonus)</f>
        <v>0</v>
      </c>
      <c r="CF131" s="97">
        <f ca="1">MIN(TblMili[[#This Row],[Unit 3]],TblMili[[#This Row],[Unit 2]])*2</f>
        <v>0</v>
      </c>
      <c r="CG131" s="97">
        <f ca="1">MIN(TblMili[[#This Row],[Unit 1]],TblMili[[#This Row],[Unit 4]])*2</f>
        <v>0</v>
      </c>
      <c r="CH131" s="266">
        <f ca="1">MIN(frost_mage_cap,TblMili[[#This Row],[Hill]]/frost_mage_bonus)</f>
        <v>2.1999999999999997</v>
      </c>
      <c r="CI131" s="45">
        <f ca="1">MIN(ice_elem_cap,TblMili[[#This Row],[Raw (2)]]*ice_elem_bonus)</f>
        <v>0.1</v>
      </c>
      <c r="CJ131" s="266">
        <f t="shared" si="4"/>
        <v>0.83333333333333337</v>
      </c>
      <c r="CK131" s="266">
        <f ca="1">MIN(nox_nightshade_cap,TblConstr[[#This Row],[Homeland]]/TblConstr[[#This Row],[Land]]/nox_nightshade_swamp_bonus)</f>
        <v>4</v>
      </c>
      <c r="CL131" s="267"/>
      <c r="CM131" s="267"/>
      <c r="CN131" s="267"/>
      <c r="CO131" s="266">
        <f ca="1">MIN(6,TblMili[[#This Row],[Mystic]]+Races!$F$19)*1.8 +  IF(TblMili[[#This Row],[Mystic]]+Races!$F$19&gt;6,(TblMili[[#This Row],[Mystic]]+Races!$F$19-6)*0.2,0) - Races!$I$19</f>
        <v>3.6399999999999997</v>
      </c>
      <c r="CP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1" s="97">
        <f ca="1">TblMili[[#This Row],[Mystic bonus]]*TblMili[[#This Row],[Unit 3]]+TblMili[[#This Row],[Druid bonus]]*TblMili[[#This Row],[Unit 4]]</f>
        <v>0</v>
      </c>
      <c r="CR131" s="158">
        <f ca="1">MIN(6,TblMili[[#This Row],[Dryad]]+Races!$F$35)*1.8 +  IF(TblMili[[#This Row],[Dryad]]+Races!$F$35&gt;6,(TblMili[[#This Row],[Dryad]]+Races!$F$35-6)*0.2,0) - Races!$I$19</f>
        <v>2.1599999999999993</v>
      </c>
      <c r="CS131" s="97">
        <f ca="1">sylvan*(TblMili[[#This Row],[Mystic bonus]]*TblMili[[#This Row],[Unit 3]])</f>
        <v>0</v>
      </c>
      <c r="CT131" s="158">
        <f ca="1">1.8 * MIN(MAX(Races!$E$27,TblMili[[#This Row],[Rockapult]]+Races!$F$27),6)  +  0.45 * MIN(MIN(Races!$E$27,TblMili[[#This Row],[Rockapult]]+Races!$F$27),6)  +  0.2 * ( MAX(Races!$E$27-6,0) + MAX(TblMili[[#This Row],[Rockapult]]+Races!$F$27-6,0) )  -  Races!$I$20</f>
        <v>5.8500000000000005</v>
      </c>
      <c r="CU131" s="97">
        <f ca="1">gnome*(TblMili[[#This Row],[Rockapult bonus]]*TblMili[[#This Row],[Unit 3]])</f>
        <v>0</v>
      </c>
      <c r="CV131" s="158">
        <f ca="1">1.8 * MIN(MAX(TblMili[[#This Row],[Spellblade]]+Races!$E$47,TblMili[[#This Row],[Adept-DP]]+Races!$F$47),6)  +  0.45 * MIN(MIN(TblMili[[#This Row],[Spellblade]]+Races!$E$47,TblMili[[#This Row],[Adept-DP]]+Races!$F$47),6)  +  0.2 * ( MAX(TblMili[[#This Row],[Spellblade]]+Races!$E$47-6,0) + MAX(TblMili[[#This Row],[Adept-DP]]+Races!$F$47-6,0) )  -  Races!$I$47</f>
        <v>0</v>
      </c>
      <c r="CW131" s="97">
        <f ca="1">dark_elf*(TblMili[[#This Row],[Adept bonus]]*TblMili[[#This Row],[Unit 3]])</f>
        <v>0</v>
      </c>
      <c r="CX131" s="158">
        <f ca="1">1.8 * MIN(MAX(TblMili[[#This Row],[Frost Mage]]+Races!$F$71,Races!$E$71),6)  +  0.45 * MIN(MIN(TblMili[[#This Row],[Frost Mage]]+Races!$F$71,Races!$E$71),6)  +  0.2 * ( MAX(TblMili[[#This Row],[Frost Mage]]+Races!$F$71-6,0) + MAX(Races!$E$71-6,0) )  -  Races!$I$71</f>
        <v>3.9599999999999991</v>
      </c>
      <c r="CY131" s="158">
        <f ca="1">1.8 * MIN(MAX(TblMili[[#This Row],[Ice Elemental]]+Races!$E$71,Races!$F$71),6)  +  0.45 * MIN(MIN(TblMili[[#This Row],[Ice Elemental]]+Races!$E$71,Races!$F$71),6)  +  0.2 * ( MAX(TblMili[[#This Row],[Ice Elemental]]+Races!$E$71-6,0) + MAX(Races!$F$71-6,0) )  -  Races!$I$71</f>
        <v>0.17999999999999972</v>
      </c>
      <c r="CZ131" s="97">
        <f ca="1">TblMili[[#This Row],[Frost Mage bonus]]*TblMili[[#This Row],[Unit 3]]+TblMili[[#This Row],[Ice Elemental bonus]]*TblMili[[#This Row],[Unit 4]]</f>
        <v>0</v>
      </c>
      <c r="DA131" s="268"/>
      <c r="DB131" s="146">
        <f ca="1">MIN(SUM(TblConstr[[#This Row],[Plain]:[Water]])/TblMili[[#This Row],[Land]]/favorable_terrain_bonus/100,favorable_terrain_max)</f>
        <v>0.1</v>
      </c>
      <c r="DC131" s="268"/>
      <c r="DD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1" s="145"/>
      <c r="DF131" s="269">
        <f ca="1">(TblMili[[#This Row],[Wizards]]+2*TblMili[[#This Row],[Archmages]])/TblConstr[[#This Row],[Land]]</f>
        <v>0.1</v>
      </c>
      <c r="DG131" s="269">
        <f ca="1">TblMili[[#This Row],[Raw (2)]]*(1+race_wizard_strength+IF(TblMili[[#This Row],[Hour]]&gt;72,tech_magical_weaponry_wiz*TblTech[[#This Row],[3-5]],0))</f>
        <v>0.1</v>
      </c>
    </row>
    <row r="132" spans="1:111"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45463.333333333023</v>
      </c>
      <c r="AG132" s="182"/>
      <c r="AH132" s="182"/>
      <c r="AI132" s="182"/>
      <c r="AJ132" s="182"/>
      <c r="AK132" s="182"/>
      <c r="AL132" s="182"/>
      <c r="AM132" s="182"/>
      <c r="AN132" s="182"/>
      <c r="AO132" s="449">
        <f ca="1">IF(AND(TblMagic[[#This Row],[Active DnD]]&lt;12,TblMagic[[#This Row],[Active DnD]]&gt;5),OFFSET(TblPop[[#This Row],[Draft Growth]],-1,0)/2,0)</f>
        <v>0</v>
      </c>
      <c r="AP132" s="145"/>
      <c r="AQ132" s="97">
        <f ca="1">TblProd[[#This Row],[Platinum]]</f>
        <v>823086</v>
      </c>
      <c r="AR132" s="97">
        <f ca="1">INDEX(TblProd[[#Headers],[Lumber]]:TblProd[[#This Row],[Ore]],COUNTA(TblProd[[#Headers],[Lumber]]:TblProd[[#This Row],[Lumber]]),MATCH(Military!$AQ$2,TblProd[[#Headers],[Lumber]:[Ore]],0))</f>
        <v>0</v>
      </c>
      <c r="AS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7">
        <f ca="1">TblMili[[#This Row],[Train Unit 1]]*TblMili[[#This Row],[OP Ore]]+TblMili[[#This Row],[Train Unit 2]]*TblMili[[#This Row],[DP Ore]]+TblMili[[#This Row],[Train Unit 3]]*TblMili[[#This Row],[E1 Ore]]+TblMili[[#This Row],[Train Unit 4]]*TblMili[[#This Row],[E2 Ore]]</f>
        <v>0</v>
      </c>
      <c r="AU132" s="145">
        <f>TblMili[[#This Row],[Hour]]</f>
        <v>129</v>
      </c>
      <c r="AV132" s="155">
        <f ca="1">TblMili[[#This Row],[Time]]</f>
        <v>45463.333333333023</v>
      </c>
      <c r="AW132" s="97">
        <f ca="1">TblMili[[#This Row],[Draftees]]</f>
        <v>626</v>
      </c>
      <c r="AX132" s="182"/>
      <c r="AY132" s="182"/>
      <c r="AZ132" s="182"/>
      <c r="BA132" s="182"/>
      <c r="BB132" s="182"/>
      <c r="BC132" s="182"/>
      <c r="BD132" s="182"/>
      <c r="BE132" s="182"/>
      <c r="BF132" s="182"/>
      <c r="BG132" s="145"/>
      <c r="BH132" s="160">
        <f ca="1">TblConstr[[#This Row],[Tot WG]]/TblConstr[[#This Row],[Land]]</f>
        <v>0</v>
      </c>
      <c r="BI132" s="160">
        <f ca="1">TblConstr[[#This Row],[Tot Hav]]/TblConstr[[#This Row],[Land]]</f>
        <v>0</v>
      </c>
      <c r="BJ132" s="97">
        <f ca="1">ROUNDUP((1-MIN(TblMili[[#This Row],[Smithies]]*smithy_bonus,smithy_bonus_cap) + tech_3_5*TblTech[[#This Row],[3-5]] + tech_5_3*TblTech[[#This Row],[5-3]] + tech_5_5*TblTech[[#This Row],[5-5]])*spec_op_plat,0)</f>
        <v>275</v>
      </c>
      <c r="BK132" s="97">
        <f ca="1">ROUNDUP(IF(race="Gnome",1,(1-MIN(TblMili[[#This Row],[Smithies]]*smithy_bonus,smithy_bonus_cap) + tech_3_5*TblTech[[#This Row],[3-5]] + tech_5_3*TblTech[[#This Row],[5-3]] + tech_5_5*TblTech[[#This Row],[5-5]]))*spec_op_ore,0)</f>
        <v>25</v>
      </c>
      <c r="BL132" s="97">
        <f ca="1">ROUNDUP((1-MIN(TblMili[[#This Row],[Smithies]]*smithy_bonus,smithy_bonus_cap) + tech_3_5*TblTech[[#This Row],[3-5]] + tech_5_3*TblTech[[#This Row],[5-3]] + tech_5_5*TblTech[[#This Row],[5-5]])*spec_dp_plat,0)</f>
        <v>275</v>
      </c>
      <c r="BM132" s="97">
        <f ca="1">ROUNDUP(IF(race="Gnome",1,(1-MIN(TblMili[[#This Row],[Smithies]]*smithy_bonus,smithy_bonus_cap) + tech_3_5*TblTech[[#This Row],[3-5]] + tech_5_3*TblTech[[#This Row],[5-3]] + tech_5_5*TblTech[[#This Row],[5-5]]))*spec_dp_ore,0)</f>
        <v>15</v>
      </c>
      <c r="BN132" s="97">
        <f ca="1">ROUNDUP((1-MIN(TblMili[[#This Row],[Smithies]]*smithy_bonus,smithy_bonus_cap) + tech_3_5*TblTech[[#This Row],[3-5]] + tech_5_3*TblTech[[#This Row],[5-3]] + tech_5_5*TblTech[[#This Row],[5-5]])*elite1_plat,0)</f>
        <v>1000</v>
      </c>
      <c r="BO132" s="97">
        <f ca="1">ROUNDUP(IF(race="Gnome",1,(1-MIN(TblMili[[#This Row],[Smithies]]*smithy_bonus,smithy_bonus_cap) + tech_3_5*TblTech[[#This Row],[3-5]] + tech_5_3*TblTech[[#This Row],[5-3]] + tech_5_5*TblTech[[#This Row],[5-5]]))*elite1_ore,0)</f>
        <v>75</v>
      </c>
      <c r="BP132" s="97">
        <f ca="1">ROUNDUP((1-MIN(TblMili[[#This Row],[Smithies]]*smithy_bonus,smithy_bonus_cap) + tech_3_5*TblTech[[#This Row],[3-5]] + tech_5_3*TblTech[[#This Row],[5-3]] + tech_5_5*TblTech[[#This Row],[5-5]])*elite2_plat,0)</f>
        <v>1250</v>
      </c>
      <c r="BQ132" s="97">
        <f ca="1">ROUNDUP(IF(race="Gnome",1,(1-MIN(TblMili[[#This Row],[Smithies]]*smithy_bonus,smithy_bonus_cap) + tech_3_5*TblTech[[#This Row],[3-5]] + tech_5_3*TblTech[[#This Row],[5-3]] + tech_5_5*TblTech[[#This Row],[5-5]]))*elite2_ore,0)</f>
        <v>100</v>
      </c>
      <c r="BR132" s="97">
        <f ca="1">ROUNDUP((1-MIN(ROUND(fh_spy_cost_red*TblMili[[#This Row],[FH''s]],4),fh_spy_cost_cap)+ tech_1_9*TblTech[[#This Row],[1-9]] + tech_9_1*TblTech[[#This Row],[9-1]])*spy_plat,0)</f>
        <v>500</v>
      </c>
      <c r="BS132" s="97">
        <f ca="1">ROUNDUP((1-MIN(ROUND(fh_spy_cost_red*TblMili[[#This Row],[FH''s]],4),fh_spy_cost_cap)+ tech_1_9*TblTech[[#This Row],[1-9]] + tech_9_1*TblTech[[#This Row],[9-1]])*archspy_plat,0)</f>
        <v>1000</v>
      </c>
      <c r="BT132" s="97">
        <f ca="1">ROUNDUP((1-MIN(ROUND(wg_wiz_cost_bonus*TblMili[[#This Row],[WG''s]],4),wg_wiz_cost_cap) + tech_1_9_2*TblTech[[#This Row],[1-9]] + tech_9_1_2*TblTech[[#This Row],[9-1]])*wizard_plat,0)</f>
        <v>500</v>
      </c>
      <c r="BU132" s="97">
        <f ca="1">ROUNDUP((1-MIN(ROUND(wg_wiz_cost_bonus*TblMili[[#This Row],[WG''s]],4),wg_wiz_cost_cap) + tech_1_9_2*TblTech[[#This Row],[1-9]] + tech_9_1_2*TblTech[[#This Row],[9-1]])*archmage_plat,0)</f>
        <v>1000</v>
      </c>
      <c r="BV132" s="145"/>
      <c r="BW132" s="160">
        <f ca="1">TblConstr[[#This Row],[Homeland]]/TblConstr[[#This Row],[Land]]</f>
        <v>0.44</v>
      </c>
      <c r="BX132" s="160">
        <f ca="1">TblMili[[#This Row],[WG''s]]</f>
        <v>0</v>
      </c>
      <c r="BY132" s="266">
        <f ca="1">IF(mystic_cap="none",TblMili[[#This Row],[Hill]]/mystic_bonus,MIN(mystic_cap,TblMili[[#This Row],[Hill]]/mystic_bonus))</f>
        <v>2.1999999999999997</v>
      </c>
      <c r="BZ132" s="266">
        <f ca="1">IF(druid_op_cap="none",TblMili[[#This Row],[Hill]]/druid_op_bonus,MIN(druid_op_cap,TblMili[[#This Row],[Hill]]/druid_op_bonus))</f>
        <v>2.1999999999999997</v>
      </c>
      <c r="CA132" s="266">
        <f ca="1">IF(druid_dp_cap="none",TblMili[[#This Row],[Hill]]/druid_dp_bonus,MIN(druid_dp_cap,TblMili[[#This Row],[Hill]]/druid_dp_bonus))</f>
        <v>2.1999999999999997</v>
      </c>
      <c r="CB132" s="266">
        <f ca="1">MIN(dryad_cap,TblMili[[#This Row],[Hill]]/dryad_bonus)</f>
        <v>2.1999999999999997</v>
      </c>
      <c r="CC132" s="266">
        <f ca="1">MIN(rocka_cap,TblMili[[#This Row],[Hill]]/rocka_bonus)</f>
        <v>2</v>
      </c>
      <c r="CD132" s="266">
        <f ca="1">MIN(adept_op_cap,TblMili[[#This Row],[WG]]/adept_op_bonus)</f>
        <v>0</v>
      </c>
      <c r="CE132" s="266">
        <f ca="1">MIN(adept_dp_cap,TblMili[[#This Row],[WG]]/adept_dp_bonus)</f>
        <v>0</v>
      </c>
      <c r="CF132" s="97">
        <f ca="1">MIN(TblMili[[#This Row],[Unit 3]],TblMili[[#This Row],[Unit 2]])*2</f>
        <v>0</v>
      </c>
      <c r="CG132" s="97">
        <f ca="1">MIN(TblMili[[#This Row],[Unit 1]],TblMili[[#This Row],[Unit 4]])*2</f>
        <v>0</v>
      </c>
      <c r="CH132" s="266">
        <f ca="1">MIN(frost_mage_cap,TblMili[[#This Row],[Hill]]/frost_mage_bonus)</f>
        <v>2.1999999999999997</v>
      </c>
      <c r="CI132" s="45">
        <f ca="1">MIN(ice_elem_cap,TblMili[[#This Row],[Raw (2)]]*ice_elem_bonus)</f>
        <v>0.1</v>
      </c>
      <c r="CJ132" s="266">
        <f t="shared" si="4"/>
        <v>0.83333333333333337</v>
      </c>
      <c r="CK132" s="266">
        <f ca="1">MIN(nox_nightshade_cap,TblConstr[[#This Row],[Homeland]]/TblConstr[[#This Row],[Land]]/nox_nightshade_swamp_bonus)</f>
        <v>4</v>
      </c>
      <c r="CL132" s="267"/>
      <c r="CM132" s="267"/>
      <c r="CN132" s="267"/>
      <c r="CO132" s="266">
        <f ca="1">MIN(6,TblMili[[#This Row],[Mystic]]+Races!$F$19)*1.8 +  IF(TblMili[[#This Row],[Mystic]]+Races!$F$19&gt;6,(TblMili[[#This Row],[Mystic]]+Races!$F$19-6)*0.2,0) - Races!$I$19</f>
        <v>3.6399999999999997</v>
      </c>
      <c r="CP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2" s="97">
        <f ca="1">TblMili[[#This Row],[Mystic bonus]]*TblMili[[#This Row],[Unit 3]]+TblMili[[#This Row],[Druid bonus]]*TblMili[[#This Row],[Unit 4]]</f>
        <v>0</v>
      </c>
      <c r="CR132" s="158">
        <f ca="1">MIN(6,TblMili[[#This Row],[Dryad]]+Races!$F$35)*1.8 +  IF(TblMili[[#This Row],[Dryad]]+Races!$F$35&gt;6,(TblMili[[#This Row],[Dryad]]+Races!$F$35-6)*0.2,0) - Races!$I$19</f>
        <v>2.1599999999999993</v>
      </c>
      <c r="CS132" s="97">
        <f ca="1">sylvan*(TblMili[[#This Row],[Mystic bonus]]*TblMili[[#This Row],[Unit 3]])</f>
        <v>0</v>
      </c>
      <c r="CT132" s="158">
        <f ca="1">1.8 * MIN(MAX(Races!$E$27,TblMili[[#This Row],[Rockapult]]+Races!$F$27),6)  +  0.45 * MIN(MIN(Races!$E$27,TblMili[[#This Row],[Rockapult]]+Races!$F$27),6)  +  0.2 * ( MAX(Races!$E$27-6,0) + MAX(TblMili[[#This Row],[Rockapult]]+Races!$F$27-6,0) )  -  Races!$I$20</f>
        <v>5.8500000000000005</v>
      </c>
      <c r="CU132" s="97">
        <f ca="1">gnome*(TblMili[[#This Row],[Rockapult bonus]]*TblMili[[#This Row],[Unit 3]])</f>
        <v>0</v>
      </c>
      <c r="CV132" s="158">
        <f ca="1">1.8 * MIN(MAX(TblMili[[#This Row],[Spellblade]]+Races!$E$47,TblMili[[#This Row],[Adept-DP]]+Races!$F$47),6)  +  0.45 * MIN(MIN(TblMili[[#This Row],[Spellblade]]+Races!$E$47,TblMili[[#This Row],[Adept-DP]]+Races!$F$47),6)  +  0.2 * ( MAX(TblMili[[#This Row],[Spellblade]]+Races!$E$47-6,0) + MAX(TblMili[[#This Row],[Adept-DP]]+Races!$F$47-6,0) )  -  Races!$I$47</f>
        <v>0</v>
      </c>
      <c r="CW132" s="97">
        <f ca="1">dark_elf*(TblMili[[#This Row],[Adept bonus]]*TblMili[[#This Row],[Unit 3]])</f>
        <v>0</v>
      </c>
      <c r="CX132" s="158">
        <f ca="1">1.8 * MIN(MAX(TblMili[[#This Row],[Frost Mage]]+Races!$F$71,Races!$E$71),6)  +  0.45 * MIN(MIN(TblMili[[#This Row],[Frost Mage]]+Races!$F$71,Races!$E$71),6)  +  0.2 * ( MAX(TblMili[[#This Row],[Frost Mage]]+Races!$F$71-6,0) + MAX(Races!$E$71-6,0) )  -  Races!$I$71</f>
        <v>3.9599999999999991</v>
      </c>
      <c r="CY132" s="158">
        <f ca="1">1.8 * MIN(MAX(TblMili[[#This Row],[Ice Elemental]]+Races!$E$71,Races!$F$71),6)  +  0.45 * MIN(MIN(TblMili[[#This Row],[Ice Elemental]]+Races!$E$71,Races!$F$71),6)  +  0.2 * ( MAX(TblMili[[#This Row],[Ice Elemental]]+Races!$E$71-6,0) + MAX(Races!$F$71-6,0) )  -  Races!$I$71</f>
        <v>0.17999999999999972</v>
      </c>
      <c r="CZ132" s="97">
        <f ca="1">TblMili[[#This Row],[Frost Mage bonus]]*TblMili[[#This Row],[Unit 3]]+TblMili[[#This Row],[Ice Elemental bonus]]*TblMili[[#This Row],[Unit 4]]</f>
        <v>0</v>
      </c>
      <c r="DA132" s="268"/>
      <c r="DB132" s="146">
        <f ca="1">MIN(SUM(TblConstr[[#This Row],[Plain]:[Water]])/TblMili[[#This Row],[Land]]/favorable_terrain_bonus/100,favorable_terrain_max)</f>
        <v>0.1</v>
      </c>
      <c r="DC132" s="268"/>
      <c r="DD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2" s="145"/>
      <c r="DF132" s="269">
        <f ca="1">(TblMili[[#This Row],[Wizards]]+2*TblMili[[#This Row],[Archmages]])/TblConstr[[#This Row],[Land]]</f>
        <v>0.1</v>
      </c>
      <c r="DG132" s="269">
        <f ca="1">TblMili[[#This Row],[Raw (2)]]*(1+race_wizard_strength+IF(TblMili[[#This Row],[Hour]]&gt;72,tech_magical_weaponry_wiz*TblTech[[#This Row],[3-5]],0))</f>
        <v>0.1</v>
      </c>
    </row>
    <row r="133" spans="1:111"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45463.374999999687</v>
      </c>
      <c r="AG133" s="182"/>
      <c r="AH133" s="182"/>
      <c r="AI133" s="182"/>
      <c r="AJ133" s="182"/>
      <c r="AK133" s="182"/>
      <c r="AL133" s="182"/>
      <c r="AM133" s="182"/>
      <c r="AN133" s="182"/>
      <c r="AO133" s="449">
        <f ca="1">IF(AND(TblMagic[[#This Row],[Active DnD]]&lt;12,TblMagic[[#This Row],[Active DnD]]&gt;5),OFFSET(TblPop[[#This Row],[Draft Growth]],-1,0)/2,0)</f>
        <v>0</v>
      </c>
      <c r="AP133" s="145"/>
      <c r="AQ133" s="97">
        <f ca="1">TblProd[[#This Row],[Platinum]]</f>
        <v>828572</v>
      </c>
      <c r="AR133" s="97">
        <f ca="1">INDEX(TblProd[[#Headers],[Lumber]]:TblProd[[#This Row],[Ore]],COUNTA(TblProd[[#Headers],[Lumber]]:TblProd[[#This Row],[Lumber]]),MATCH(Military!$AQ$2,TblProd[[#Headers],[Lumber]:[Ore]],0))</f>
        <v>0</v>
      </c>
      <c r="AS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7">
        <f ca="1">TblMili[[#This Row],[Train Unit 1]]*TblMili[[#This Row],[OP Ore]]+TblMili[[#This Row],[Train Unit 2]]*TblMili[[#This Row],[DP Ore]]+TblMili[[#This Row],[Train Unit 3]]*TblMili[[#This Row],[E1 Ore]]+TblMili[[#This Row],[Train Unit 4]]*TblMili[[#This Row],[E2 Ore]]</f>
        <v>0</v>
      </c>
      <c r="AU133" s="145">
        <f>TblMili[[#This Row],[Hour]]</f>
        <v>130</v>
      </c>
      <c r="AV133" s="155">
        <f ca="1">TblMili[[#This Row],[Time]]</f>
        <v>45463.374999999687</v>
      </c>
      <c r="AW133" s="97">
        <f ca="1">TblMili[[#This Row],[Draftees]]</f>
        <v>626</v>
      </c>
      <c r="AX133" s="182"/>
      <c r="AY133" s="182"/>
      <c r="AZ133" s="182"/>
      <c r="BA133" s="182"/>
      <c r="BB133" s="182"/>
      <c r="BC133" s="182"/>
      <c r="BD133" s="182"/>
      <c r="BE133" s="182"/>
      <c r="BF133" s="182"/>
      <c r="BG133" s="145"/>
      <c r="BH133" s="160">
        <f ca="1">TblConstr[[#This Row],[Tot WG]]/TblConstr[[#This Row],[Land]]</f>
        <v>0</v>
      </c>
      <c r="BI133" s="160">
        <f ca="1">TblConstr[[#This Row],[Tot Hav]]/TblConstr[[#This Row],[Land]]</f>
        <v>0</v>
      </c>
      <c r="BJ133" s="97">
        <f ca="1">ROUNDUP((1-MIN(TblMili[[#This Row],[Smithies]]*smithy_bonus,smithy_bonus_cap) + tech_3_5*TblTech[[#This Row],[3-5]] + tech_5_3*TblTech[[#This Row],[5-3]] + tech_5_5*TblTech[[#This Row],[5-5]])*spec_op_plat,0)</f>
        <v>275</v>
      </c>
      <c r="BK133" s="97">
        <f ca="1">ROUNDUP(IF(race="Gnome",1,(1-MIN(TblMili[[#This Row],[Smithies]]*smithy_bonus,smithy_bonus_cap) + tech_3_5*TblTech[[#This Row],[3-5]] + tech_5_3*TblTech[[#This Row],[5-3]] + tech_5_5*TblTech[[#This Row],[5-5]]))*spec_op_ore,0)</f>
        <v>25</v>
      </c>
      <c r="BL133" s="97">
        <f ca="1">ROUNDUP((1-MIN(TblMili[[#This Row],[Smithies]]*smithy_bonus,smithy_bonus_cap) + tech_3_5*TblTech[[#This Row],[3-5]] + tech_5_3*TblTech[[#This Row],[5-3]] + tech_5_5*TblTech[[#This Row],[5-5]])*spec_dp_plat,0)</f>
        <v>275</v>
      </c>
      <c r="BM133" s="97">
        <f ca="1">ROUNDUP(IF(race="Gnome",1,(1-MIN(TblMili[[#This Row],[Smithies]]*smithy_bonus,smithy_bonus_cap) + tech_3_5*TblTech[[#This Row],[3-5]] + tech_5_3*TblTech[[#This Row],[5-3]] + tech_5_5*TblTech[[#This Row],[5-5]]))*spec_dp_ore,0)</f>
        <v>15</v>
      </c>
      <c r="BN133" s="97">
        <f ca="1">ROUNDUP((1-MIN(TblMili[[#This Row],[Smithies]]*smithy_bonus,smithy_bonus_cap) + tech_3_5*TblTech[[#This Row],[3-5]] + tech_5_3*TblTech[[#This Row],[5-3]] + tech_5_5*TblTech[[#This Row],[5-5]])*elite1_plat,0)</f>
        <v>1000</v>
      </c>
      <c r="BO133" s="97">
        <f ca="1">ROUNDUP(IF(race="Gnome",1,(1-MIN(TblMili[[#This Row],[Smithies]]*smithy_bonus,smithy_bonus_cap) + tech_3_5*TblTech[[#This Row],[3-5]] + tech_5_3*TblTech[[#This Row],[5-3]] + tech_5_5*TblTech[[#This Row],[5-5]]))*elite1_ore,0)</f>
        <v>75</v>
      </c>
      <c r="BP133" s="97">
        <f ca="1">ROUNDUP((1-MIN(TblMili[[#This Row],[Smithies]]*smithy_bonus,smithy_bonus_cap) + tech_3_5*TblTech[[#This Row],[3-5]] + tech_5_3*TblTech[[#This Row],[5-3]] + tech_5_5*TblTech[[#This Row],[5-5]])*elite2_plat,0)</f>
        <v>1250</v>
      </c>
      <c r="BQ133" s="97">
        <f ca="1">ROUNDUP(IF(race="Gnome",1,(1-MIN(TblMili[[#This Row],[Smithies]]*smithy_bonus,smithy_bonus_cap) + tech_3_5*TblTech[[#This Row],[3-5]] + tech_5_3*TblTech[[#This Row],[5-3]] + tech_5_5*TblTech[[#This Row],[5-5]]))*elite2_ore,0)</f>
        <v>100</v>
      </c>
      <c r="BR133" s="97">
        <f ca="1">ROUNDUP((1-MIN(ROUND(fh_spy_cost_red*TblMili[[#This Row],[FH''s]],4),fh_spy_cost_cap)+ tech_1_9*TblTech[[#This Row],[1-9]] + tech_9_1*TblTech[[#This Row],[9-1]])*spy_plat,0)</f>
        <v>500</v>
      </c>
      <c r="BS133" s="97">
        <f ca="1">ROUNDUP((1-MIN(ROUND(fh_spy_cost_red*TblMili[[#This Row],[FH''s]],4),fh_spy_cost_cap)+ tech_1_9*TblTech[[#This Row],[1-9]] + tech_9_1*TblTech[[#This Row],[9-1]])*archspy_plat,0)</f>
        <v>1000</v>
      </c>
      <c r="BT133" s="97">
        <f ca="1">ROUNDUP((1-MIN(ROUND(wg_wiz_cost_bonus*TblMili[[#This Row],[WG''s]],4),wg_wiz_cost_cap) + tech_1_9_2*TblTech[[#This Row],[1-9]] + tech_9_1_2*TblTech[[#This Row],[9-1]])*wizard_plat,0)</f>
        <v>500</v>
      </c>
      <c r="BU133" s="97">
        <f ca="1">ROUNDUP((1-MIN(ROUND(wg_wiz_cost_bonus*TblMili[[#This Row],[WG''s]],4),wg_wiz_cost_cap) + tech_1_9_2*TblTech[[#This Row],[1-9]] + tech_9_1_2*TblTech[[#This Row],[9-1]])*archmage_plat,0)</f>
        <v>1000</v>
      </c>
      <c r="BV133" s="145"/>
      <c r="BW133" s="160">
        <f ca="1">TblConstr[[#This Row],[Homeland]]/TblConstr[[#This Row],[Land]]</f>
        <v>0.44</v>
      </c>
      <c r="BX133" s="160">
        <f ca="1">TblMili[[#This Row],[WG''s]]</f>
        <v>0</v>
      </c>
      <c r="BY133" s="266">
        <f ca="1">IF(mystic_cap="none",TblMili[[#This Row],[Hill]]/mystic_bonus,MIN(mystic_cap,TblMili[[#This Row],[Hill]]/mystic_bonus))</f>
        <v>2.1999999999999997</v>
      </c>
      <c r="BZ133" s="266">
        <f ca="1">IF(druid_op_cap="none",TblMili[[#This Row],[Hill]]/druid_op_bonus,MIN(druid_op_cap,TblMili[[#This Row],[Hill]]/druid_op_bonus))</f>
        <v>2.1999999999999997</v>
      </c>
      <c r="CA133" s="266">
        <f ca="1">IF(druid_dp_cap="none",TblMili[[#This Row],[Hill]]/druid_dp_bonus,MIN(druid_dp_cap,TblMili[[#This Row],[Hill]]/druid_dp_bonus))</f>
        <v>2.1999999999999997</v>
      </c>
      <c r="CB133" s="266">
        <f ca="1">MIN(dryad_cap,TblMili[[#This Row],[Hill]]/dryad_bonus)</f>
        <v>2.1999999999999997</v>
      </c>
      <c r="CC133" s="266">
        <f ca="1">MIN(rocka_cap,TblMili[[#This Row],[Hill]]/rocka_bonus)</f>
        <v>2</v>
      </c>
      <c r="CD133" s="266">
        <f ca="1">MIN(adept_op_cap,TblMili[[#This Row],[WG]]/adept_op_bonus)</f>
        <v>0</v>
      </c>
      <c r="CE133" s="266">
        <f ca="1">MIN(adept_dp_cap,TblMili[[#This Row],[WG]]/adept_dp_bonus)</f>
        <v>0</v>
      </c>
      <c r="CF133" s="97">
        <f ca="1">MIN(TblMili[[#This Row],[Unit 3]],TblMili[[#This Row],[Unit 2]])*2</f>
        <v>0</v>
      </c>
      <c r="CG133" s="97">
        <f ca="1">MIN(TblMili[[#This Row],[Unit 1]],TblMili[[#This Row],[Unit 4]])*2</f>
        <v>0</v>
      </c>
      <c r="CH133" s="266">
        <f ca="1">MIN(frost_mage_cap,TblMili[[#This Row],[Hill]]/frost_mage_bonus)</f>
        <v>2.1999999999999997</v>
      </c>
      <c r="CI133" s="45">
        <f ca="1">MIN(ice_elem_cap,TblMili[[#This Row],[Raw (2)]]*ice_elem_bonus)</f>
        <v>0.1</v>
      </c>
      <c r="CJ133" s="266">
        <f t="shared" si="4"/>
        <v>0.83333333333333337</v>
      </c>
      <c r="CK133" s="266">
        <f ca="1">MIN(nox_nightshade_cap,TblConstr[[#This Row],[Homeland]]/TblConstr[[#This Row],[Land]]/nox_nightshade_swamp_bonus)</f>
        <v>4</v>
      </c>
      <c r="CL133" s="267"/>
      <c r="CM133" s="267"/>
      <c r="CN133" s="267"/>
      <c r="CO133" s="266">
        <f ca="1">MIN(6,TblMili[[#This Row],[Mystic]]+Races!$F$19)*1.8 +  IF(TblMili[[#This Row],[Mystic]]+Races!$F$19&gt;6,(TblMili[[#This Row],[Mystic]]+Races!$F$19-6)*0.2,0) - Races!$I$19</f>
        <v>3.6399999999999997</v>
      </c>
      <c r="CP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3" s="97">
        <f ca="1">TblMili[[#This Row],[Mystic bonus]]*TblMili[[#This Row],[Unit 3]]+TblMili[[#This Row],[Druid bonus]]*TblMili[[#This Row],[Unit 4]]</f>
        <v>0</v>
      </c>
      <c r="CR133" s="158">
        <f ca="1">MIN(6,TblMili[[#This Row],[Dryad]]+Races!$F$35)*1.8 +  IF(TblMili[[#This Row],[Dryad]]+Races!$F$35&gt;6,(TblMili[[#This Row],[Dryad]]+Races!$F$35-6)*0.2,0) - Races!$I$19</f>
        <v>2.1599999999999993</v>
      </c>
      <c r="CS133" s="97">
        <f ca="1">sylvan*(TblMili[[#This Row],[Mystic bonus]]*TblMili[[#This Row],[Unit 3]])</f>
        <v>0</v>
      </c>
      <c r="CT133" s="158">
        <f ca="1">1.8 * MIN(MAX(Races!$E$27,TblMili[[#This Row],[Rockapult]]+Races!$F$27),6)  +  0.45 * MIN(MIN(Races!$E$27,TblMili[[#This Row],[Rockapult]]+Races!$F$27),6)  +  0.2 * ( MAX(Races!$E$27-6,0) + MAX(TblMili[[#This Row],[Rockapult]]+Races!$F$27-6,0) )  -  Races!$I$20</f>
        <v>5.8500000000000005</v>
      </c>
      <c r="CU133" s="97">
        <f ca="1">gnome*(TblMili[[#This Row],[Rockapult bonus]]*TblMili[[#This Row],[Unit 3]])</f>
        <v>0</v>
      </c>
      <c r="CV133" s="158">
        <f ca="1">1.8 * MIN(MAX(TblMili[[#This Row],[Spellblade]]+Races!$E$47,TblMili[[#This Row],[Adept-DP]]+Races!$F$47),6)  +  0.45 * MIN(MIN(TblMili[[#This Row],[Spellblade]]+Races!$E$47,TblMili[[#This Row],[Adept-DP]]+Races!$F$47),6)  +  0.2 * ( MAX(TblMili[[#This Row],[Spellblade]]+Races!$E$47-6,0) + MAX(TblMili[[#This Row],[Adept-DP]]+Races!$F$47-6,0) )  -  Races!$I$47</f>
        <v>0</v>
      </c>
      <c r="CW133" s="97">
        <f ca="1">dark_elf*(TblMili[[#This Row],[Adept bonus]]*TblMili[[#This Row],[Unit 3]])</f>
        <v>0</v>
      </c>
      <c r="CX133" s="158">
        <f ca="1">1.8 * MIN(MAX(TblMili[[#This Row],[Frost Mage]]+Races!$F$71,Races!$E$71),6)  +  0.45 * MIN(MIN(TblMili[[#This Row],[Frost Mage]]+Races!$F$71,Races!$E$71),6)  +  0.2 * ( MAX(TblMili[[#This Row],[Frost Mage]]+Races!$F$71-6,0) + MAX(Races!$E$71-6,0) )  -  Races!$I$71</f>
        <v>3.9599999999999991</v>
      </c>
      <c r="CY133" s="158">
        <f ca="1">1.8 * MIN(MAX(TblMili[[#This Row],[Ice Elemental]]+Races!$E$71,Races!$F$71),6)  +  0.45 * MIN(MIN(TblMili[[#This Row],[Ice Elemental]]+Races!$E$71,Races!$F$71),6)  +  0.2 * ( MAX(TblMili[[#This Row],[Ice Elemental]]+Races!$E$71-6,0) + MAX(Races!$F$71-6,0) )  -  Races!$I$71</f>
        <v>0.17999999999999972</v>
      </c>
      <c r="CZ133" s="97">
        <f ca="1">TblMili[[#This Row],[Frost Mage bonus]]*TblMili[[#This Row],[Unit 3]]+TblMili[[#This Row],[Ice Elemental bonus]]*TblMili[[#This Row],[Unit 4]]</f>
        <v>0</v>
      </c>
      <c r="DA133" s="268"/>
      <c r="DB133" s="146">
        <f ca="1">MIN(SUM(TblConstr[[#This Row],[Plain]:[Water]])/TblMili[[#This Row],[Land]]/favorable_terrain_bonus/100,favorable_terrain_max)</f>
        <v>0.1</v>
      </c>
      <c r="DC133" s="268"/>
      <c r="DD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3" s="145"/>
      <c r="DF133" s="269">
        <f ca="1">(TblMili[[#This Row],[Wizards]]+2*TblMili[[#This Row],[Archmages]])/TblConstr[[#This Row],[Land]]</f>
        <v>0.1</v>
      </c>
      <c r="DG133" s="269">
        <f ca="1">TblMili[[#This Row],[Raw (2)]]*(1+race_wizard_strength+IF(TblMili[[#This Row],[Hour]]&gt;72,tech_magical_weaponry_wiz*TblTech[[#This Row],[3-5]],0))</f>
        <v>0.1</v>
      </c>
    </row>
    <row r="134" spans="1:111"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45463.416666666351</v>
      </c>
      <c r="AG134" s="182"/>
      <c r="AH134" s="182"/>
      <c r="AI134" s="182"/>
      <c r="AJ134" s="182"/>
      <c r="AK134" s="182"/>
      <c r="AL134" s="182"/>
      <c r="AM134" s="182"/>
      <c r="AN134" s="182"/>
      <c r="AO134" s="449">
        <f ca="1">IF(AND(TblMagic[[#This Row],[Active DnD]]&lt;12,TblMagic[[#This Row],[Active DnD]]&gt;5),OFFSET(TblPop[[#This Row],[Draft Growth]],-1,0)/2,0)</f>
        <v>0</v>
      </c>
      <c r="AP134" s="145"/>
      <c r="AQ134" s="97">
        <f ca="1">TblProd[[#This Row],[Platinum]]</f>
        <v>834058</v>
      </c>
      <c r="AR134" s="97">
        <f ca="1">INDEX(TblProd[[#Headers],[Lumber]]:TblProd[[#This Row],[Ore]],COUNTA(TblProd[[#Headers],[Lumber]]:TblProd[[#This Row],[Lumber]]),MATCH(Military!$AQ$2,TblProd[[#Headers],[Lumber]:[Ore]],0))</f>
        <v>0</v>
      </c>
      <c r="AS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7">
        <f ca="1">TblMili[[#This Row],[Train Unit 1]]*TblMili[[#This Row],[OP Ore]]+TblMili[[#This Row],[Train Unit 2]]*TblMili[[#This Row],[DP Ore]]+TblMili[[#This Row],[Train Unit 3]]*TblMili[[#This Row],[E1 Ore]]+TblMili[[#This Row],[Train Unit 4]]*TblMili[[#This Row],[E2 Ore]]</f>
        <v>0</v>
      </c>
      <c r="AU134" s="145">
        <f>TblMili[[#This Row],[Hour]]</f>
        <v>131</v>
      </c>
      <c r="AV134" s="155">
        <f ca="1">TblMili[[#This Row],[Time]]</f>
        <v>45463.416666666351</v>
      </c>
      <c r="AW134" s="97">
        <f ca="1">TblMili[[#This Row],[Draftees]]</f>
        <v>626</v>
      </c>
      <c r="AX134" s="182"/>
      <c r="AY134" s="182"/>
      <c r="AZ134" s="182"/>
      <c r="BA134" s="182"/>
      <c r="BB134" s="182"/>
      <c r="BC134" s="182"/>
      <c r="BD134" s="182"/>
      <c r="BE134" s="182"/>
      <c r="BF134" s="182"/>
      <c r="BG134" s="145"/>
      <c r="BH134" s="160">
        <f ca="1">TblConstr[[#This Row],[Tot WG]]/TblConstr[[#This Row],[Land]]</f>
        <v>0</v>
      </c>
      <c r="BI134" s="160">
        <f ca="1">TblConstr[[#This Row],[Tot Hav]]/TblConstr[[#This Row],[Land]]</f>
        <v>0</v>
      </c>
      <c r="BJ134" s="97">
        <f ca="1">ROUNDUP((1-MIN(TblMili[[#This Row],[Smithies]]*smithy_bonus,smithy_bonus_cap) + tech_3_5*TblTech[[#This Row],[3-5]] + tech_5_3*TblTech[[#This Row],[5-3]] + tech_5_5*TblTech[[#This Row],[5-5]])*spec_op_plat,0)</f>
        <v>275</v>
      </c>
      <c r="BK134" s="97">
        <f ca="1">ROUNDUP(IF(race="Gnome",1,(1-MIN(TblMili[[#This Row],[Smithies]]*smithy_bonus,smithy_bonus_cap) + tech_3_5*TblTech[[#This Row],[3-5]] + tech_5_3*TblTech[[#This Row],[5-3]] + tech_5_5*TblTech[[#This Row],[5-5]]))*spec_op_ore,0)</f>
        <v>25</v>
      </c>
      <c r="BL134" s="97">
        <f ca="1">ROUNDUP((1-MIN(TblMili[[#This Row],[Smithies]]*smithy_bonus,smithy_bonus_cap) + tech_3_5*TblTech[[#This Row],[3-5]] + tech_5_3*TblTech[[#This Row],[5-3]] + tech_5_5*TblTech[[#This Row],[5-5]])*spec_dp_plat,0)</f>
        <v>275</v>
      </c>
      <c r="BM134" s="97">
        <f ca="1">ROUNDUP(IF(race="Gnome",1,(1-MIN(TblMili[[#This Row],[Smithies]]*smithy_bonus,smithy_bonus_cap) + tech_3_5*TblTech[[#This Row],[3-5]] + tech_5_3*TblTech[[#This Row],[5-3]] + tech_5_5*TblTech[[#This Row],[5-5]]))*spec_dp_ore,0)</f>
        <v>15</v>
      </c>
      <c r="BN134" s="97">
        <f ca="1">ROUNDUP((1-MIN(TblMili[[#This Row],[Smithies]]*smithy_bonus,smithy_bonus_cap) + tech_3_5*TblTech[[#This Row],[3-5]] + tech_5_3*TblTech[[#This Row],[5-3]] + tech_5_5*TblTech[[#This Row],[5-5]])*elite1_plat,0)</f>
        <v>1000</v>
      </c>
      <c r="BO134" s="97">
        <f ca="1">ROUNDUP(IF(race="Gnome",1,(1-MIN(TblMili[[#This Row],[Smithies]]*smithy_bonus,smithy_bonus_cap) + tech_3_5*TblTech[[#This Row],[3-5]] + tech_5_3*TblTech[[#This Row],[5-3]] + tech_5_5*TblTech[[#This Row],[5-5]]))*elite1_ore,0)</f>
        <v>75</v>
      </c>
      <c r="BP134" s="97">
        <f ca="1">ROUNDUP((1-MIN(TblMili[[#This Row],[Smithies]]*smithy_bonus,smithy_bonus_cap) + tech_3_5*TblTech[[#This Row],[3-5]] + tech_5_3*TblTech[[#This Row],[5-3]] + tech_5_5*TblTech[[#This Row],[5-5]])*elite2_plat,0)</f>
        <v>1250</v>
      </c>
      <c r="BQ134" s="97">
        <f ca="1">ROUNDUP(IF(race="Gnome",1,(1-MIN(TblMili[[#This Row],[Smithies]]*smithy_bonus,smithy_bonus_cap) + tech_3_5*TblTech[[#This Row],[3-5]] + tech_5_3*TblTech[[#This Row],[5-3]] + tech_5_5*TblTech[[#This Row],[5-5]]))*elite2_ore,0)</f>
        <v>100</v>
      </c>
      <c r="BR134" s="97">
        <f ca="1">ROUNDUP((1-MIN(ROUND(fh_spy_cost_red*TblMili[[#This Row],[FH''s]],4),fh_spy_cost_cap)+ tech_1_9*TblTech[[#This Row],[1-9]] + tech_9_1*TblTech[[#This Row],[9-1]])*spy_plat,0)</f>
        <v>500</v>
      </c>
      <c r="BS134" s="97">
        <f ca="1">ROUNDUP((1-MIN(ROUND(fh_spy_cost_red*TblMili[[#This Row],[FH''s]],4),fh_spy_cost_cap)+ tech_1_9*TblTech[[#This Row],[1-9]] + tech_9_1*TblTech[[#This Row],[9-1]])*archspy_plat,0)</f>
        <v>1000</v>
      </c>
      <c r="BT134" s="97">
        <f ca="1">ROUNDUP((1-MIN(ROUND(wg_wiz_cost_bonus*TblMili[[#This Row],[WG''s]],4),wg_wiz_cost_cap) + tech_1_9_2*TblTech[[#This Row],[1-9]] + tech_9_1_2*TblTech[[#This Row],[9-1]])*wizard_plat,0)</f>
        <v>500</v>
      </c>
      <c r="BU134" s="97">
        <f ca="1">ROUNDUP((1-MIN(ROUND(wg_wiz_cost_bonus*TblMili[[#This Row],[WG''s]],4),wg_wiz_cost_cap) + tech_1_9_2*TblTech[[#This Row],[1-9]] + tech_9_1_2*TblTech[[#This Row],[9-1]])*archmage_plat,0)</f>
        <v>1000</v>
      </c>
      <c r="BV134" s="145"/>
      <c r="BW134" s="160">
        <f ca="1">TblConstr[[#This Row],[Homeland]]/TblConstr[[#This Row],[Land]]</f>
        <v>0.44</v>
      </c>
      <c r="BX134" s="160">
        <f ca="1">TblMili[[#This Row],[WG''s]]</f>
        <v>0</v>
      </c>
      <c r="BY134" s="266">
        <f ca="1">IF(mystic_cap="none",TblMili[[#This Row],[Hill]]/mystic_bonus,MIN(mystic_cap,TblMili[[#This Row],[Hill]]/mystic_bonus))</f>
        <v>2.1999999999999997</v>
      </c>
      <c r="BZ134" s="266">
        <f ca="1">IF(druid_op_cap="none",TblMili[[#This Row],[Hill]]/druid_op_bonus,MIN(druid_op_cap,TblMili[[#This Row],[Hill]]/druid_op_bonus))</f>
        <v>2.1999999999999997</v>
      </c>
      <c r="CA134" s="266">
        <f ca="1">IF(druid_dp_cap="none",TblMili[[#This Row],[Hill]]/druid_dp_bonus,MIN(druid_dp_cap,TblMili[[#This Row],[Hill]]/druid_dp_bonus))</f>
        <v>2.1999999999999997</v>
      </c>
      <c r="CB134" s="266">
        <f ca="1">MIN(dryad_cap,TblMili[[#This Row],[Hill]]/dryad_bonus)</f>
        <v>2.1999999999999997</v>
      </c>
      <c r="CC134" s="266">
        <f ca="1">MIN(rocka_cap,TblMili[[#This Row],[Hill]]/rocka_bonus)</f>
        <v>2</v>
      </c>
      <c r="CD134" s="266">
        <f ca="1">MIN(adept_op_cap,TblMili[[#This Row],[WG]]/adept_op_bonus)</f>
        <v>0</v>
      </c>
      <c r="CE134" s="266">
        <f ca="1">MIN(adept_dp_cap,TblMili[[#This Row],[WG]]/adept_dp_bonus)</f>
        <v>0</v>
      </c>
      <c r="CF134" s="97">
        <f ca="1">MIN(TblMili[[#This Row],[Unit 3]],TblMili[[#This Row],[Unit 2]])*2</f>
        <v>0</v>
      </c>
      <c r="CG134" s="97">
        <f ca="1">MIN(TblMili[[#This Row],[Unit 1]],TblMili[[#This Row],[Unit 4]])*2</f>
        <v>0</v>
      </c>
      <c r="CH134" s="266">
        <f ca="1">MIN(frost_mage_cap,TblMili[[#This Row],[Hill]]/frost_mage_bonus)</f>
        <v>2.1999999999999997</v>
      </c>
      <c r="CI134" s="45">
        <f ca="1">MIN(ice_elem_cap,TblMili[[#This Row],[Raw (2)]]*ice_elem_bonus)</f>
        <v>0.1</v>
      </c>
      <c r="CJ134" s="266">
        <f t="shared" si="4"/>
        <v>0.83333333333333337</v>
      </c>
      <c r="CK134" s="266">
        <f ca="1">MIN(nox_nightshade_cap,TblConstr[[#This Row],[Homeland]]/TblConstr[[#This Row],[Land]]/nox_nightshade_swamp_bonus)</f>
        <v>4</v>
      </c>
      <c r="CL134" s="267"/>
      <c r="CM134" s="267"/>
      <c r="CN134" s="267"/>
      <c r="CO134" s="266">
        <f ca="1">MIN(6,TblMili[[#This Row],[Mystic]]+Races!$F$19)*1.8 +  IF(TblMili[[#This Row],[Mystic]]+Races!$F$19&gt;6,(TblMili[[#This Row],[Mystic]]+Races!$F$19-6)*0.2,0) - Races!$I$19</f>
        <v>3.6399999999999997</v>
      </c>
      <c r="CP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4" s="97">
        <f ca="1">TblMili[[#This Row],[Mystic bonus]]*TblMili[[#This Row],[Unit 3]]+TblMili[[#This Row],[Druid bonus]]*TblMili[[#This Row],[Unit 4]]</f>
        <v>0</v>
      </c>
      <c r="CR134" s="158">
        <f ca="1">MIN(6,TblMili[[#This Row],[Dryad]]+Races!$F$35)*1.8 +  IF(TblMili[[#This Row],[Dryad]]+Races!$F$35&gt;6,(TblMili[[#This Row],[Dryad]]+Races!$F$35-6)*0.2,0) - Races!$I$19</f>
        <v>2.1599999999999993</v>
      </c>
      <c r="CS134" s="97">
        <f ca="1">sylvan*(TblMili[[#This Row],[Mystic bonus]]*TblMili[[#This Row],[Unit 3]])</f>
        <v>0</v>
      </c>
      <c r="CT134" s="158">
        <f ca="1">1.8 * MIN(MAX(Races!$E$27,TblMili[[#This Row],[Rockapult]]+Races!$F$27),6)  +  0.45 * MIN(MIN(Races!$E$27,TblMili[[#This Row],[Rockapult]]+Races!$F$27),6)  +  0.2 * ( MAX(Races!$E$27-6,0) + MAX(TblMili[[#This Row],[Rockapult]]+Races!$F$27-6,0) )  -  Races!$I$20</f>
        <v>5.8500000000000005</v>
      </c>
      <c r="CU134" s="97">
        <f ca="1">gnome*(TblMili[[#This Row],[Rockapult bonus]]*TblMili[[#This Row],[Unit 3]])</f>
        <v>0</v>
      </c>
      <c r="CV134" s="158">
        <f ca="1">1.8 * MIN(MAX(TblMili[[#This Row],[Spellblade]]+Races!$E$47,TblMili[[#This Row],[Adept-DP]]+Races!$F$47),6)  +  0.45 * MIN(MIN(TblMili[[#This Row],[Spellblade]]+Races!$E$47,TblMili[[#This Row],[Adept-DP]]+Races!$F$47),6)  +  0.2 * ( MAX(TblMili[[#This Row],[Spellblade]]+Races!$E$47-6,0) + MAX(TblMili[[#This Row],[Adept-DP]]+Races!$F$47-6,0) )  -  Races!$I$47</f>
        <v>0</v>
      </c>
      <c r="CW134" s="97">
        <f ca="1">dark_elf*(TblMili[[#This Row],[Adept bonus]]*TblMili[[#This Row],[Unit 3]])</f>
        <v>0</v>
      </c>
      <c r="CX134" s="158">
        <f ca="1">1.8 * MIN(MAX(TblMili[[#This Row],[Frost Mage]]+Races!$F$71,Races!$E$71),6)  +  0.45 * MIN(MIN(TblMili[[#This Row],[Frost Mage]]+Races!$F$71,Races!$E$71),6)  +  0.2 * ( MAX(TblMili[[#This Row],[Frost Mage]]+Races!$F$71-6,0) + MAX(Races!$E$71-6,0) )  -  Races!$I$71</f>
        <v>3.9599999999999991</v>
      </c>
      <c r="CY134" s="158">
        <f ca="1">1.8 * MIN(MAX(TblMili[[#This Row],[Ice Elemental]]+Races!$E$71,Races!$F$71),6)  +  0.45 * MIN(MIN(TblMili[[#This Row],[Ice Elemental]]+Races!$E$71,Races!$F$71),6)  +  0.2 * ( MAX(TblMili[[#This Row],[Ice Elemental]]+Races!$E$71-6,0) + MAX(Races!$F$71-6,0) )  -  Races!$I$71</f>
        <v>0.17999999999999972</v>
      </c>
      <c r="CZ134" s="97">
        <f ca="1">TblMili[[#This Row],[Frost Mage bonus]]*TblMili[[#This Row],[Unit 3]]+TblMili[[#This Row],[Ice Elemental bonus]]*TblMili[[#This Row],[Unit 4]]</f>
        <v>0</v>
      </c>
      <c r="DA134" s="268"/>
      <c r="DB134" s="146">
        <f ca="1">MIN(SUM(TblConstr[[#This Row],[Plain]:[Water]])/TblMili[[#This Row],[Land]]/favorable_terrain_bonus/100,favorable_terrain_max)</f>
        <v>0.1</v>
      </c>
      <c r="DC134" s="268"/>
      <c r="DD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4" s="145"/>
      <c r="DF134" s="269">
        <f ca="1">(TblMili[[#This Row],[Wizards]]+2*TblMili[[#This Row],[Archmages]])/TblConstr[[#This Row],[Land]]</f>
        <v>0.1</v>
      </c>
      <c r="DG134" s="269">
        <f ca="1">TblMili[[#This Row],[Raw (2)]]*(1+race_wizard_strength+IF(TblMili[[#This Row],[Hour]]&gt;72,tech_magical_weaponry_wiz*TblTech[[#This Row],[3-5]],0))</f>
        <v>0.1</v>
      </c>
    </row>
    <row r="135" spans="1:111"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45463.458333333016</v>
      </c>
      <c r="AG135" s="182"/>
      <c r="AH135" s="182"/>
      <c r="AI135" s="182"/>
      <c r="AJ135" s="182"/>
      <c r="AK135" s="182"/>
      <c r="AL135" s="182"/>
      <c r="AM135" s="182"/>
      <c r="AN135" s="182"/>
      <c r="AO135" s="449">
        <f ca="1">IF(AND(TblMagic[[#This Row],[Active DnD]]&lt;12,TblMagic[[#This Row],[Active DnD]]&gt;5),OFFSET(TblPop[[#This Row],[Draft Growth]],-1,0)/2,0)</f>
        <v>0</v>
      </c>
      <c r="AP135" s="145"/>
      <c r="AQ135" s="97">
        <f ca="1">TblProd[[#This Row],[Platinum]]</f>
        <v>839544</v>
      </c>
      <c r="AR135" s="97">
        <f ca="1">INDEX(TblProd[[#Headers],[Lumber]]:TblProd[[#This Row],[Ore]],COUNTA(TblProd[[#Headers],[Lumber]]:TblProd[[#This Row],[Lumber]]),MATCH(Military!$AQ$2,TblProd[[#Headers],[Lumber]:[Ore]],0))</f>
        <v>0</v>
      </c>
      <c r="AS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7">
        <f ca="1">TblMili[[#This Row],[Train Unit 1]]*TblMili[[#This Row],[OP Ore]]+TblMili[[#This Row],[Train Unit 2]]*TblMili[[#This Row],[DP Ore]]+TblMili[[#This Row],[Train Unit 3]]*TblMili[[#This Row],[E1 Ore]]+TblMili[[#This Row],[Train Unit 4]]*TblMili[[#This Row],[E2 Ore]]</f>
        <v>0</v>
      </c>
      <c r="AU135" s="145">
        <f>TblMili[[#This Row],[Hour]]</f>
        <v>132</v>
      </c>
      <c r="AV135" s="155">
        <f ca="1">TblMili[[#This Row],[Time]]</f>
        <v>45463.458333333016</v>
      </c>
      <c r="AW135" s="97">
        <f ca="1">TblMili[[#This Row],[Draftees]]</f>
        <v>626</v>
      </c>
      <c r="AX135" s="182"/>
      <c r="AY135" s="182"/>
      <c r="AZ135" s="182"/>
      <c r="BA135" s="182"/>
      <c r="BB135" s="182"/>
      <c r="BC135" s="182"/>
      <c r="BD135" s="182"/>
      <c r="BE135" s="182"/>
      <c r="BF135" s="182"/>
      <c r="BG135" s="145"/>
      <c r="BH135" s="160">
        <f ca="1">TblConstr[[#This Row],[Tot WG]]/TblConstr[[#This Row],[Land]]</f>
        <v>0</v>
      </c>
      <c r="BI135" s="160">
        <f ca="1">TblConstr[[#This Row],[Tot Hav]]/TblConstr[[#This Row],[Land]]</f>
        <v>0</v>
      </c>
      <c r="BJ135" s="97">
        <f ca="1">ROUNDUP((1-MIN(TblMili[[#This Row],[Smithies]]*smithy_bonus,smithy_bonus_cap) + tech_3_5*TblTech[[#This Row],[3-5]] + tech_5_3*TblTech[[#This Row],[5-3]] + tech_5_5*TblTech[[#This Row],[5-5]])*spec_op_plat,0)</f>
        <v>275</v>
      </c>
      <c r="BK135" s="97">
        <f ca="1">ROUNDUP(IF(race="Gnome",1,(1-MIN(TblMili[[#This Row],[Smithies]]*smithy_bonus,smithy_bonus_cap) + tech_3_5*TblTech[[#This Row],[3-5]] + tech_5_3*TblTech[[#This Row],[5-3]] + tech_5_5*TblTech[[#This Row],[5-5]]))*spec_op_ore,0)</f>
        <v>25</v>
      </c>
      <c r="BL135" s="97">
        <f ca="1">ROUNDUP((1-MIN(TblMili[[#This Row],[Smithies]]*smithy_bonus,smithy_bonus_cap) + tech_3_5*TblTech[[#This Row],[3-5]] + tech_5_3*TblTech[[#This Row],[5-3]] + tech_5_5*TblTech[[#This Row],[5-5]])*spec_dp_plat,0)</f>
        <v>275</v>
      </c>
      <c r="BM135" s="97">
        <f ca="1">ROUNDUP(IF(race="Gnome",1,(1-MIN(TblMili[[#This Row],[Smithies]]*smithy_bonus,smithy_bonus_cap) + tech_3_5*TblTech[[#This Row],[3-5]] + tech_5_3*TblTech[[#This Row],[5-3]] + tech_5_5*TblTech[[#This Row],[5-5]]))*spec_dp_ore,0)</f>
        <v>15</v>
      </c>
      <c r="BN135" s="97">
        <f ca="1">ROUNDUP((1-MIN(TblMili[[#This Row],[Smithies]]*smithy_bonus,smithy_bonus_cap) + tech_3_5*TblTech[[#This Row],[3-5]] + tech_5_3*TblTech[[#This Row],[5-3]] + tech_5_5*TblTech[[#This Row],[5-5]])*elite1_plat,0)</f>
        <v>1000</v>
      </c>
      <c r="BO135" s="97">
        <f ca="1">ROUNDUP(IF(race="Gnome",1,(1-MIN(TblMili[[#This Row],[Smithies]]*smithy_bonus,smithy_bonus_cap) + tech_3_5*TblTech[[#This Row],[3-5]] + tech_5_3*TblTech[[#This Row],[5-3]] + tech_5_5*TblTech[[#This Row],[5-5]]))*elite1_ore,0)</f>
        <v>75</v>
      </c>
      <c r="BP135" s="97">
        <f ca="1">ROUNDUP((1-MIN(TblMili[[#This Row],[Smithies]]*smithy_bonus,smithy_bonus_cap) + tech_3_5*TblTech[[#This Row],[3-5]] + tech_5_3*TblTech[[#This Row],[5-3]] + tech_5_5*TblTech[[#This Row],[5-5]])*elite2_plat,0)</f>
        <v>1250</v>
      </c>
      <c r="BQ135" s="97">
        <f ca="1">ROUNDUP(IF(race="Gnome",1,(1-MIN(TblMili[[#This Row],[Smithies]]*smithy_bonus,smithy_bonus_cap) + tech_3_5*TblTech[[#This Row],[3-5]] + tech_5_3*TblTech[[#This Row],[5-3]] + tech_5_5*TblTech[[#This Row],[5-5]]))*elite2_ore,0)</f>
        <v>100</v>
      </c>
      <c r="BR135" s="97">
        <f ca="1">ROUNDUP((1-MIN(ROUND(fh_spy_cost_red*TblMili[[#This Row],[FH''s]],4),fh_spy_cost_cap)+ tech_1_9*TblTech[[#This Row],[1-9]] + tech_9_1*TblTech[[#This Row],[9-1]])*spy_plat,0)</f>
        <v>500</v>
      </c>
      <c r="BS135" s="97">
        <f ca="1">ROUNDUP((1-MIN(ROUND(fh_spy_cost_red*TblMili[[#This Row],[FH''s]],4),fh_spy_cost_cap)+ tech_1_9*TblTech[[#This Row],[1-9]] + tech_9_1*TblTech[[#This Row],[9-1]])*archspy_plat,0)</f>
        <v>1000</v>
      </c>
      <c r="BT135" s="97">
        <f ca="1">ROUNDUP((1-MIN(ROUND(wg_wiz_cost_bonus*TblMili[[#This Row],[WG''s]],4),wg_wiz_cost_cap) + tech_1_9_2*TblTech[[#This Row],[1-9]] + tech_9_1_2*TblTech[[#This Row],[9-1]])*wizard_plat,0)</f>
        <v>500</v>
      </c>
      <c r="BU135" s="97">
        <f ca="1">ROUNDUP((1-MIN(ROUND(wg_wiz_cost_bonus*TblMili[[#This Row],[WG''s]],4),wg_wiz_cost_cap) + tech_1_9_2*TblTech[[#This Row],[1-9]] + tech_9_1_2*TblTech[[#This Row],[9-1]])*archmage_plat,0)</f>
        <v>1000</v>
      </c>
      <c r="BV135" s="145"/>
      <c r="BW135" s="160">
        <f ca="1">TblConstr[[#This Row],[Homeland]]/TblConstr[[#This Row],[Land]]</f>
        <v>0.44</v>
      </c>
      <c r="BX135" s="160">
        <f ca="1">TblMili[[#This Row],[WG''s]]</f>
        <v>0</v>
      </c>
      <c r="BY135" s="266">
        <f ca="1">IF(mystic_cap="none",TblMili[[#This Row],[Hill]]/mystic_bonus,MIN(mystic_cap,TblMili[[#This Row],[Hill]]/mystic_bonus))</f>
        <v>2.1999999999999997</v>
      </c>
      <c r="BZ135" s="266">
        <f ca="1">IF(druid_op_cap="none",TblMili[[#This Row],[Hill]]/druid_op_bonus,MIN(druid_op_cap,TblMili[[#This Row],[Hill]]/druid_op_bonus))</f>
        <v>2.1999999999999997</v>
      </c>
      <c r="CA135" s="266">
        <f ca="1">IF(druid_dp_cap="none",TblMili[[#This Row],[Hill]]/druid_dp_bonus,MIN(druid_dp_cap,TblMili[[#This Row],[Hill]]/druid_dp_bonus))</f>
        <v>2.1999999999999997</v>
      </c>
      <c r="CB135" s="266">
        <f ca="1">MIN(dryad_cap,TblMili[[#This Row],[Hill]]/dryad_bonus)</f>
        <v>2.1999999999999997</v>
      </c>
      <c r="CC135" s="266">
        <f ca="1">MIN(rocka_cap,TblMili[[#This Row],[Hill]]/rocka_bonus)</f>
        <v>2</v>
      </c>
      <c r="CD135" s="266">
        <f ca="1">MIN(adept_op_cap,TblMili[[#This Row],[WG]]/adept_op_bonus)</f>
        <v>0</v>
      </c>
      <c r="CE135" s="266">
        <f ca="1">MIN(adept_dp_cap,TblMili[[#This Row],[WG]]/adept_dp_bonus)</f>
        <v>0</v>
      </c>
      <c r="CF135" s="97">
        <f ca="1">MIN(TblMili[[#This Row],[Unit 3]],TblMili[[#This Row],[Unit 2]])*2</f>
        <v>0</v>
      </c>
      <c r="CG135" s="97">
        <f ca="1">MIN(TblMili[[#This Row],[Unit 1]],TblMili[[#This Row],[Unit 4]])*2</f>
        <v>0</v>
      </c>
      <c r="CH135" s="266">
        <f ca="1">MIN(frost_mage_cap,TblMili[[#This Row],[Hill]]/frost_mage_bonus)</f>
        <v>2.1999999999999997</v>
      </c>
      <c r="CI135" s="45">
        <f ca="1">MIN(ice_elem_cap,TblMili[[#This Row],[Raw (2)]]*ice_elem_bonus)</f>
        <v>0.1</v>
      </c>
      <c r="CJ135" s="266">
        <f t="shared" si="4"/>
        <v>0.83333333333333337</v>
      </c>
      <c r="CK135" s="266">
        <f ca="1">MIN(nox_nightshade_cap,TblConstr[[#This Row],[Homeland]]/TblConstr[[#This Row],[Land]]/nox_nightshade_swamp_bonus)</f>
        <v>4</v>
      </c>
      <c r="CL135" s="267"/>
      <c r="CM135" s="267"/>
      <c r="CN135" s="267"/>
      <c r="CO135" s="266">
        <f ca="1">MIN(6,TblMili[[#This Row],[Mystic]]+Races!$F$19)*1.8 +  IF(TblMili[[#This Row],[Mystic]]+Races!$F$19&gt;6,(TblMili[[#This Row],[Mystic]]+Races!$F$19-6)*0.2,0) - Races!$I$19</f>
        <v>3.6399999999999997</v>
      </c>
      <c r="CP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5" s="97">
        <f ca="1">TblMili[[#This Row],[Mystic bonus]]*TblMili[[#This Row],[Unit 3]]+TblMili[[#This Row],[Druid bonus]]*TblMili[[#This Row],[Unit 4]]</f>
        <v>0</v>
      </c>
      <c r="CR135" s="158">
        <f ca="1">MIN(6,TblMili[[#This Row],[Dryad]]+Races!$F$35)*1.8 +  IF(TblMili[[#This Row],[Dryad]]+Races!$F$35&gt;6,(TblMili[[#This Row],[Dryad]]+Races!$F$35-6)*0.2,0) - Races!$I$19</f>
        <v>2.1599999999999993</v>
      </c>
      <c r="CS135" s="97">
        <f ca="1">sylvan*(TblMili[[#This Row],[Mystic bonus]]*TblMili[[#This Row],[Unit 3]])</f>
        <v>0</v>
      </c>
      <c r="CT135" s="158">
        <f ca="1">1.8 * MIN(MAX(Races!$E$27,TblMili[[#This Row],[Rockapult]]+Races!$F$27),6)  +  0.45 * MIN(MIN(Races!$E$27,TblMili[[#This Row],[Rockapult]]+Races!$F$27),6)  +  0.2 * ( MAX(Races!$E$27-6,0) + MAX(TblMili[[#This Row],[Rockapult]]+Races!$F$27-6,0) )  -  Races!$I$20</f>
        <v>5.8500000000000005</v>
      </c>
      <c r="CU135" s="97">
        <f ca="1">gnome*(TblMili[[#This Row],[Rockapult bonus]]*TblMili[[#This Row],[Unit 3]])</f>
        <v>0</v>
      </c>
      <c r="CV135" s="158">
        <f ca="1">1.8 * MIN(MAX(TblMili[[#This Row],[Spellblade]]+Races!$E$47,TblMili[[#This Row],[Adept-DP]]+Races!$F$47),6)  +  0.45 * MIN(MIN(TblMili[[#This Row],[Spellblade]]+Races!$E$47,TblMili[[#This Row],[Adept-DP]]+Races!$F$47),6)  +  0.2 * ( MAX(TblMili[[#This Row],[Spellblade]]+Races!$E$47-6,0) + MAX(TblMili[[#This Row],[Adept-DP]]+Races!$F$47-6,0) )  -  Races!$I$47</f>
        <v>0</v>
      </c>
      <c r="CW135" s="97">
        <f ca="1">dark_elf*(TblMili[[#This Row],[Adept bonus]]*TblMili[[#This Row],[Unit 3]])</f>
        <v>0</v>
      </c>
      <c r="CX135" s="158">
        <f ca="1">1.8 * MIN(MAX(TblMili[[#This Row],[Frost Mage]]+Races!$F$71,Races!$E$71),6)  +  0.45 * MIN(MIN(TblMili[[#This Row],[Frost Mage]]+Races!$F$71,Races!$E$71),6)  +  0.2 * ( MAX(TblMili[[#This Row],[Frost Mage]]+Races!$F$71-6,0) + MAX(Races!$E$71-6,0) )  -  Races!$I$71</f>
        <v>3.9599999999999991</v>
      </c>
      <c r="CY135" s="158">
        <f ca="1">1.8 * MIN(MAX(TblMili[[#This Row],[Ice Elemental]]+Races!$E$71,Races!$F$71),6)  +  0.45 * MIN(MIN(TblMili[[#This Row],[Ice Elemental]]+Races!$E$71,Races!$F$71),6)  +  0.2 * ( MAX(TblMili[[#This Row],[Ice Elemental]]+Races!$E$71-6,0) + MAX(Races!$F$71-6,0) )  -  Races!$I$71</f>
        <v>0.17999999999999972</v>
      </c>
      <c r="CZ135" s="97">
        <f ca="1">TblMili[[#This Row],[Frost Mage bonus]]*TblMili[[#This Row],[Unit 3]]+TblMili[[#This Row],[Ice Elemental bonus]]*TblMili[[#This Row],[Unit 4]]</f>
        <v>0</v>
      </c>
      <c r="DA135" s="268"/>
      <c r="DB135" s="146">
        <f ca="1">MIN(SUM(TblConstr[[#This Row],[Plain]:[Water]])/TblMili[[#This Row],[Land]]/favorable_terrain_bonus/100,favorable_terrain_max)</f>
        <v>0.1</v>
      </c>
      <c r="DC135" s="268"/>
      <c r="DD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5" s="145"/>
      <c r="DF135" s="269">
        <f ca="1">(TblMili[[#This Row],[Wizards]]+2*TblMili[[#This Row],[Archmages]])/TblConstr[[#This Row],[Land]]</f>
        <v>0.1</v>
      </c>
      <c r="DG135" s="269">
        <f ca="1">TblMili[[#This Row],[Raw (2)]]*(1+race_wizard_strength+IF(TblMili[[#This Row],[Hour]]&gt;72,tech_magical_weaponry_wiz*TblTech[[#This Row],[3-5]],0))</f>
        <v>0.1</v>
      </c>
    </row>
    <row r="136" spans="1:111"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45463.49999999968</v>
      </c>
      <c r="AG136" s="182"/>
      <c r="AH136" s="161"/>
      <c r="AI136" s="182"/>
      <c r="AJ136" s="161"/>
      <c r="AK136" s="161"/>
      <c r="AL136" s="161"/>
      <c r="AM136" s="161"/>
      <c r="AN136" s="182"/>
      <c r="AO136" s="449">
        <f ca="1">IF(AND(TblMagic[[#This Row],[Active DnD]]&lt;12,TblMagic[[#This Row],[Active DnD]]&gt;5),OFFSET(TblPop[[#This Row],[Draft Growth]],-1,0)/2,0)</f>
        <v>0</v>
      </c>
      <c r="AP136" s="145"/>
      <c r="AQ136" s="97">
        <f ca="1">TblProd[[#This Row],[Platinum]]</f>
        <v>845030</v>
      </c>
      <c r="AR136" s="97">
        <f ca="1">INDEX(TblProd[[#Headers],[Lumber]]:TblProd[[#This Row],[Ore]],COUNTA(TblProd[[#Headers],[Lumber]]:TblProd[[#This Row],[Lumber]]),MATCH(Military!$AQ$2,TblProd[[#Headers],[Lumber]:[Ore]],0))</f>
        <v>0</v>
      </c>
      <c r="AS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7">
        <f ca="1">TblMili[[#This Row],[Train Unit 1]]*TblMili[[#This Row],[OP Ore]]+TblMili[[#This Row],[Train Unit 2]]*TblMili[[#This Row],[DP Ore]]+TblMili[[#This Row],[Train Unit 3]]*TblMili[[#This Row],[E1 Ore]]+TblMili[[#This Row],[Train Unit 4]]*TblMili[[#This Row],[E2 Ore]]</f>
        <v>0</v>
      </c>
      <c r="AU136" s="145">
        <f>TblMili[[#This Row],[Hour]]</f>
        <v>133</v>
      </c>
      <c r="AV136" s="155">
        <f ca="1">TblMili[[#This Row],[Time]]</f>
        <v>45463.49999999968</v>
      </c>
      <c r="AW136" s="97">
        <f ca="1">TblMili[[#This Row],[Draftees]]</f>
        <v>626</v>
      </c>
      <c r="AX136" s="182"/>
      <c r="AY136" s="182"/>
      <c r="AZ136" s="182"/>
      <c r="BA136" s="182"/>
      <c r="BB136" s="182"/>
      <c r="BC136" s="182"/>
      <c r="BD136" s="182"/>
      <c r="BE136" s="182"/>
      <c r="BF136" s="182"/>
      <c r="BG136" s="145"/>
      <c r="BH136" s="160">
        <f ca="1">TblConstr[[#This Row],[Tot WG]]/TblConstr[[#This Row],[Land]]</f>
        <v>0</v>
      </c>
      <c r="BI136" s="160">
        <f ca="1">TblConstr[[#This Row],[Tot Hav]]/TblConstr[[#This Row],[Land]]</f>
        <v>0</v>
      </c>
      <c r="BJ136" s="97">
        <f ca="1">ROUNDUP((1-MIN(TblMili[[#This Row],[Smithies]]*smithy_bonus,smithy_bonus_cap) + tech_3_5*TblTech[[#This Row],[3-5]] + tech_5_3*TblTech[[#This Row],[5-3]] + tech_5_5*TblTech[[#This Row],[5-5]])*spec_op_plat,0)</f>
        <v>275</v>
      </c>
      <c r="BK136" s="97">
        <f ca="1">ROUNDUP(IF(race="Gnome",1,(1-MIN(TblMili[[#This Row],[Smithies]]*smithy_bonus,smithy_bonus_cap) + tech_3_5*TblTech[[#This Row],[3-5]] + tech_5_3*TblTech[[#This Row],[5-3]] + tech_5_5*TblTech[[#This Row],[5-5]]))*spec_op_ore,0)</f>
        <v>25</v>
      </c>
      <c r="BL136" s="97">
        <f ca="1">ROUNDUP((1-MIN(TblMili[[#This Row],[Smithies]]*smithy_bonus,smithy_bonus_cap) + tech_3_5*TblTech[[#This Row],[3-5]] + tech_5_3*TblTech[[#This Row],[5-3]] + tech_5_5*TblTech[[#This Row],[5-5]])*spec_dp_plat,0)</f>
        <v>275</v>
      </c>
      <c r="BM136" s="97">
        <f ca="1">ROUNDUP(IF(race="Gnome",1,(1-MIN(TblMili[[#This Row],[Smithies]]*smithy_bonus,smithy_bonus_cap) + tech_3_5*TblTech[[#This Row],[3-5]] + tech_5_3*TblTech[[#This Row],[5-3]] + tech_5_5*TblTech[[#This Row],[5-5]]))*spec_dp_ore,0)</f>
        <v>15</v>
      </c>
      <c r="BN136" s="97">
        <f ca="1">ROUNDUP((1-MIN(TblMili[[#This Row],[Smithies]]*smithy_bonus,smithy_bonus_cap) + tech_3_5*TblTech[[#This Row],[3-5]] + tech_5_3*TblTech[[#This Row],[5-3]] + tech_5_5*TblTech[[#This Row],[5-5]])*elite1_plat,0)</f>
        <v>1000</v>
      </c>
      <c r="BO136" s="97">
        <f ca="1">ROUNDUP(IF(race="Gnome",1,(1-MIN(TblMili[[#This Row],[Smithies]]*smithy_bonus,smithy_bonus_cap) + tech_3_5*TblTech[[#This Row],[3-5]] + tech_5_3*TblTech[[#This Row],[5-3]] + tech_5_5*TblTech[[#This Row],[5-5]]))*elite1_ore,0)</f>
        <v>75</v>
      </c>
      <c r="BP136" s="97">
        <f ca="1">ROUNDUP((1-MIN(TblMili[[#This Row],[Smithies]]*smithy_bonus,smithy_bonus_cap) + tech_3_5*TblTech[[#This Row],[3-5]] + tech_5_3*TblTech[[#This Row],[5-3]] + tech_5_5*TblTech[[#This Row],[5-5]])*elite2_plat,0)</f>
        <v>1250</v>
      </c>
      <c r="BQ136" s="97">
        <f ca="1">ROUNDUP(IF(race="Gnome",1,(1-MIN(TblMili[[#This Row],[Smithies]]*smithy_bonus,smithy_bonus_cap) + tech_3_5*TblTech[[#This Row],[3-5]] + tech_5_3*TblTech[[#This Row],[5-3]] + tech_5_5*TblTech[[#This Row],[5-5]]))*elite2_ore,0)</f>
        <v>100</v>
      </c>
      <c r="BR136" s="97">
        <f ca="1">ROUNDUP((1-MIN(ROUND(fh_spy_cost_red*TblMili[[#This Row],[FH''s]],4),fh_spy_cost_cap)+ tech_1_9*TblTech[[#This Row],[1-9]] + tech_9_1*TblTech[[#This Row],[9-1]])*spy_plat,0)</f>
        <v>500</v>
      </c>
      <c r="BS136" s="97">
        <f ca="1">ROUNDUP((1-MIN(ROUND(fh_spy_cost_red*TblMili[[#This Row],[FH''s]],4),fh_spy_cost_cap)+ tech_1_9*TblTech[[#This Row],[1-9]] + tech_9_1*TblTech[[#This Row],[9-1]])*archspy_plat,0)</f>
        <v>1000</v>
      </c>
      <c r="BT136" s="97">
        <f ca="1">ROUNDUP((1-MIN(ROUND(wg_wiz_cost_bonus*TblMili[[#This Row],[WG''s]],4),wg_wiz_cost_cap) + tech_1_9_2*TblTech[[#This Row],[1-9]] + tech_9_1_2*TblTech[[#This Row],[9-1]])*wizard_plat,0)</f>
        <v>500</v>
      </c>
      <c r="BU136" s="97">
        <f ca="1">ROUNDUP((1-MIN(ROUND(wg_wiz_cost_bonus*TblMili[[#This Row],[WG''s]],4),wg_wiz_cost_cap) + tech_1_9_2*TblTech[[#This Row],[1-9]] + tech_9_1_2*TblTech[[#This Row],[9-1]])*archmage_plat,0)</f>
        <v>1000</v>
      </c>
      <c r="BV136" s="145"/>
      <c r="BW136" s="160">
        <f ca="1">TblConstr[[#This Row],[Homeland]]/TblConstr[[#This Row],[Land]]</f>
        <v>0.44</v>
      </c>
      <c r="BX136" s="160">
        <f ca="1">TblMili[[#This Row],[WG''s]]</f>
        <v>0</v>
      </c>
      <c r="BY136" s="266">
        <f ca="1">IF(mystic_cap="none",TblMili[[#This Row],[Hill]]/mystic_bonus,MIN(mystic_cap,TblMili[[#This Row],[Hill]]/mystic_bonus))</f>
        <v>2.1999999999999997</v>
      </c>
      <c r="BZ136" s="266">
        <f ca="1">IF(druid_op_cap="none",TblMili[[#This Row],[Hill]]/druid_op_bonus,MIN(druid_op_cap,TblMili[[#This Row],[Hill]]/druid_op_bonus))</f>
        <v>2.1999999999999997</v>
      </c>
      <c r="CA136" s="266">
        <f ca="1">IF(druid_dp_cap="none",TblMili[[#This Row],[Hill]]/druid_dp_bonus,MIN(druid_dp_cap,TblMili[[#This Row],[Hill]]/druid_dp_bonus))</f>
        <v>2.1999999999999997</v>
      </c>
      <c r="CB136" s="266">
        <f ca="1">MIN(dryad_cap,TblMili[[#This Row],[Hill]]/dryad_bonus)</f>
        <v>2.1999999999999997</v>
      </c>
      <c r="CC136" s="266">
        <f ca="1">MIN(rocka_cap,TblMili[[#This Row],[Hill]]/rocka_bonus)</f>
        <v>2</v>
      </c>
      <c r="CD136" s="266">
        <f ca="1">MIN(adept_op_cap,TblMili[[#This Row],[WG]]/adept_op_bonus)</f>
        <v>0</v>
      </c>
      <c r="CE136" s="266">
        <f ca="1">MIN(adept_dp_cap,TblMili[[#This Row],[WG]]/adept_dp_bonus)</f>
        <v>0</v>
      </c>
      <c r="CF136" s="97">
        <f ca="1">MIN(TblMili[[#This Row],[Unit 3]],TblMili[[#This Row],[Unit 2]])*2</f>
        <v>0</v>
      </c>
      <c r="CG136" s="97">
        <f ca="1">MIN(TblMili[[#This Row],[Unit 1]],TblMili[[#This Row],[Unit 4]])*2</f>
        <v>0</v>
      </c>
      <c r="CH136" s="266">
        <f ca="1">MIN(frost_mage_cap,TblMili[[#This Row],[Hill]]/frost_mage_bonus)</f>
        <v>2.1999999999999997</v>
      </c>
      <c r="CI136" s="45">
        <f ca="1">MIN(ice_elem_cap,TblMili[[#This Row],[Raw (2)]]*ice_elem_bonus)</f>
        <v>0.1</v>
      </c>
      <c r="CJ136" s="266">
        <f t="shared" si="4"/>
        <v>0.83333333333333337</v>
      </c>
      <c r="CK136" s="266">
        <f ca="1">MIN(nox_nightshade_cap,TblConstr[[#This Row],[Homeland]]/TblConstr[[#This Row],[Land]]/nox_nightshade_swamp_bonus)</f>
        <v>4</v>
      </c>
      <c r="CL136" s="267"/>
      <c r="CM136" s="267"/>
      <c r="CN136" s="267"/>
      <c r="CO136" s="266">
        <f ca="1">MIN(6,TblMili[[#This Row],[Mystic]]+Races!$F$19)*1.8 +  IF(TblMili[[#This Row],[Mystic]]+Races!$F$19&gt;6,(TblMili[[#This Row],[Mystic]]+Races!$F$19-6)*0.2,0) - Races!$I$19</f>
        <v>3.6399999999999997</v>
      </c>
      <c r="CP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6" s="97">
        <f ca="1">TblMili[[#This Row],[Mystic bonus]]*TblMili[[#This Row],[Unit 3]]+TblMili[[#This Row],[Druid bonus]]*TblMili[[#This Row],[Unit 4]]</f>
        <v>0</v>
      </c>
      <c r="CR136" s="158">
        <f ca="1">MIN(6,TblMili[[#This Row],[Dryad]]+Races!$F$35)*1.8 +  IF(TblMili[[#This Row],[Dryad]]+Races!$F$35&gt;6,(TblMili[[#This Row],[Dryad]]+Races!$F$35-6)*0.2,0) - Races!$I$19</f>
        <v>2.1599999999999993</v>
      </c>
      <c r="CS136" s="97">
        <f ca="1">sylvan*(TblMili[[#This Row],[Mystic bonus]]*TblMili[[#This Row],[Unit 3]])</f>
        <v>0</v>
      </c>
      <c r="CT136" s="158">
        <f ca="1">1.8 * MIN(MAX(Races!$E$27,TblMili[[#This Row],[Rockapult]]+Races!$F$27),6)  +  0.45 * MIN(MIN(Races!$E$27,TblMili[[#This Row],[Rockapult]]+Races!$F$27),6)  +  0.2 * ( MAX(Races!$E$27-6,0) + MAX(TblMili[[#This Row],[Rockapult]]+Races!$F$27-6,0) )  -  Races!$I$20</f>
        <v>5.8500000000000005</v>
      </c>
      <c r="CU136" s="97">
        <f ca="1">gnome*(TblMili[[#This Row],[Rockapult bonus]]*TblMili[[#This Row],[Unit 3]])</f>
        <v>0</v>
      </c>
      <c r="CV136" s="158">
        <f ca="1">1.8 * MIN(MAX(TblMili[[#This Row],[Spellblade]]+Races!$E$47,TblMili[[#This Row],[Adept-DP]]+Races!$F$47),6)  +  0.45 * MIN(MIN(TblMili[[#This Row],[Spellblade]]+Races!$E$47,TblMili[[#This Row],[Adept-DP]]+Races!$F$47),6)  +  0.2 * ( MAX(TblMili[[#This Row],[Spellblade]]+Races!$E$47-6,0) + MAX(TblMili[[#This Row],[Adept-DP]]+Races!$F$47-6,0) )  -  Races!$I$47</f>
        <v>0</v>
      </c>
      <c r="CW136" s="97">
        <f ca="1">dark_elf*(TblMili[[#This Row],[Adept bonus]]*TblMili[[#This Row],[Unit 3]])</f>
        <v>0</v>
      </c>
      <c r="CX136" s="158">
        <f ca="1">1.8 * MIN(MAX(TblMili[[#This Row],[Frost Mage]]+Races!$F$71,Races!$E$71),6)  +  0.45 * MIN(MIN(TblMili[[#This Row],[Frost Mage]]+Races!$F$71,Races!$E$71),6)  +  0.2 * ( MAX(TblMili[[#This Row],[Frost Mage]]+Races!$F$71-6,0) + MAX(Races!$E$71-6,0) )  -  Races!$I$71</f>
        <v>3.9599999999999991</v>
      </c>
      <c r="CY136" s="158">
        <f ca="1">1.8 * MIN(MAX(TblMili[[#This Row],[Ice Elemental]]+Races!$E$71,Races!$F$71),6)  +  0.45 * MIN(MIN(TblMili[[#This Row],[Ice Elemental]]+Races!$E$71,Races!$F$71),6)  +  0.2 * ( MAX(TblMili[[#This Row],[Ice Elemental]]+Races!$E$71-6,0) + MAX(Races!$F$71-6,0) )  -  Races!$I$71</f>
        <v>0.17999999999999972</v>
      </c>
      <c r="CZ136" s="97">
        <f ca="1">TblMili[[#This Row],[Frost Mage bonus]]*TblMili[[#This Row],[Unit 3]]+TblMili[[#This Row],[Ice Elemental bonus]]*TblMili[[#This Row],[Unit 4]]</f>
        <v>0</v>
      </c>
      <c r="DA136" s="268"/>
      <c r="DB136" s="146">
        <f ca="1">MIN(SUM(TblConstr[[#This Row],[Plain]:[Water]])/TblMili[[#This Row],[Land]]/favorable_terrain_bonus/100,favorable_terrain_max)</f>
        <v>0.1</v>
      </c>
      <c r="DC136" s="268"/>
      <c r="DD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6" s="145"/>
      <c r="DF136" s="269">
        <f ca="1">(TblMili[[#This Row],[Wizards]]+2*TblMili[[#This Row],[Archmages]])/TblConstr[[#This Row],[Land]]</f>
        <v>0.1</v>
      </c>
      <c r="DG136" s="269">
        <f ca="1">TblMili[[#This Row],[Raw (2)]]*(1+race_wizard_strength+IF(TblMili[[#This Row],[Hour]]&gt;72,tech_magical_weaponry_wiz*TblTech[[#This Row],[3-5]],0))</f>
        <v>0.1</v>
      </c>
    </row>
    <row r="137" spans="1:111" x14ac:dyDescent="0.2">
      <c r="AJ137" s="45">
        <v>100</v>
      </c>
    </row>
    <row r="139" spans="1:111" x14ac:dyDescent="0.2">
      <c r="AF139" s="45">
        <f ca="1">SUM(E136:L136)</f>
        <v>200</v>
      </c>
    </row>
    <row r="1269" spans="2:3" x14ac:dyDescent="0.2">
      <c r="B1269" s="499" t="s">
        <v>315</v>
      </c>
      <c r="C1269" s="499"/>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92" priority="37" stopIfTrue="1">
      <formula>ROW()-2=#REF!</formula>
    </cfRule>
  </conditionalFormatting>
  <conditionalFormatting sqref="A1269:DF1270">
    <cfRule type="expression" dxfId="391" priority="38" stopIfTrue="1">
      <formula>$B$1270&gt;144</formula>
    </cfRule>
  </conditionalFormatting>
  <conditionalFormatting sqref="A4:DG136">
    <cfRule type="expression" dxfId="390" priority="1" stopIfTrue="1">
      <formula>ROW()-3=$B$1270</formula>
    </cfRule>
    <cfRule type="expression" dxfId="389" priority="2" stopIfTrue="1">
      <formula>OR(ROW()-3=$B$1270,A4&lt;0)</formula>
    </cfRule>
    <cfRule type="expression" dxfId="388" priority="35">
      <formula>$A4=73</formula>
    </cfRule>
  </conditionalFormatting>
  <conditionalFormatting sqref="A3:DG136">
    <cfRule type="expression" dxfId="387" priority="39">
      <formula>ROUND(($A3-1)/12,0)=INT($A3-1)/12</formula>
    </cfRule>
  </conditionalFormatting>
  <conditionalFormatting sqref="A1:XFD3">
    <cfRule type="expression" dxfId="386"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41" width="9.140625" style="45" customWidth="1"/>
    <col min="42" max="16384" width="9.140625" style="45"/>
  </cols>
  <sheetData>
    <row r="1" spans="1:41" s="28" customFormat="1" x14ac:dyDescent="0.2">
      <c r="O1" s="506" t="s">
        <v>1085</v>
      </c>
      <c r="U1" s="257"/>
      <c r="X1" s="28" t="s">
        <v>33</v>
      </c>
      <c r="AA1" s="28" t="s">
        <v>206</v>
      </c>
      <c r="AF1" s="28" t="s">
        <v>91</v>
      </c>
      <c r="AG1" s="28" t="s">
        <v>94</v>
      </c>
      <c r="AH1" s="28" t="s">
        <v>100</v>
      </c>
      <c r="AI1" s="28" t="s">
        <v>361</v>
      </c>
      <c r="AJ1" s="28" t="s">
        <v>92</v>
      </c>
      <c r="AK1" s="28" t="s">
        <v>103</v>
      </c>
      <c r="AL1" s="28" t="s">
        <v>329</v>
      </c>
      <c r="AM1" s="28" t="s">
        <v>343</v>
      </c>
      <c r="AN1" s="28" t="s">
        <v>499</v>
      </c>
    </row>
    <row r="2" spans="1:41" s="28" customFormat="1" x14ac:dyDescent="0.2">
      <c r="G2" s="28" t="s">
        <v>196</v>
      </c>
      <c r="L2" s="257" t="s">
        <v>536</v>
      </c>
      <c r="M2" s="284" t="s">
        <v>94</v>
      </c>
      <c r="N2" s="257" t="s">
        <v>100</v>
      </c>
      <c r="O2" s="506"/>
      <c r="P2" s="257" t="s">
        <v>92</v>
      </c>
      <c r="Q2" s="257" t="s">
        <v>103</v>
      </c>
      <c r="R2" s="257" t="s">
        <v>329</v>
      </c>
      <c r="S2" s="257" t="s">
        <v>343</v>
      </c>
      <c r="T2" s="257" t="s">
        <v>499</v>
      </c>
      <c r="U2" s="257" t="s">
        <v>90</v>
      </c>
      <c r="V2" s="257" t="s">
        <v>501</v>
      </c>
    </row>
    <row r="3" spans="1:41" s="286" customFormat="1" ht="29.25" customHeight="1" thickBot="1" x14ac:dyDescent="0.25">
      <c r="A3" s="138" t="s">
        <v>0</v>
      </c>
      <c r="B3" s="138" t="s">
        <v>1</v>
      </c>
      <c r="C3" s="138" t="s">
        <v>12</v>
      </c>
      <c r="D3" s="138" t="s">
        <v>195</v>
      </c>
      <c r="E3" s="138" t="s">
        <v>310</v>
      </c>
      <c r="F3" s="138" t="s">
        <v>324</v>
      </c>
      <c r="G3" s="138" t="s">
        <v>197</v>
      </c>
      <c r="H3" s="138" t="s">
        <v>198</v>
      </c>
      <c r="I3" s="138" t="s">
        <v>199</v>
      </c>
      <c r="J3" s="138" t="s">
        <v>200</v>
      </c>
      <c r="K3" s="431" t="s">
        <v>201</v>
      </c>
      <c r="L3" s="138" t="s">
        <v>263</v>
      </c>
      <c r="M3" s="285" t="s">
        <v>528</v>
      </c>
      <c r="N3" s="138" t="s">
        <v>1125</v>
      </c>
      <c r="O3" s="138" t="s">
        <v>1086</v>
      </c>
      <c r="P3" s="138" t="s">
        <v>298</v>
      </c>
      <c r="Q3" s="138" t="s">
        <v>335</v>
      </c>
      <c r="R3" s="138" t="s">
        <v>1087</v>
      </c>
      <c r="S3" s="138" t="s">
        <v>341</v>
      </c>
      <c r="T3" s="138" t="s">
        <v>425</v>
      </c>
      <c r="U3" s="138" t="s">
        <v>1080</v>
      </c>
      <c r="V3" s="138" t="s">
        <v>502</v>
      </c>
      <c r="W3" s="138" t="s">
        <v>773</v>
      </c>
      <c r="X3" s="138" t="s">
        <v>921</v>
      </c>
      <c r="Y3" s="138" t="s">
        <v>922</v>
      </c>
      <c r="Z3" s="138" t="s">
        <v>774</v>
      </c>
      <c r="AA3" s="138" t="s">
        <v>923</v>
      </c>
      <c r="AB3" s="138" t="s">
        <v>924</v>
      </c>
      <c r="AC3" s="138" t="s">
        <v>925</v>
      </c>
      <c r="AD3" s="138" t="s">
        <v>926</v>
      </c>
      <c r="AE3" s="138" t="s">
        <v>927</v>
      </c>
      <c r="AF3" s="138" t="s">
        <v>930</v>
      </c>
      <c r="AG3" s="138" t="s">
        <v>931</v>
      </c>
      <c r="AH3" s="138" t="s">
        <v>1126</v>
      </c>
      <c r="AI3" s="138" t="s">
        <v>928</v>
      </c>
      <c r="AJ3" s="138" t="s">
        <v>932</v>
      </c>
      <c r="AK3" s="138" t="s">
        <v>933</v>
      </c>
      <c r="AL3" s="138" t="s">
        <v>1096</v>
      </c>
      <c r="AM3" s="138" t="s">
        <v>934</v>
      </c>
      <c r="AN3" s="138" t="s">
        <v>929</v>
      </c>
      <c r="AO3" s="439" t="s">
        <v>1081</v>
      </c>
    </row>
    <row r="4" spans="1:41" x14ac:dyDescent="0.2">
      <c r="A4" s="140">
        <f>TblRezone[[#This Row],[Hour]]</f>
        <v>1</v>
      </c>
      <c r="B4" s="157">
        <f ca="1">TblConstr[[#This Row],[Land]]</f>
        <v>250</v>
      </c>
      <c r="C4" s="97">
        <f ca="1">TblProd[[#This Row],[Mana]]</f>
        <v>0</v>
      </c>
      <c r="D4" s="424">
        <f>1-TblMagic[[#This Row],[Wiz str cost]]</f>
        <v>1</v>
      </c>
      <c r="E4" s="162">
        <f>Imps!L4</f>
        <v>45458</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Row],[Death and Decay]]*12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45458.041666666664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Row],[Death and Decay]],12,IF(OFFSET(TblMagic[[#This Row],[Active DnD]],-1,0)&gt;0,OFFSET(TblMagic[[#This Row],[Active DnD]],-1,0)-1,0))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45458.083333333328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Row],[Death and Decay]],12,IF(OFFSET(TblMagic[[#This Row],[Active DnD]],-1,0)&gt;0,OFFSET(TblMagic[[#This Row],[Active DnD]],-1,0)-1,0))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45458.124999999993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Row],[Death and Decay]],12,IF(OFFSET(TblMagic[[#This Row],[Active DnD]],-1,0)&gt;0,OFFSET(TblMagic[[#This Row],[Active DnD]],-1,0)-1,0))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45458.166666666657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Row],[Death and Decay]],12,IF(OFFSET(TblMagic[[#This Row],[Active DnD]],-1,0)&gt;0,OFFSET(TblMagic[[#This Row],[Active DnD]],-1,0)-1,0))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45458.208333333321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Row],[Death and Decay]],12,IF(OFFSET(TblMagic[[#This Row],[Active DnD]],-1,0)&gt;0,OFFSET(TblMagic[[#This Row],[Active DnD]],-1,0)-1,0))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45458.249999999985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Row],[Death and Decay]],12,IF(OFFSET(TblMagic[[#This Row],[Active DnD]],-1,0)&gt;0,OFFSET(TblMagic[[#This Row],[Active DnD]],-1,0)-1,0))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45458.29166666665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Row],[Death and Decay]],12,IF(OFFSET(TblMagic[[#This Row],[Active DnD]],-1,0)&gt;0,OFFSET(TblMagic[[#This Row],[Active DnD]],-1,0)-1,0))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45458.333333333314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Row],[Death and Decay]],12,IF(OFFSET(TblMagic[[#This Row],[Active DnD]],-1,0)&gt;0,OFFSET(TblMagic[[#This Row],[Active DnD]],-1,0)-1,0))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45458.374999999978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Row],[Death and Decay]],12,IF(OFFSET(TblMagic[[#This Row],[Active DnD]],-1,0)&gt;0,OFFSET(TblMagic[[#This Row],[Active DnD]],-1,0)-1,0))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45458.416666666642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Row],[Death and Decay]],12,IF(OFFSET(TblMagic[[#This Row],[Active DnD]],-1,0)&gt;0,OFFSET(TblMagic[[#This Row],[Active DnD]],-1,0)-1,0))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45458.458333333307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Row],[Death and Decay]],12,IF(OFFSET(TblMagic[[#This Row],[Active DnD]],-1,0)&gt;0,OFFSET(TblMagic[[#This Row],[Active DnD]],-1,0)-1,0))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45458.499999999971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Row],[Death and Decay]],12,IF(OFFSET(TblMagic[[#This Row],[Active DnD]],-1,0)&gt;0,OFFSET(TblMagic[[#This Row],[Active DnD]],-1,0)-1,0))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45458.541666666635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Row],[Death and Decay]],12,IF(OFFSET(TblMagic[[#This Row],[Active DnD]],-1,0)&gt;0,OFFSET(TblMagic[[#This Row],[Active DnD]],-1,0)-1,0))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45458.583333333299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Row],[Death and Decay]],12,IF(OFFSET(TblMagic[[#This Row],[Active DnD]],-1,0)&gt;0,OFFSET(TblMagic[[#This Row],[Active DnD]],-1,0)-1,0))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45458.624999999964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Row],[Death and Decay]],12,IF(OFFSET(TblMagic[[#This Row],[Active DnD]],-1,0)&gt;0,OFFSET(TblMagic[[#This Row],[Active DnD]],-1,0)-1,0))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45458.666666666628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Row],[Death and Decay]],12,IF(OFFSET(TblMagic[[#This Row],[Active DnD]],-1,0)&gt;0,OFFSET(TblMagic[[#This Row],[Active DnD]],-1,0)-1,0))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45458.708333333292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Row],[Death and Decay]],12,IF(OFFSET(TblMagic[[#This Row],[Active DnD]],-1,0)&gt;0,OFFSET(TblMagic[[#This Row],[Active DnD]],-1,0)-1,0))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45458.749999999956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Row],[Death and Decay]],12,IF(OFFSET(TblMagic[[#This Row],[Active DnD]],-1,0)&gt;0,OFFSET(TblMagic[[#This Row],[Active DnD]],-1,0)-1,0))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45458.791666666621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Row],[Death and Decay]],12,IF(OFFSET(TblMagic[[#This Row],[Active DnD]],-1,0)&gt;0,OFFSET(TblMagic[[#This Row],[Active DnD]],-1,0)-1,0))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45458.833333333285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Row],[Death and Decay]],12,IF(OFFSET(TblMagic[[#This Row],[Active DnD]],-1,0)&gt;0,OFFSET(TblMagic[[#This Row],[Active DnD]],-1,0)-1,0))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45458.874999999949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Row],[Death and Decay]],12,IF(OFFSET(TblMagic[[#This Row],[Active DnD]],-1,0)&gt;0,OFFSET(TblMagic[[#This Row],[Active DnD]],-1,0)-1,0))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45458.916666666613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Row],[Death and Decay]],12,IF(OFFSET(TblMagic[[#This Row],[Active DnD]],-1,0)&gt;0,OFFSET(TblMagic[[#This Row],[Active DnD]],-1,0)-1,0))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45458.958333333278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Row],[Death and Decay]],12,IF(OFFSET(TblMagic[[#This Row],[Active DnD]],-1,0)&gt;0,OFFSET(TblMagic[[#This Row],[Active DnD]],-1,0)-1,0))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45458.999999999942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Row],[Death and Decay]],12,IF(OFFSET(TblMagic[[#This Row],[Active DnD]],-1,0)&gt;0,OFFSET(TblMagic[[#This Row],[Active DnD]],-1,0)-1,0))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45459.041666666606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Row],[Death and Decay]],12,IF(OFFSET(TblMagic[[#This Row],[Active DnD]],-1,0)&gt;0,OFFSET(TblMagic[[#This Row],[Active DnD]],-1,0)-1,0))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45459.08333333327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Row],[Death and Decay]],12,IF(OFFSET(TblMagic[[#This Row],[Active DnD]],-1,0)&gt;0,OFFSET(TblMagic[[#This Row],[Active DnD]],-1,0)-1,0))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45459.124999999935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Row],[Death and Decay]],12,IF(OFFSET(TblMagic[[#This Row],[Active DnD]],-1,0)&gt;0,OFFSET(TblMagic[[#This Row],[Active DnD]],-1,0)-1,0))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45459.166666666599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Row],[Death and Decay]],12,IF(OFFSET(TblMagic[[#This Row],[Active DnD]],-1,0)&gt;0,OFFSET(TblMagic[[#This Row],[Active DnD]],-1,0)-1,0))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45459.208333333263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Row],[Death and Decay]],12,IF(OFFSET(TblMagic[[#This Row],[Active DnD]],-1,0)&gt;0,OFFSET(TblMagic[[#This Row],[Active DnD]],-1,0)-1,0))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45459.249999999927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Row],[Death and Decay]],12,IF(OFFSET(TblMagic[[#This Row],[Active DnD]],-1,0)&gt;0,OFFSET(TblMagic[[#This Row],[Active DnD]],-1,0)-1,0))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45459.291666666591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Row],[Death and Decay]],12,IF(OFFSET(TblMagic[[#This Row],[Active DnD]],-1,0)&gt;0,OFFSET(TblMagic[[#This Row],[Active DnD]],-1,0)-1,0))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45459.333333333256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Row],[Death and Decay]],12,IF(OFFSET(TblMagic[[#This Row],[Active DnD]],-1,0)&gt;0,OFFSET(TblMagic[[#This Row],[Active DnD]],-1,0)-1,0))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45459.37499999992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Row],[Death and Decay]],12,IF(OFFSET(TblMagic[[#This Row],[Active DnD]],-1,0)&gt;0,OFFSET(TblMagic[[#This Row],[Active DnD]],-1,0)-1,0))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45459.416666666584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Row],[Death and Decay]],12,IF(OFFSET(TblMagic[[#This Row],[Active DnD]],-1,0)&gt;0,OFFSET(TblMagic[[#This Row],[Active DnD]],-1,0)-1,0))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45459.458333333248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Row],[Death and Decay]],12,IF(OFFSET(TblMagic[[#This Row],[Active DnD]],-1,0)&gt;0,OFFSET(TblMagic[[#This Row],[Active DnD]],-1,0)-1,0))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45459.499999999913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Row],[Death and Decay]],12,IF(OFFSET(TblMagic[[#This Row],[Active DnD]],-1,0)&gt;0,OFFSET(TblMagic[[#This Row],[Active DnD]],-1,0)-1,0))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45459.541666666577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Row],[Death and Decay]],12,IF(OFFSET(TblMagic[[#This Row],[Active DnD]],-1,0)&gt;0,OFFSET(TblMagic[[#This Row],[Active DnD]],-1,0)-1,0))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45459.583333333241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Row],[Death and Decay]],12,IF(OFFSET(TblMagic[[#This Row],[Active DnD]],-1,0)&gt;0,OFFSET(TblMagic[[#This Row],[Active DnD]],-1,0)-1,0))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45459.624999999905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Row],[Death and Decay]],12,IF(OFFSET(TblMagic[[#This Row],[Active DnD]],-1,0)&gt;0,OFFSET(TblMagic[[#This Row],[Active DnD]],-1,0)-1,0))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45459.66666666657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Row],[Death and Decay]],12,IF(OFFSET(TblMagic[[#This Row],[Active DnD]],-1,0)&gt;0,OFFSET(TblMagic[[#This Row],[Active DnD]],-1,0)-1,0))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45459.708333333234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Row],[Death and Decay]],12,IF(OFFSET(TblMagic[[#This Row],[Active DnD]],-1,0)&gt;0,OFFSET(TblMagic[[#This Row],[Active DnD]],-1,0)-1,0))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45459.749999999898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Row],[Death and Decay]],12,IF(OFFSET(TblMagic[[#This Row],[Active DnD]],-1,0)&gt;0,OFFSET(TblMagic[[#This Row],[Active DnD]],-1,0)-1,0))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45459.791666666562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Row],[Death and Decay]],12,IF(OFFSET(TblMagic[[#This Row],[Active DnD]],-1,0)&gt;0,OFFSET(TblMagic[[#This Row],[Active DnD]],-1,0)-1,0))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45459.833333333227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Row],[Death and Decay]],12,IF(OFFSET(TblMagic[[#This Row],[Active DnD]],-1,0)&gt;0,OFFSET(TblMagic[[#This Row],[Active DnD]],-1,0)-1,0))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45459.874999999891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Row],[Death and Decay]],12,IF(OFFSET(TblMagic[[#This Row],[Active DnD]],-1,0)&gt;0,OFFSET(TblMagic[[#This Row],[Active DnD]],-1,0)-1,0))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45459.916666666555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Row],[Death and Decay]],12,IF(OFFSET(TblMagic[[#This Row],[Active DnD]],-1,0)&gt;0,OFFSET(TblMagic[[#This Row],[Active DnD]],-1,0)-1,0))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45459.958333333219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Row],[Death and Decay]],12,IF(OFFSET(TblMagic[[#This Row],[Active DnD]],-1,0)&gt;0,OFFSET(TblMagic[[#This Row],[Active DnD]],-1,0)-1,0))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45459.999999999884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Row],[Death and Decay]],12,IF(OFFSET(TblMagic[[#This Row],[Active DnD]],-1,0)&gt;0,OFFSET(TblMagic[[#This Row],[Active DnD]],-1,0)-1,0))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45460.041666666548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Row],[Death and Decay]],12,IF(OFFSET(TblMagic[[#This Row],[Active DnD]],-1,0)&gt;0,OFFSET(TblMagic[[#This Row],[Active DnD]],-1,0)-1,0))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45460.083333333212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Row],[Death and Decay]],12,IF(OFFSET(TblMagic[[#This Row],[Active DnD]],-1,0)&gt;0,OFFSET(TblMagic[[#This Row],[Active DnD]],-1,0)-1,0))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45460.124999999876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Row],[Death and Decay]],12,IF(OFFSET(TblMagic[[#This Row],[Active DnD]],-1,0)&gt;0,OFFSET(TblMagic[[#This Row],[Active DnD]],-1,0)-1,0))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45460.166666666541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Row],[Death and Decay]],12,IF(OFFSET(TblMagic[[#This Row],[Active DnD]],-1,0)&gt;0,OFFSET(TblMagic[[#This Row],[Active DnD]],-1,0)-1,0))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45460.208333333205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Row],[Death and Decay]],12,IF(OFFSET(TblMagic[[#This Row],[Active DnD]],-1,0)&gt;0,OFFSET(TblMagic[[#This Row],[Active DnD]],-1,0)-1,0))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45460.249999999869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Row],[Death and Decay]],12,IF(OFFSET(TblMagic[[#This Row],[Active DnD]],-1,0)&gt;0,OFFSET(TblMagic[[#This Row],[Active DnD]],-1,0)-1,0))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45460.291666666533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Row],[Death and Decay]],12,IF(OFFSET(TblMagic[[#This Row],[Active DnD]],-1,0)&gt;0,OFFSET(TblMagic[[#This Row],[Active DnD]],-1,0)-1,0))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45460.333333333198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Row],[Death and Decay]],12,IF(OFFSET(TblMagic[[#This Row],[Active DnD]],-1,0)&gt;0,OFFSET(TblMagic[[#This Row],[Active DnD]],-1,0)-1,0))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45460.374999999862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Row],[Death and Decay]],12,IF(OFFSET(TblMagic[[#This Row],[Active DnD]],-1,0)&gt;0,OFFSET(TblMagic[[#This Row],[Active DnD]],-1,0)-1,0))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45460.416666666526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Row],[Death and Decay]],12,IF(OFFSET(TblMagic[[#This Row],[Active DnD]],-1,0)&gt;0,OFFSET(TblMagic[[#This Row],[Active DnD]],-1,0)-1,0))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45460.45833333319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Row],[Death and Decay]],12,IF(OFFSET(TblMagic[[#This Row],[Active DnD]],-1,0)&gt;0,OFFSET(TblMagic[[#This Row],[Active DnD]],-1,0)-1,0))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45460.499999999854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Row],[Death and Decay]],12,IF(OFFSET(TblMagic[[#This Row],[Active DnD]],-1,0)&gt;0,OFFSET(TblMagic[[#This Row],[Active DnD]],-1,0)-1,0))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45460.541666666519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Row],[Death and Decay]],12,IF(OFFSET(TblMagic[[#This Row],[Active DnD]],-1,0)&gt;0,OFFSET(TblMagic[[#This Row],[Active DnD]],-1,0)-1,0))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45460.583333333183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Row],[Death and Decay]],12,IF(OFFSET(TblMagic[[#This Row],[Active DnD]],-1,0)&gt;0,OFFSET(TblMagic[[#This Row],[Active DnD]],-1,0)-1,0))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45460.624999999847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Row],[Death and Decay]],12,IF(OFFSET(TblMagic[[#This Row],[Active DnD]],-1,0)&gt;0,OFFSET(TblMagic[[#This Row],[Active DnD]],-1,0)-1,0))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45460.666666666511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Row],[Death and Decay]],12,IF(OFFSET(TblMagic[[#This Row],[Active DnD]],-1,0)&gt;0,OFFSET(TblMagic[[#This Row],[Active DnD]],-1,0)-1,0))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45460.708333333176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Row],[Death and Decay]],12,IF(OFFSET(TblMagic[[#This Row],[Active DnD]],-1,0)&gt;0,OFFSET(TblMagic[[#This Row],[Active DnD]],-1,0)-1,0))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45460.74999999984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Row],[Death and Decay]],12,IF(OFFSET(TblMagic[[#This Row],[Active DnD]],-1,0)&gt;0,OFFSET(TblMagic[[#This Row],[Active DnD]],-1,0)-1,0))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45460.791666666504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Row],[Death and Decay]],12,IF(OFFSET(TblMagic[[#This Row],[Active DnD]],-1,0)&gt;0,OFFSET(TblMagic[[#This Row],[Active DnD]],-1,0)-1,0))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45460.833333333168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Row],[Death and Decay]],12,IF(OFFSET(TblMagic[[#This Row],[Active DnD]],-1,0)&gt;0,OFFSET(TblMagic[[#This Row],[Active DnD]],-1,0)-1,0))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45460.874999999833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Row],[Death and Decay]],12,IF(OFFSET(TblMagic[[#This Row],[Active DnD]],-1,0)&gt;0,OFFSET(TblMagic[[#This Row],[Active DnD]],-1,0)-1,0))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45460.916666666497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Row],[Death and Decay]],12,IF(OFFSET(TblMagic[[#This Row],[Active DnD]],-1,0)&gt;0,OFFSET(TblMagic[[#This Row],[Active DnD]],-1,0)-1,0))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45460.958333333161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Row],[Death and Decay]],12,IF(OFFSET(TblMagic[[#This Row],[Active DnD]],-1,0)&gt;0,OFFSET(TblMagic[[#This Row],[Active DnD]],-1,0)-1,0))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45460.999999999825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Row],[Death and Decay]],12,IF(OFFSET(TblMagic[[#This Row],[Active DnD]],-1,0)&gt;0,OFFSET(TblMagic[[#This Row],[Active DnD]],-1,0)-1,0))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45461.04166666649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Row],[Death and Decay]],12,IF(OFFSET(TblMagic[[#This Row],[Active DnD]],-1,0)&gt;0,OFFSET(TblMagic[[#This Row],[Active DnD]],-1,0)-1,0))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45461.083333333154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Row],[Death and Decay]],12,IF(OFFSET(TblMagic[[#This Row],[Active DnD]],-1,0)&gt;0,OFFSET(TblMagic[[#This Row],[Active DnD]],-1,0)-1,0))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45461.124999999818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Row],[Death and Decay]],12,IF(OFFSET(TblMagic[[#This Row],[Active DnD]],-1,0)&gt;0,OFFSET(TblMagic[[#This Row],[Active DnD]],-1,0)-1,0))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45461.166666666482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Row],[Death and Decay]],12,IF(OFFSET(TblMagic[[#This Row],[Active DnD]],-1,0)&gt;0,OFFSET(TblMagic[[#This Row],[Active DnD]],-1,0)-1,0))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45461.208333333147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Row],[Death and Decay]],12,IF(OFFSET(TblMagic[[#This Row],[Active DnD]],-1,0)&gt;0,OFFSET(TblMagic[[#This Row],[Active DnD]],-1,0)-1,0))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45461.249999999811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Row],[Death and Decay]],12,IF(OFFSET(TblMagic[[#This Row],[Active DnD]],-1,0)&gt;0,OFFSET(TblMagic[[#This Row],[Active DnD]],-1,0)-1,0))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45461.291666666475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Row],[Death and Decay]],12,IF(OFFSET(TblMagic[[#This Row],[Active DnD]],-1,0)&gt;0,OFFSET(TblMagic[[#This Row],[Active DnD]],-1,0)-1,0))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45461.333333333139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Row],[Death and Decay]],12,IF(OFFSET(TblMagic[[#This Row],[Active DnD]],-1,0)&gt;0,OFFSET(TblMagic[[#This Row],[Active DnD]],-1,0)-1,0))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45461.374999999804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Row],[Death and Decay]],12,IF(OFFSET(TblMagic[[#This Row],[Active DnD]],-1,0)&gt;0,OFFSET(TblMagic[[#This Row],[Active DnD]],-1,0)-1,0))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45461.416666666468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Row],[Death and Decay]],12,IF(OFFSET(TblMagic[[#This Row],[Active DnD]],-1,0)&gt;0,OFFSET(TblMagic[[#This Row],[Active DnD]],-1,0)-1,0))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45461.458333333132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Row],[Death and Decay]],12,IF(OFFSET(TblMagic[[#This Row],[Active DnD]],-1,0)&gt;0,OFFSET(TblMagic[[#This Row],[Active DnD]],-1,0)-1,0))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45461.499999999796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Row],[Death and Decay]],12,IF(OFFSET(TblMagic[[#This Row],[Active DnD]],-1,0)&gt;0,OFFSET(TblMagic[[#This Row],[Active DnD]],-1,0)-1,0))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45461.541666666461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Row],[Death and Decay]],12,IF(OFFSET(TblMagic[[#This Row],[Active DnD]],-1,0)&gt;0,OFFSET(TblMagic[[#This Row],[Active DnD]],-1,0)-1,0))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45461.583333333125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Row],[Death and Decay]],12,IF(OFFSET(TblMagic[[#This Row],[Active DnD]],-1,0)&gt;0,OFFSET(TblMagic[[#This Row],[Active DnD]],-1,0)-1,0))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45461.624999999789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Row],[Death and Decay]],12,IF(OFFSET(TblMagic[[#This Row],[Active DnD]],-1,0)&gt;0,OFFSET(TblMagic[[#This Row],[Active DnD]],-1,0)-1,0))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45461.666666666453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Row],[Death and Decay]],12,IF(OFFSET(TblMagic[[#This Row],[Active DnD]],-1,0)&gt;0,OFFSET(TblMagic[[#This Row],[Active DnD]],-1,0)-1,0))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45461.708333333117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Row],[Death and Decay]],12,IF(OFFSET(TblMagic[[#This Row],[Active DnD]],-1,0)&gt;0,OFFSET(TblMagic[[#This Row],[Active DnD]],-1,0)-1,0))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45461.749999999782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Row],[Death and Decay]],12,IF(OFFSET(TblMagic[[#This Row],[Active DnD]],-1,0)&gt;0,OFFSET(TblMagic[[#This Row],[Active DnD]],-1,0)-1,0))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45461.791666666446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Row],[Death and Decay]],12,IF(OFFSET(TblMagic[[#This Row],[Active DnD]],-1,0)&gt;0,OFFSET(TblMagic[[#This Row],[Active DnD]],-1,0)-1,0))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45461.83333333311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Row],[Death and Decay]],12,IF(OFFSET(TblMagic[[#This Row],[Active DnD]],-1,0)&gt;0,OFFSET(TblMagic[[#This Row],[Active DnD]],-1,0)-1,0))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45461.874999999774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Row],[Death and Decay]],12,IF(OFFSET(TblMagic[[#This Row],[Active DnD]],-1,0)&gt;0,OFFSET(TblMagic[[#This Row],[Active DnD]],-1,0)-1,0))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45461.916666666439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Row],[Death and Decay]],12,IF(OFFSET(TblMagic[[#This Row],[Active DnD]],-1,0)&gt;0,OFFSET(TblMagic[[#This Row],[Active DnD]],-1,0)-1,0))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45461.958333333103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Row],[Death and Decay]],12,IF(OFFSET(TblMagic[[#This Row],[Active DnD]],-1,0)&gt;0,OFFSET(TblMagic[[#This Row],[Active DnD]],-1,0)-1,0))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45461.999999999767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Row],[Death and Decay]],12,IF(OFFSET(TblMagic[[#This Row],[Active DnD]],-1,0)&gt;0,OFFSET(TblMagic[[#This Row],[Active DnD]],-1,0)-1,0))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45462.041666666431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Row],[Death and Decay]],12,IF(OFFSET(TblMagic[[#This Row],[Active DnD]],-1,0)&gt;0,OFFSET(TblMagic[[#This Row],[Active DnD]],-1,0)-1,0))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45462.083333333096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Row],[Death and Decay]],12,IF(OFFSET(TblMagic[[#This Row],[Active DnD]],-1,0)&gt;0,OFFSET(TblMagic[[#This Row],[Active DnD]],-1,0)-1,0))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45462.12499999976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Row],[Death and Decay]],12,IF(OFFSET(TblMagic[[#This Row],[Active DnD]],-1,0)&gt;0,OFFSET(TblMagic[[#This Row],[Active DnD]],-1,0)-1,0))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45462.166666666424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Row],[Death and Decay]],12,IF(OFFSET(TblMagic[[#This Row],[Active DnD]],-1,0)&gt;0,OFFSET(TblMagic[[#This Row],[Active DnD]],-1,0)-1,0))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45462.208333333088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Row],[Death and Decay]],12,IF(OFFSET(TblMagic[[#This Row],[Active DnD]],-1,0)&gt;0,OFFSET(TblMagic[[#This Row],[Active DnD]],-1,0)-1,0))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45462.249999999753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Row],[Death and Decay]],12,IF(OFFSET(TblMagic[[#This Row],[Active DnD]],-1,0)&gt;0,OFFSET(TblMagic[[#This Row],[Active DnD]],-1,0)-1,0))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45462.291666666417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Row],[Death and Decay]],12,IF(OFFSET(TblMagic[[#This Row],[Active DnD]],-1,0)&gt;0,OFFSET(TblMagic[[#This Row],[Active DnD]],-1,0)-1,0))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45462.333333333081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Row],[Death and Decay]],12,IF(OFFSET(TblMagic[[#This Row],[Active DnD]],-1,0)&gt;0,OFFSET(TblMagic[[#This Row],[Active DnD]],-1,0)-1,0))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45462.374999999745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Row],[Death and Decay]],12,IF(OFFSET(TblMagic[[#This Row],[Active DnD]],-1,0)&gt;0,OFFSET(TblMagic[[#This Row],[Active DnD]],-1,0)-1,0))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45462.41666666641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Row],[Death and Decay]],12,IF(OFFSET(TblMagic[[#This Row],[Active DnD]],-1,0)&gt;0,OFFSET(TblMagic[[#This Row],[Active DnD]],-1,0)-1,0))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45462.458333333074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Row],[Death and Decay]],12,IF(OFFSET(TblMagic[[#This Row],[Active DnD]],-1,0)&gt;0,OFFSET(TblMagic[[#This Row],[Active DnD]],-1,0)-1,0))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45462.499999999738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Row],[Death and Decay]],12,IF(OFFSET(TblMagic[[#This Row],[Active DnD]],-1,0)&gt;0,OFFSET(TblMagic[[#This Row],[Active DnD]],-1,0)-1,0))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45462.541666666402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Row],[Death and Decay]],12,IF(OFFSET(TblMagic[[#This Row],[Active DnD]],-1,0)&gt;0,OFFSET(TblMagic[[#This Row],[Active DnD]],-1,0)-1,0))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45462.583333333067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Row],[Death and Decay]],12,IF(OFFSET(TblMagic[[#This Row],[Active DnD]],-1,0)&gt;0,OFFSET(TblMagic[[#This Row],[Active DnD]],-1,0)-1,0))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45462.624999999731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Row],[Death and Decay]],12,IF(OFFSET(TblMagic[[#This Row],[Active DnD]],-1,0)&gt;0,OFFSET(TblMagic[[#This Row],[Active DnD]],-1,0)-1,0))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45462.666666666395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Row],[Death and Decay]],12,IF(OFFSET(TblMagic[[#This Row],[Active DnD]],-1,0)&gt;0,OFFSET(TblMagic[[#This Row],[Active DnD]],-1,0)-1,0))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45462.708333333059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Row],[Death and Decay]],12,IF(OFFSET(TblMagic[[#This Row],[Active DnD]],-1,0)&gt;0,OFFSET(TblMagic[[#This Row],[Active DnD]],-1,0)-1,0))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45462.749999999724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Row],[Death and Decay]],12,IF(OFFSET(TblMagic[[#This Row],[Active DnD]],-1,0)&gt;0,OFFSET(TblMagic[[#This Row],[Active DnD]],-1,0)-1,0))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45462.791666666388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Row],[Death and Decay]],12,IF(OFFSET(TblMagic[[#This Row],[Active DnD]],-1,0)&gt;0,OFFSET(TblMagic[[#This Row],[Active DnD]],-1,0)-1,0))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45462.833333333052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Row],[Death and Decay]],12,IF(OFFSET(TblMagic[[#This Row],[Active DnD]],-1,0)&gt;0,OFFSET(TblMagic[[#This Row],[Active DnD]],-1,0)-1,0))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45462.874999999716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Row],[Death and Decay]],12,IF(OFFSET(TblMagic[[#This Row],[Active DnD]],-1,0)&gt;0,OFFSET(TblMagic[[#This Row],[Active DnD]],-1,0)-1,0))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45462.91666666638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Row],[Death and Decay]],12,IF(OFFSET(TblMagic[[#This Row],[Active DnD]],-1,0)&gt;0,OFFSET(TblMagic[[#This Row],[Active DnD]],-1,0)-1,0))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45462.958333333045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Row],[Death and Decay]],12,IF(OFFSET(TblMagic[[#This Row],[Active DnD]],-1,0)&gt;0,OFFSET(TblMagic[[#This Row],[Active DnD]],-1,0)-1,0))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45462.999999999709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Row],[Death and Decay]],12,IF(OFFSET(TblMagic[[#This Row],[Active DnD]],-1,0)&gt;0,OFFSET(TblMagic[[#This Row],[Active DnD]],-1,0)-1,0))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45463.041666666373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Row],[Death and Decay]],12,IF(OFFSET(TblMagic[[#This Row],[Active DnD]],-1,0)&gt;0,OFFSET(TblMagic[[#This Row],[Active DnD]],-1,0)-1,0))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45463.083333333037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Row],[Death and Decay]],12,IF(OFFSET(TblMagic[[#This Row],[Active DnD]],-1,0)&gt;0,OFFSET(TblMagic[[#This Row],[Active DnD]],-1,0)-1,0))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45463.124999999702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Row],[Death and Decay]],12,IF(OFFSET(TblMagic[[#This Row],[Active DnD]],-1,0)&gt;0,OFFSET(TblMagic[[#This Row],[Active DnD]],-1,0)-1,0))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45463.166666666366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Row],[Death and Decay]],12,IF(OFFSET(TblMagic[[#This Row],[Active DnD]],-1,0)&gt;0,OFFSET(TblMagic[[#This Row],[Active DnD]],-1,0)-1,0))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45463.20833333303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Row],[Death and Decay]],12,IF(OFFSET(TblMagic[[#This Row],[Active DnD]],-1,0)&gt;0,OFFSET(TblMagic[[#This Row],[Active DnD]],-1,0)-1,0))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45463.249999999694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Row],[Death and Decay]],12,IF(OFFSET(TblMagic[[#This Row],[Active DnD]],-1,0)&gt;0,OFFSET(TblMagic[[#This Row],[Active DnD]],-1,0)-1,0))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45463.291666666359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Row],[Death and Decay]],12,IF(OFFSET(TblMagic[[#This Row],[Active DnD]],-1,0)&gt;0,OFFSET(TblMagic[[#This Row],[Active DnD]],-1,0)-1,0))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45463.333333333023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Row],[Death and Decay]],12,IF(OFFSET(TblMagic[[#This Row],[Active DnD]],-1,0)&gt;0,OFFSET(TblMagic[[#This Row],[Active DnD]],-1,0)-1,0))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45463.374999999687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Row],[Death and Decay]],12,IF(OFFSET(TblMagic[[#This Row],[Active DnD]],-1,0)&gt;0,OFFSET(TblMagic[[#This Row],[Active DnD]],-1,0)-1,0))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45463.416666666351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Row],[Death and Decay]],12,IF(OFFSET(TblMagic[[#This Row],[Active DnD]],-1,0)&gt;0,OFFSET(TblMagic[[#This Row],[Active DnD]],-1,0)-1,0))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45463.458333333016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Row],[Death and Decay]],12,IF(OFFSET(TblMagic[[#This Row],[Active DnD]],-1,0)&gt;0,OFFSET(TblMagic[[#This Row],[Active DnD]],-1,0)-1,0))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45463.49999999968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Row],[Death and Decay]],12,IF(OFFSET(TblMagic[[#This Row],[Active DnD]],-1,0)&gt;0,OFFSET(TblMagic[[#This Row],[Active DnD]],-1,0)-1,0))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9" t="s">
        <v>315</v>
      </c>
      <c r="D1269" s="456"/>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70" priority="17" stopIfTrue="1">
      <formula>ROW()-2=#REF!</formula>
    </cfRule>
  </conditionalFormatting>
  <conditionalFormatting sqref="A1269:XFD1270">
    <cfRule type="expression" dxfId="269" priority="18" stopIfTrue="1">
      <formula>$C$1270&gt;144</formula>
    </cfRule>
  </conditionalFormatting>
  <conditionalFormatting sqref="A4:AO136">
    <cfRule type="expression" dxfId="268" priority="1" stopIfTrue="1">
      <formula>ROW()-3=$C$1270</formula>
    </cfRule>
    <cfRule type="expression" dxfId="267" priority="2" stopIfTrue="1">
      <formula>OR(ROW()-3=$C$1270,A4&lt;0)</formula>
    </cfRule>
    <cfRule type="expression" dxfId="266" priority="3">
      <formula>$A4=73</formula>
    </cfRule>
    <cfRule type="expression" dxfId="265" priority="11">
      <formula>ROUND(($A4-1)/12,0)=INT($A4-1)/12</formula>
    </cfRule>
  </conditionalFormatting>
  <conditionalFormatting sqref="G16:V136">
    <cfRule type="expression" dxfId="264" priority="12">
      <formula>COUNTA(G5:G16)&gt;0</formula>
    </cfRule>
  </conditionalFormatting>
  <conditionalFormatting sqref="A3:XFD3 A2:N2 A1:S1 U1:XFD1 P2:XFD2">
    <cfRule type="expression" dxfId="263"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1005</v>
      </c>
      <c r="F2" s="304">
        <f>IFERROR(SMALL(TblTech[Activate @ hour],1),0)</f>
        <v>0</v>
      </c>
      <c r="G2" s="45" t="s">
        <v>1068</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371</v>
      </c>
      <c r="D3" s="290" t="s">
        <v>33</v>
      </c>
      <c r="E3" s="290" t="s">
        <v>773</v>
      </c>
      <c r="F3" s="290" t="s">
        <v>1006</v>
      </c>
      <c r="G3" s="290" t="s">
        <v>935</v>
      </c>
      <c r="H3" s="290" t="s">
        <v>977</v>
      </c>
      <c r="I3" s="290" t="s">
        <v>978</v>
      </c>
      <c r="J3" s="290" t="s">
        <v>774</v>
      </c>
      <c r="K3" s="258" t="s">
        <v>775</v>
      </c>
      <c r="L3" s="290" t="s">
        <v>936</v>
      </c>
      <c r="M3" s="224" t="s">
        <v>537</v>
      </c>
      <c r="N3" s="224" t="s">
        <v>539</v>
      </c>
      <c r="O3" s="224" t="s">
        <v>540</v>
      </c>
      <c r="P3" s="224" t="s">
        <v>542</v>
      </c>
      <c r="Q3" s="224" t="s">
        <v>544</v>
      </c>
      <c r="R3" s="224" t="s">
        <v>545</v>
      </c>
      <c r="S3" s="224" t="s">
        <v>546</v>
      </c>
      <c r="T3" s="224" t="s">
        <v>547</v>
      </c>
      <c r="U3" s="224" t="s">
        <v>548</v>
      </c>
      <c r="V3" s="224" t="s">
        <v>550</v>
      </c>
      <c r="W3" s="224" t="s">
        <v>552</v>
      </c>
      <c r="X3" s="224" t="s">
        <v>553</v>
      </c>
      <c r="Y3" s="224" t="s">
        <v>554</v>
      </c>
      <c r="Z3" s="224" t="s">
        <v>555</v>
      </c>
      <c r="AA3" s="224" t="s">
        <v>557</v>
      </c>
      <c r="AB3" s="224" t="s">
        <v>558</v>
      </c>
      <c r="AC3" s="224" t="s">
        <v>559</v>
      </c>
      <c r="AD3" s="224" t="s">
        <v>561</v>
      </c>
      <c r="AE3" s="224" t="s">
        <v>563</v>
      </c>
      <c r="AF3" s="224" t="s">
        <v>564</v>
      </c>
      <c r="AG3" s="224" t="s">
        <v>565</v>
      </c>
      <c r="AH3" s="224" t="s">
        <v>567</v>
      </c>
      <c r="AI3" s="224" t="s">
        <v>569</v>
      </c>
      <c r="AJ3" s="224" t="s">
        <v>571</v>
      </c>
      <c r="AK3" s="224" t="s">
        <v>572</v>
      </c>
      <c r="AL3" s="224" t="s">
        <v>573</v>
      </c>
      <c r="AM3" s="224" t="s">
        <v>574</v>
      </c>
      <c r="AN3" s="224" t="s">
        <v>575</v>
      </c>
      <c r="AO3" s="224" t="s">
        <v>576</v>
      </c>
      <c r="AP3" s="224" t="s">
        <v>578</v>
      </c>
      <c r="AQ3" s="224" t="s">
        <v>580</v>
      </c>
      <c r="AR3" s="224" t="s">
        <v>581</v>
      </c>
      <c r="AS3" s="224" t="s">
        <v>582</v>
      </c>
      <c r="AT3" s="224" t="s">
        <v>583</v>
      </c>
      <c r="AU3" s="224" t="s">
        <v>584</v>
      </c>
      <c r="AV3" s="224" t="s">
        <v>585</v>
      </c>
      <c r="AW3" s="224" t="s">
        <v>587</v>
      </c>
      <c r="AX3" s="224" t="s">
        <v>588</v>
      </c>
      <c r="AY3" s="224" t="s">
        <v>589</v>
      </c>
      <c r="AZ3" s="224" t="s">
        <v>590</v>
      </c>
      <c r="BA3" s="224" t="s">
        <v>591</v>
      </c>
      <c r="BB3" s="224" t="s">
        <v>592</v>
      </c>
      <c r="BC3" s="224" t="s">
        <v>593</v>
      </c>
      <c r="BD3" s="224" t="s">
        <v>594</v>
      </c>
      <c r="BE3" s="224" t="s">
        <v>595</v>
      </c>
      <c r="BF3" s="224" t="s">
        <v>596</v>
      </c>
      <c r="BG3" s="224" t="s">
        <v>597</v>
      </c>
      <c r="BH3" s="224" t="s">
        <v>599</v>
      </c>
      <c r="BI3" s="224" t="s">
        <v>600</v>
      </c>
      <c r="BJ3" s="224" t="s">
        <v>602</v>
      </c>
      <c r="BK3" s="224" t="s">
        <v>603</v>
      </c>
      <c r="BL3" s="224" t="s">
        <v>604</v>
      </c>
      <c r="BM3" s="224" t="s">
        <v>606</v>
      </c>
      <c r="BN3" s="224" t="s">
        <v>608</v>
      </c>
      <c r="BO3" s="224" t="s">
        <v>609</v>
      </c>
      <c r="BP3" s="224" t="s">
        <v>610</v>
      </c>
      <c r="BQ3" s="224" t="s">
        <v>612</v>
      </c>
      <c r="BR3" s="224" t="s">
        <v>613</v>
      </c>
      <c r="BS3" s="224" t="s">
        <v>615</v>
      </c>
      <c r="BT3" s="224" t="s">
        <v>617</v>
      </c>
      <c r="BU3" s="224" t="s">
        <v>618</v>
      </c>
      <c r="BV3" s="224" t="s">
        <v>620</v>
      </c>
      <c r="BW3" s="224" t="s">
        <v>621</v>
      </c>
      <c r="BX3" s="224" t="s">
        <v>622</v>
      </c>
      <c r="BY3" s="224" t="s">
        <v>624</v>
      </c>
      <c r="BZ3" s="224" t="s">
        <v>625</v>
      </c>
      <c r="CA3" s="224" t="s">
        <v>680</v>
      </c>
    </row>
    <row r="4" spans="1:79" x14ac:dyDescent="0.2">
      <c r="A4" s="291">
        <f>TblRezone[[#This Row],[Hour]]</f>
        <v>1</v>
      </c>
      <c r="B4" s="292">
        <f ca="1">TblExplore[[#This Row],[Land-DB]]</f>
        <v>250</v>
      </c>
      <c r="C4" s="293">
        <f ca="1">TblProd[[#This Row],[Techpoints]]</f>
        <v>0</v>
      </c>
      <c r="D4" s="293">
        <f ca="1">TblProd[[#This Row],[Required]]</f>
        <v>3750</v>
      </c>
      <c r="E4" s="294"/>
      <c r="F4" s="295"/>
      <c r="G4" s="296" t="s">
        <v>537</v>
      </c>
      <c r="H4" s="297" t="s">
        <v>681</v>
      </c>
      <c r="I4" s="296" t="s">
        <v>538</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539</v>
      </c>
      <c r="H5" s="297" t="s">
        <v>682</v>
      </c>
      <c r="I5" s="296" t="s">
        <v>1106</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540</v>
      </c>
      <c r="H6" s="297" t="s">
        <v>683</v>
      </c>
      <c r="I6" s="296" t="s">
        <v>541</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542</v>
      </c>
      <c r="H7" s="297" t="s">
        <v>684</v>
      </c>
      <c r="I7" s="296" t="s">
        <v>543</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544</v>
      </c>
      <c r="H8" s="297" t="s">
        <v>685</v>
      </c>
      <c r="I8" s="296" t="s">
        <v>1103</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545</v>
      </c>
      <c r="H9" s="297" t="s">
        <v>696</v>
      </c>
      <c r="I9" s="296" t="s">
        <v>560</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546</v>
      </c>
      <c r="H10" s="297" t="s">
        <v>725</v>
      </c>
      <c r="I10" s="296" t="s">
        <v>740</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547</v>
      </c>
      <c r="H11" s="297" t="s">
        <v>688</v>
      </c>
      <c r="I11" s="296" t="s">
        <v>1052</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548</v>
      </c>
      <c r="H12" s="297" t="s">
        <v>707</v>
      </c>
      <c r="I12" s="296" t="s">
        <v>579</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550</v>
      </c>
      <c r="H13" s="297" t="s">
        <v>689</v>
      </c>
      <c r="I13" s="296" t="s">
        <v>549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552</v>
      </c>
      <c r="H14" s="297" t="s">
        <v>1062</v>
      </c>
      <c r="I14" s="296" t="s">
        <v>741</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553</v>
      </c>
      <c r="H16" s="297" t="s">
        <v>691</v>
      </c>
      <c r="I16" s="296" t="s">
        <v>749</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554</v>
      </c>
      <c r="H17" s="297" t="s">
        <v>692</v>
      </c>
      <c r="I17" s="296" t="s">
        <v>750</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555</v>
      </c>
      <c r="H18" s="297" t="s">
        <v>693</v>
      </c>
      <c r="I18" s="296" t="s">
        <v>1099</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557</v>
      </c>
      <c r="H19" s="297" t="s">
        <v>694</v>
      </c>
      <c r="I19" s="296" t="s">
        <v>1105</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558</v>
      </c>
      <c r="H20" s="297" t="s">
        <v>695</v>
      </c>
      <c r="I20" s="296" t="s">
        <v>1053</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559</v>
      </c>
      <c r="H21" s="297" t="s">
        <v>687</v>
      </c>
      <c r="I21" s="296" t="s">
        <v>1101</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561</v>
      </c>
      <c r="H22" s="297" t="s">
        <v>714</v>
      </c>
      <c r="I22" s="296" t="s">
        <v>1054</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563</v>
      </c>
      <c r="H23" s="297" t="s">
        <v>698</v>
      </c>
      <c r="I23" s="296" t="s">
        <v>742</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564</v>
      </c>
      <c r="H24" s="297" t="s">
        <v>699</v>
      </c>
      <c r="I24" s="296" t="s">
        <v>743</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565</v>
      </c>
      <c r="H25" s="297" t="s">
        <v>700</v>
      </c>
      <c r="I25" s="296" t="s">
        <v>566</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567</v>
      </c>
      <c r="H27" s="297" t="s">
        <v>701</v>
      </c>
      <c r="I27" s="296" t="s">
        <v>568</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569</v>
      </c>
      <c r="H28" s="297" t="s">
        <v>702</v>
      </c>
      <c r="I28" s="296" t="s">
        <v>570</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571</v>
      </c>
      <c r="H29" s="297" t="s">
        <v>703</v>
      </c>
      <c r="I29" s="296" t="s">
        <v>1107</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572</v>
      </c>
      <c r="H30" s="297" t="s">
        <v>704</v>
      </c>
      <c r="I30" s="296" t="s">
        <v>1100</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573</v>
      </c>
      <c r="H31" s="297" t="s">
        <v>686</v>
      </c>
      <c r="I31" s="296" t="s">
        <v>1055</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574</v>
      </c>
      <c r="H32" s="297" t="s">
        <v>697</v>
      </c>
      <c r="I32" s="296" t="s">
        <v>562</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575</v>
      </c>
      <c r="H33" s="297" t="s">
        <v>705</v>
      </c>
      <c r="I33" s="296" t="s">
        <v>744</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576</v>
      </c>
      <c r="H34" s="297" t="s">
        <v>706</v>
      </c>
      <c r="I34" s="296" t="s">
        <v>577</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578</v>
      </c>
      <c r="H35" s="297" t="s">
        <v>690</v>
      </c>
      <c r="I35" s="296" t="s">
        <v>551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580</v>
      </c>
      <c r="H37" s="297" t="s">
        <v>708</v>
      </c>
      <c r="I37" s="296" t="s">
        <v>758</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581</v>
      </c>
      <c r="H38" s="297" t="s">
        <v>709</v>
      </c>
      <c r="I38" s="296" t="s">
        <v>628</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582</v>
      </c>
      <c r="H39" s="297" t="s">
        <v>710</v>
      </c>
      <c r="I39" s="296" t="s">
        <v>1056</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583</v>
      </c>
      <c r="H40" s="297" t="s">
        <v>711</v>
      </c>
      <c r="I40" s="296" t="s">
        <v>1104</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584</v>
      </c>
      <c r="H41" s="297" t="s">
        <v>1061</v>
      </c>
      <c r="I41" s="296" t="s">
        <v>1057</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585</v>
      </c>
      <c r="H42" s="297" t="s">
        <v>713</v>
      </c>
      <c r="I42" s="296" t="s">
        <v>1099</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587</v>
      </c>
      <c r="H43" s="297" t="s">
        <v>1063</v>
      </c>
      <c r="I43" s="296" t="s">
        <v>745</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588</v>
      </c>
      <c r="H44" s="297" t="s">
        <v>712</v>
      </c>
      <c r="I44" s="296" t="s">
        <v>586</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589</v>
      </c>
      <c r="H46" s="297" t="s">
        <v>716</v>
      </c>
      <c r="I46" s="296" t="s">
        <v>1058</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590</v>
      </c>
      <c r="H47" s="297" t="s">
        <v>715</v>
      </c>
      <c r="I47" s="296" t="s">
        <v>1102</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591</v>
      </c>
      <c r="H48" s="297" t="s">
        <v>717</v>
      </c>
      <c r="I48" s="296" t="s">
        <v>1055</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592</v>
      </c>
      <c r="H49" s="297" t="s">
        <v>718</v>
      </c>
      <c r="I49" s="296" t="s">
        <v>629</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593</v>
      </c>
      <c r="H50" s="297" t="s">
        <v>719</v>
      </c>
      <c r="I50" s="296" t="s">
        <v>1055</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594</v>
      </c>
      <c r="H51" s="297" t="s">
        <v>393</v>
      </c>
      <c r="I51" s="296" t="s">
        <v>1059</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595</v>
      </c>
      <c r="H52" s="297" t="s">
        <v>721</v>
      </c>
      <c r="I52" s="296" t="s">
        <v>630</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596</v>
      </c>
      <c r="H54" s="297" t="s">
        <v>722</v>
      </c>
      <c r="I54" s="296" t="s">
        <v>562</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597</v>
      </c>
      <c r="H55" s="297" t="s">
        <v>723</v>
      </c>
      <c r="I55" s="296" t="s">
        <v>598</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599</v>
      </c>
      <c r="H56" s="297" t="s">
        <v>1064</v>
      </c>
      <c r="I56" s="296" t="s">
        <v>1108</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600</v>
      </c>
      <c r="H57" s="297" t="s">
        <v>724</v>
      </c>
      <c r="I57" s="296" t="s">
        <v>601</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602</v>
      </c>
      <c r="H58" s="297" t="s">
        <v>720</v>
      </c>
      <c r="I58" s="296" t="s">
        <v>1117</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603</v>
      </c>
      <c r="H59" s="297" t="s">
        <v>726</v>
      </c>
      <c r="I59" s="296" t="s">
        <v>746</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604</v>
      </c>
      <c r="H61" s="297" t="s">
        <v>727</v>
      </c>
      <c r="I61" s="296" t="s">
        <v>605</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606</v>
      </c>
      <c r="H62" s="297" t="s">
        <v>731</v>
      </c>
      <c r="I62" s="296" t="s">
        <v>1060</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608</v>
      </c>
      <c r="H63" s="297" t="s">
        <v>1065</v>
      </c>
      <c r="I63" s="296" t="s">
        <v>747</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609</v>
      </c>
      <c r="H64" s="297" t="s">
        <v>729</v>
      </c>
      <c r="I64" s="296" t="s">
        <v>631</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610</v>
      </c>
      <c r="H65" s="297" t="s">
        <v>730</v>
      </c>
      <c r="I65" s="296" t="s">
        <v>611</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612</v>
      </c>
      <c r="H67" s="297" t="s">
        <v>1066</v>
      </c>
      <c r="I67" s="296" t="s">
        <v>748</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613</v>
      </c>
      <c r="H68" s="297" t="s">
        <v>732</v>
      </c>
      <c r="I68" s="296" t="s">
        <v>614</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615</v>
      </c>
      <c r="H69" s="297" t="s">
        <v>733</v>
      </c>
      <c r="I69" s="296" t="s">
        <v>616</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617</v>
      </c>
      <c r="H70" s="297" t="s">
        <v>734</v>
      </c>
      <c r="I70" s="296" t="s">
        <v>759</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618</v>
      </c>
      <c r="H72" s="297" t="s">
        <v>735</v>
      </c>
      <c r="I72" s="296" t="s">
        <v>619</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620</v>
      </c>
      <c r="H73" s="297" t="s">
        <v>736</v>
      </c>
      <c r="I73" s="296" t="s">
        <v>556</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621</v>
      </c>
      <c r="H74" s="297" t="s">
        <v>737</v>
      </c>
      <c r="I74" s="296" t="s">
        <v>760</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622</v>
      </c>
      <c r="H76" s="297" t="s">
        <v>728</v>
      </c>
      <c r="I76" s="296" t="s">
        <v>607</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624</v>
      </c>
      <c r="H77" s="297" t="s">
        <v>738</v>
      </c>
      <c r="I77" s="296" t="s">
        <v>623</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625</v>
      </c>
      <c r="H79" s="297" t="s">
        <v>739</v>
      </c>
      <c r="I79" s="296" t="s">
        <v>626</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979</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281</v>
      </c>
      <c r="K1" s="28"/>
      <c r="O1" s="5" t="s">
        <v>216</v>
      </c>
      <c r="W1" s="5" t="s">
        <v>1007</v>
      </c>
      <c r="Y1" s="28" t="s">
        <v>37</v>
      </c>
      <c r="Z1" s="28"/>
      <c r="AA1" s="28"/>
      <c r="AB1" s="28"/>
      <c r="AC1" s="28"/>
      <c r="AD1" s="28"/>
      <c r="AF1" s="500" t="s">
        <v>210</v>
      </c>
      <c r="AG1" s="500"/>
      <c r="AH1" s="28"/>
      <c r="AI1" s="28"/>
      <c r="AJ1" s="28"/>
      <c r="AK1" s="28"/>
      <c r="AM1" s="500" t="s">
        <v>218</v>
      </c>
      <c r="AN1" s="500"/>
      <c r="AO1" s="28"/>
      <c r="AP1" s="28"/>
      <c r="AR1" s="500" t="s">
        <v>219</v>
      </c>
      <c r="AS1" s="500"/>
      <c r="AT1" s="501"/>
      <c r="AU1" s="28"/>
      <c r="AW1" s="500" t="s">
        <v>220</v>
      </c>
      <c r="AX1" s="500"/>
      <c r="AY1" s="500"/>
      <c r="AZ1" s="28"/>
      <c r="BB1" s="500" t="s">
        <v>221</v>
      </c>
      <c r="BC1" s="500"/>
      <c r="BD1" s="500"/>
      <c r="BE1" s="500"/>
      <c r="BG1" s="500" t="s">
        <v>222</v>
      </c>
      <c r="BH1" s="500"/>
      <c r="BI1" s="500"/>
      <c r="BJ1" s="28"/>
      <c r="BL1" s="500" t="s">
        <v>223</v>
      </c>
      <c r="BM1" s="501"/>
      <c r="BN1" s="501"/>
      <c r="BO1" s="28"/>
      <c r="BQ1" s="500" t="s">
        <v>224</v>
      </c>
      <c r="BR1" s="500"/>
      <c r="BS1" s="500"/>
      <c r="BT1" s="28"/>
      <c r="BV1" s="5" t="s">
        <v>307</v>
      </c>
    </row>
    <row r="2" spans="1:84" s="5" customFormat="1" x14ac:dyDescent="0.2">
      <c r="C2" s="28"/>
      <c r="D2" s="28"/>
      <c r="E2" s="28"/>
      <c r="F2" s="28"/>
      <c r="K2" s="28"/>
      <c r="Y2" s="289" t="s">
        <v>209</v>
      </c>
      <c r="Z2" s="289" t="s">
        <v>211</v>
      </c>
      <c r="AA2" s="289" t="s">
        <v>1118</v>
      </c>
      <c r="AB2" s="289" t="s">
        <v>213</v>
      </c>
      <c r="AC2" s="289" t="s">
        <v>214</v>
      </c>
      <c r="AD2" s="289" t="s">
        <v>527</v>
      </c>
      <c r="AF2" s="289" t="s">
        <v>209</v>
      </c>
      <c r="AG2" s="289" t="s">
        <v>211</v>
      </c>
      <c r="AH2" s="289" t="s">
        <v>1118</v>
      </c>
      <c r="AI2" s="289" t="s">
        <v>213</v>
      </c>
      <c r="AJ2" s="289" t="s">
        <v>214</v>
      </c>
      <c r="AK2" s="289" t="s">
        <v>527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773</v>
      </c>
      <c r="C3" s="138" t="s">
        <v>2</v>
      </c>
      <c r="D3" s="138" t="s">
        <v>7</v>
      </c>
      <c r="E3" s="138" t="s">
        <v>3</v>
      </c>
      <c r="F3" s="138" t="s">
        <v>4</v>
      </c>
      <c r="G3" s="138" t="s">
        <v>774</v>
      </c>
      <c r="H3" s="138" t="s">
        <v>273</v>
      </c>
      <c r="I3" s="138" t="s">
        <v>225</v>
      </c>
      <c r="J3" s="138" t="s">
        <v>23</v>
      </c>
      <c r="K3" s="138" t="s">
        <v>0</v>
      </c>
      <c r="L3" s="138" t="s">
        <v>310</v>
      </c>
      <c r="M3" s="138" t="s">
        <v>306</v>
      </c>
      <c r="N3" s="138" t="s">
        <v>968</v>
      </c>
      <c r="O3" s="138" t="s">
        <v>313</v>
      </c>
      <c r="P3" s="138" t="s">
        <v>217</v>
      </c>
      <c r="Q3" s="138" t="s">
        <v>314</v>
      </c>
      <c r="R3" s="138" t="s">
        <v>969</v>
      </c>
      <c r="S3" s="138" t="s">
        <v>970</v>
      </c>
      <c r="T3" s="138" t="s">
        <v>971</v>
      </c>
      <c r="U3" s="138" t="s">
        <v>972</v>
      </c>
      <c r="V3" s="138" t="s">
        <v>973</v>
      </c>
      <c r="W3" s="138" t="s">
        <v>974</v>
      </c>
      <c r="X3" s="138" t="s">
        <v>775</v>
      </c>
      <c r="Y3" s="138" t="s">
        <v>209</v>
      </c>
      <c r="Z3" s="138" t="s">
        <v>211</v>
      </c>
      <c r="AA3" s="138" t="s">
        <v>1118</v>
      </c>
      <c r="AB3" s="138" t="s">
        <v>213</v>
      </c>
      <c r="AC3" s="138" t="s">
        <v>214</v>
      </c>
      <c r="AD3" s="138" t="s">
        <v>527</v>
      </c>
      <c r="AE3" s="138" t="s">
        <v>790</v>
      </c>
      <c r="AF3" s="138" t="s">
        <v>1037</v>
      </c>
      <c r="AG3" s="138" t="s">
        <v>937</v>
      </c>
      <c r="AH3" s="138" t="s">
        <v>1119</v>
      </c>
      <c r="AI3" s="138" t="s">
        <v>938</v>
      </c>
      <c r="AJ3" s="138" t="s">
        <v>939</v>
      </c>
      <c r="AK3" s="138" t="s">
        <v>1120</v>
      </c>
      <c r="AL3" s="138" t="s">
        <v>791</v>
      </c>
      <c r="AM3" s="258" t="s">
        <v>940</v>
      </c>
      <c r="AN3" s="258" t="s">
        <v>941</v>
      </c>
      <c r="AO3" s="258" t="s">
        <v>942</v>
      </c>
      <c r="AP3" s="258" t="s">
        <v>943</v>
      </c>
      <c r="AQ3" s="258" t="s">
        <v>792</v>
      </c>
      <c r="AR3" s="258" t="s">
        <v>944</v>
      </c>
      <c r="AS3" s="258" t="s">
        <v>945</v>
      </c>
      <c r="AT3" s="258" t="s">
        <v>946</v>
      </c>
      <c r="AU3" s="258" t="s">
        <v>947</v>
      </c>
      <c r="AV3" s="258" t="s">
        <v>866</v>
      </c>
      <c r="AW3" s="258" t="s">
        <v>948</v>
      </c>
      <c r="AX3" s="258" t="s">
        <v>949</v>
      </c>
      <c r="AY3" s="258" t="s">
        <v>950</v>
      </c>
      <c r="AZ3" s="258" t="s">
        <v>951</v>
      </c>
      <c r="BA3" s="258" t="s">
        <v>867</v>
      </c>
      <c r="BB3" s="258" t="s">
        <v>952</v>
      </c>
      <c r="BC3" s="258" t="s">
        <v>953</v>
      </c>
      <c r="BD3" s="258" t="s">
        <v>954</v>
      </c>
      <c r="BE3" s="258" t="s">
        <v>955</v>
      </c>
      <c r="BF3" s="258" t="s">
        <v>1038</v>
      </c>
      <c r="BG3" s="258" t="s">
        <v>956</v>
      </c>
      <c r="BH3" s="258" t="s">
        <v>957</v>
      </c>
      <c r="BI3" s="258" t="s">
        <v>958</v>
      </c>
      <c r="BJ3" s="258" t="s">
        <v>959</v>
      </c>
      <c r="BK3" s="258" t="s">
        <v>1039</v>
      </c>
      <c r="BL3" s="258" t="s">
        <v>960</v>
      </c>
      <c r="BM3" s="258" t="s">
        <v>961</v>
      </c>
      <c r="BN3" s="258" t="s">
        <v>962</v>
      </c>
      <c r="BO3" s="258" t="s">
        <v>963</v>
      </c>
      <c r="BP3" s="258" t="s">
        <v>1040</v>
      </c>
      <c r="BQ3" s="258" t="s">
        <v>964</v>
      </c>
      <c r="BR3" s="258" t="s">
        <v>965</v>
      </c>
      <c r="BS3" s="258" t="s">
        <v>966</v>
      </c>
      <c r="BT3" s="258" t="s">
        <v>967</v>
      </c>
      <c r="BU3" s="138" t="s">
        <v>1041</v>
      </c>
      <c r="BV3" s="305" t="s">
        <v>308</v>
      </c>
      <c r="BW3" s="138" t="s">
        <v>975</v>
      </c>
      <c r="BX3" s="138" t="s">
        <v>1042</v>
      </c>
      <c r="BY3" s="138" t="s">
        <v>976</v>
      </c>
      <c r="BZ3" s="138" t="s">
        <v>309</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45458</v>
      </c>
      <c r="M4" s="62">
        <f>IF(ISERROR(TblImps[[#This Row],[algorithm]]),0,TblImps[[#This Row],[algorithm]]*1)</f>
        <v>0</v>
      </c>
      <c r="N4" s="97">
        <f ca="1">TblImps[[#This Row],[Land]]</f>
        <v>250</v>
      </c>
      <c r="O4" s="308" t="s">
        <v>4</v>
      </c>
      <c r="P4" s="309"/>
      <c r="Q4" s="308" t="s">
        <v>209</v>
      </c>
      <c r="R4" s="308" t="s">
        <v>7</v>
      </c>
      <c r="S4" s="309"/>
      <c r="T4" s="308" t="s">
        <v>209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Spires]]/(towers_param*(OFFSET(TblImps[[#This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Harbor]]/(harbor_towers_param*(OFFSET(TblImps[[#This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45458</v>
      </c>
      <c r="BZ4" s="313">
        <f>Overview!B15</f>
        <v>45458</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45458.041666666664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Spires]]/(towers_param*(OFFSET(TblImps[[#This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Harbor]]/(harbor_towers_param*(OFFSET(TblImps[[#This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Spires]],-1,0)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Harbor]],-1,0)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45458.041666666664</v>
      </c>
      <c r="BZ5" s="317">
        <f ca="1">OFFSET(TblImps[[#This Row],[Servertime]],-1,0)+1/24</f>
        <v>45458.041666666664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45458.083333333328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Spires]]/(towers_param*(OFFSET(TblImps[[#This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Harbor]]/(harbor_towers_param*(OFFSET(TblImps[[#This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Spires]],-1,0)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Harbor]],-1,0)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45458.083333333328</v>
      </c>
      <c r="BZ6" s="317">
        <f ca="1">OFFSET(TblImps[[#This Row],[Servertime]],-1,0)+1/24</f>
        <v>45458.083333333328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45458.124999999993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Spires]]/(towers_param*(OFFSET(TblImps[[#This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Harbor]]/(harbor_towers_param*(OFFSET(TblImps[[#This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Spires]],-1,0)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Harbor]],-1,0)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45458.124999999993</v>
      </c>
      <c r="BZ7" s="317">
        <f ca="1">OFFSET(TblImps[[#This Row],[Servertime]],-1,0)+1/24</f>
        <v>45458.124999999993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45458.166666666657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Spires]]/(towers_param*(OFFSET(TblImps[[#This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Harbor]]/(harbor_towers_param*(OFFSET(TblImps[[#This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Spires]],-1,0)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Harbor]],-1,0)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45458.166666666657</v>
      </c>
      <c r="BZ8" s="317">
        <f ca="1">OFFSET(TblImps[[#This Row],[Servertime]],-1,0)+1/24</f>
        <v>45458.166666666657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45458.208333333321</v>
      </c>
      <c r="M9" s="62">
        <f>IF(ISERROR(TblImps[[#This Row],[algorithm]]),0,TblImps[[#This Row],[algorithm]]*1)</f>
        <v>0</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Spires]]/(towers_param*(OFFSET(TblImps[[#This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Harbor]]/(harbor_towers_param*(OFFSET(TblImps[[#This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Spires]],-1,0)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Harbor]],-1,0)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45458.208333333321</v>
      </c>
      <c r="BZ9" s="317">
        <f ca="1">OFFSET(TblImps[[#This Row],[Servertime]],-1,0)+1/24</f>
        <v>45458.208333333321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45458.249999999985</v>
      </c>
      <c r="M10" s="62">
        <f>IF(ISERROR(TblImps[[#This Row],[algorithm]]),0,TblImps[[#This Row],[algorithm]]*1)</f>
        <v>0</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Spires]]/(towers_param*(OFFSET(TblImps[[#This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Harbor]]/(harbor_towers_param*(OFFSET(TblImps[[#This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Spires]],-1,0)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Harbor]],-1,0)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45458.249999999985</v>
      </c>
      <c r="BZ10" s="317">
        <f ca="1">OFFSET(TblImps[[#This Row],[Servertime]],-1,0)+1/24</f>
        <v>45458.249999999985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45458.29166666665</v>
      </c>
      <c r="M11" s="62">
        <f>IF(ISERROR(TblImps[[#This Row],[algorithm]]),0,TblImps[[#This Row],[algorithm]]*1)</f>
        <v>0</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Spires]]/(towers_param*(OFFSET(TblImps[[#This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Harbor]]/(harbor_towers_param*(OFFSET(TblImps[[#This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Spires]],-1,0)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Harbor]],-1,0)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45458.29166666665</v>
      </c>
      <c r="BZ11" s="317">
        <f ca="1">OFFSET(TblImps[[#This Row],[Servertime]],-1,0)+1/24</f>
        <v>45458.29166666665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45458.333333333314</v>
      </c>
      <c r="M12" s="62">
        <f>IF(ISERROR(TblImps[[#This Row],[algorithm]]),0,TblImps[[#This Row],[algorithm]]*1)</f>
        <v>0</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Spires]]/(towers_param*(OFFSET(TblImps[[#This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Harbor]]/(harbor_towers_param*(OFFSET(TblImps[[#This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Spires]],-1,0)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Harbor]],-1,0)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45458.333333333314</v>
      </c>
      <c r="BZ12" s="317">
        <f ca="1">OFFSET(TblImps[[#This Row],[Servertime]],-1,0)+1/24</f>
        <v>45458.333333333314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45458.374999999978</v>
      </c>
      <c r="M13" s="62">
        <f>IF(ISERROR(TblImps[[#This Row],[algorithm]]),0,TblImps[[#This Row],[algorithm]]*1)</f>
        <v>0</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Spires]]/(towers_param*(OFFSET(TblImps[[#This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Harbor]]/(harbor_towers_param*(OFFSET(TblImps[[#This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Spires]],-1,0)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Harbor]],-1,0)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45458.374999999978</v>
      </c>
      <c r="BZ13" s="317">
        <f ca="1">OFFSET(TblImps[[#This Row],[Servertime]],-1,0)+1/24</f>
        <v>45458.374999999978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45458.416666666642</v>
      </c>
      <c r="M14" s="62">
        <f>IF(ISERROR(TblImps[[#This Row],[algorithm]]),0,TblImps[[#This Row],[algorithm]]*1)</f>
        <v>0</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Spires]]/(towers_param*(OFFSET(TblImps[[#This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Harbor]]/(harbor_towers_param*(OFFSET(TblImps[[#This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Spires]],-1,0)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Harbor]],-1,0)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45458.416666666642</v>
      </c>
      <c r="BZ14" s="317">
        <f ca="1">OFFSET(TblImps[[#This Row],[Servertime]],-1,0)+1/24</f>
        <v>45458.416666666642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45458.458333333307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Spires]]/(towers_param*(OFFSET(TblImps[[#This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Harbor]]/(harbor_towers_param*(OFFSET(TblImps[[#This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Spires]],-1,0)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Harbor]],-1,0)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45458.458333333307</v>
      </c>
      <c r="BZ15" s="317">
        <f ca="1">OFFSET(TblImps[[#This Row],[Servertime]],-1,0)+1/24</f>
        <v>45458.458333333307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45458.499999999971</v>
      </c>
      <c r="M16" s="62">
        <f>IF(ISERROR(TblImps[[#This Row],[algorithm]]),0,TblImps[[#This Row],[algorithm]]*1)</f>
        <v>0</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Spires]]/(towers_param*(OFFSET(TblImps[[#This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Harbor]]/(harbor_towers_param*(OFFSET(TblImps[[#This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Spires]],-1,0)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Harbor]],-1,0)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45458.499999999971</v>
      </c>
      <c r="BZ16" s="317">
        <f ca="1">OFFSET(TblImps[[#This Row],[Servertime]],-1,0)+1/24</f>
        <v>45458.499999999971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45458.541666666635</v>
      </c>
      <c r="M17" s="62">
        <f>IF(ISERROR(TblImps[[#This Row],[algorithm]]),0,TblImps[[#This Row],[algorithm]]*1)</f>
        <v>0</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Spires]]/(towers_param*(OFFSET(TblImps[[#This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Harbor]]/(harbor_towers_param*(OFFSET(TblImps[[#This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Spires]],-1,0)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Harbor]],-1,0)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45458.541666666635</v>
      </c>
      <c r="BZ17" s="317">
        <f ca="1">OFFSET(TblImps[[#This Row],[Servertime]],-1,0)+1/24</f>
        <v>45458.541666666635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45458.583333333299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Spires]]/(towers_param*(OFFSET(TblImps[[#This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Harbor]]/(harbor_towers_param*(OFFSET(TblImps[[#This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Spires]],-1,0)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Harbor]],-1,0)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45458.583333333299</v>
      </c>
      <c r="BZ18" s="317">
        <f ca="1">OFFSET(TblImps[[#This Row],[Servertime]],-1,0)+1/24</f>
        <v>45458.583333333299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45458.624999999964</v>
      </c>
      <c r="M19" s="62">
        <f>IF(ISERROR(TblImps[[#This Row],[algorithm]]),0,TblImps[[#This Row],[algorithm]]*1)</f>
        <v>0</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Spires]]/(towers_param*(OFFSET(TblImps[[#This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Harbor]]/(harbor_towers_param*(OFFSET(TblImps[[#This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Spires]],-1,0)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Harbor]],-1,0)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45458.624999999964</v>
      </c>
      <c r="BZ19" s="317">
        <f ca="1">OFFSET(TblImps[[#This Row],[Servertime]],-1,0)+1/24</f>
        <v>45458.624999999964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45458.666666666628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Spires]]/(towers_param*(OFFSET(TblImps[[#This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Harbor]]/(harbor_towers_param*(OFFSET(TblImps[[#This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Spires]],-1,0)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Harbor]],-1,0)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45458.666666666628</v>
      </c>
      <c r="BZ20" s="317">
        <f ca="1">OFFSET(TblImps[[#This Row],[Servertime]],-1,0)+1/24</f>
        <v>45458.666666666628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45458.708333333292</v>
      </c>
      <c r="M21" s="62">
        <f>IF(ISERROR(TblImps[[#This Row],[algorithm]]),0,TblImps[[#This Row],[algorithm]]*1)</f>
        <v>0</v>
      </c>
      <c r="N21" s="97">
        <f ca="1">TblImps[[#This Row],[Land]]</f>
        <v>250</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Spires]]/(towers_param*(OFFSET(TblImps[[#This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Harbor]]/(harbor_towers_param*(OFFSET(TblImps[[#This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Spires]],-1,0)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Harbor]],-1,0)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45458.708333333292</v>
      </c>
      <c r="BZ21" s="317">
        <f ca="1">OFFSET(TblImps[[#This Row],[Servertime]],-1,0)+1/24</f>
        <v>45458.708333333292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45458.749999999956</v>
      </c>
      <c r="M22" s="62">
        <f>IF(ISERROR(TblImps[[#This Row],[algorithm]]),0,TblImps[[#This Row],[algorithm]]*1)</f>
        <v>0</v>
      </c>
      <c r="N22" s="97">
        <f ca="1">TblImps[[#This Row],[Land]]</f>
        <v>250</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Spires]]/(towers_param*(OFFSET(TblImps[[#This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Harbor]]/(harbor_towers_param*(OFFSET(TblImps[[#This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Spires]],-1,0)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Harbor]],-1,0)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45458.749999999956</v>
      </c>
      <c r="BZ22" s="317">
        <f ca="1">OFFSET(TblImps[[#This Row],[Servertime]],-1,0)+1/24</f>
        <v>45458.749999999956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45458.791666666621</v>
      </c>
      <c r="M23" s="62">
        <f>IF(ISERROR(TblImps[[#This Row],[algorithm]]),0,TblImps[[#This Row],[algorithm]]*1)</f>
        <v>0</v>
      </c>
      <c r="N23" s="97">
        <f ca="1">TblImps[[#This Row],[Land]]</f>
        <v>250</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Spires]]/(towers_param*(OFFSET(TblImps[[#This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Harbor]]/(harbor_towers_param*(OFFSET(TblImps[[#This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Spires]],-1,0)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Harbor]],-1,0)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45458.791666666621</v>
      </c>
      <c r="BZ23" s="317">
        <f ca="1">OFFSET(TblImps[[#This Row],[Servertime]],-1,0)+1/24</f>
        <v>45458.791666666621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45458.833333333285</v>
      </c>
      <c r="M24" s="62">
        <f>IF(ISERROR(TblImps[[#This Row],[algorithm]]),0,TblImps[[#This Row],[algorithm]]*1)</f>
        <v>0</v>
      </c>
      <c r="N24" s="97">
        <f ca="1">TblImps[[#This Row],[Land]]</f>
        <v>250</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Spires]]/(towers_param*(OFFSET(TblImps[[#This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Harbor]]/(harbor_towers_param*(OFFSET(TblImps[[#This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Spires]],-1,0)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Harbor]],-1,0)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45458.833333333285</v>
      </c>
      <c r="BZ24" s="317">
        <f ca="1">OFFSET(TblImps[[#This Row],[Servertime]],-1,0)+1/24</f>
        <v>45458.833333333285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45458.874999999949</v>
      </c>
      <c r="M25" s="62">
        <f>IF(ISERROR(TblImps[[#This Row],[algorithm]]),0,TblImps[[#This Row],[algorithm]]*1)</f>
        <v>0</v>
      </c>
      <c r="N25" s="97">
        <f ca="1">TblImps[[#This Row],[Land]]</f>
        <v>250</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Spires]]/(towers_param*(OFFSET(TblImps[[#This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Harbor]]/(harbor_towers_param*(OFFSET(TblImps[[#This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Spires]],-1,0)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Harbor]],-1,0)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45458.874999999949</v>
      </c>
      <c r="BZ25" s="317">
        <f ca="1">OFFSET(TblImps[[#This Row],[Servertime]],-1,0)+1/24</f>
        <v>45458.874999999949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45458.916666666613</v>
      </c>
      <c r="M26" s="62">
        <f>IF(ISERROR(TblImps[[#This Row],[algorithm]]),0,TblImps[[#This Row],[algorithm]]*1)</f>
        <v>0</v>
      </c>
      <c r="N26" s="97">
        <f ca="1">TblImps[[#This Row],[Land]]</f>
        <v>250</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Spires]]/(towers_param*(OFFSET(TblImps[[#This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Harbor]]/(harbor_towers_param*(OFFSET(TblImps[[#This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Spires]],-1,0)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Harbor]],-1,0)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45458.916666666613</v>
      </c>
      <c r="BZ26" s="317">
        <f ca="1">OFFSET(TblImps[[#This Row],[Servertime]],-1,0)+1/24</f>
        <v>45458.916666666613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45458.958333333278</v>
      </c>
      <c r="M27" s="62">
        <f>IF(ISERROR(TblImps[[#This Row],[algorithm]]),0,TblImps[[#This Row],[algorithm]]*1)</f>
        <v>0</v>
      </c>
      <c r="N27" s="97">
        <f ca="1">TblImps[[#This Row],[Land]]</f>
        <v>250</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Spires]]/(towers_param*(OFFSET(TblImps[[#This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Harbor]]/(harbor_towers_param*(OFFSET(TblImps[[#This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Spires]],-1,0)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Harbor]],-1,0)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45458.958333333278</v>
      </c>
      <c r="BZ27" s="317">
        <f ca="1">OFFSET(TblImps[[#This Row],[Servertime]],-1,0)+1/24</f>
        <v>45458.958333333278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45458.999999999942</v>
      </c>
      <c r="M28" s="62">
        <f>IF(ISERROR(TblImps[[#This Row],[algorithm]]),0,TblImps[[#This Row],[algorithm]]*1)</f>
        <v>0</v>
      </c>
      <c r="N28" s="97">
        <f ca="1">TblImps[[#This Row],[Land]]</f>
        <v>250</v>
      </c>
      <c r="O28" s="308" t="s">
        <v>4</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Spires]]/(towers_param*(OFFSET(TblImps[[#This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Harbor]]/(harbor_towers_param*(OFFSET(TblImps[[#This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Spires]],-1,0)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Harbor]],-1,0)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45458.999999999942</v>
      </c>
      <c r="BZ28" s="317">
        <f ca="1">OFFSET(TblImps[[#This Row],[Servertime]],-1,0)+1/24</f>
        <v>45458.999999999942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45459.041666666606</v>
      </c>
      <c r="M29" s="62">
        <f>IF(ISERROR(TblImps[[#This Row],[algorithm]]),0,TblImps[[#This Row],[algorithm]]*1)</f>
        <v>0</v>
      </c>
      <c r="N29" s="97">
        <f ca="1">TblImps[[#This Row],[Land]]</f>
        <v>250</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Spires]]/(towers_param*(OFFSET(TblImps[[#This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Harbor]]/(harbor_towers_param*(OFFSET(TblImps[[#This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Spires]],-1,0)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Harbor]],-1,0)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45459.041666666606</v>
      </c>
      <c r="BZ29" s="317">
        <f ca="1">OFFSET(TblImps[[#This Row],[Servertime]],-1,0)+1/24</f>
        <v>45459.041666666606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45459.08333333327</v>
      </c>
      <c r="M30" s="62">
        <f>IF(ISERROR(TblImps[[#This Row],[algorithm]]),0,TblImps[[#This Row],[algorithm]]*1)</f>
        <v>0</v>
      </c>
      <c r="N30" s="97">
        <f ca="1">TblImps[[#This Row],[Land]]</f>
        <v>250</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Spires]]/(towers_param*(OFFSET(TblImps[[#This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Harbor]]/(harbor_towers_param*(OFFSET(TblImps[[#This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Spires]],-1,0)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Harbor]],-1,0)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45459.08333333327</v>
      </c>
      <c r="BZ30" s="317">
        <f ca="1">OFFSET(TblImps[[#This Row],[Servertime]],-1,0)+1/24</f>
        <v>45459.08333333327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45459.124999999935</v>
      </c>
      <c r="M31" s="62">
        <f>IF(ISERROR(TblImps[[#This Row],[algorithm]]),0,TblImps[[#This Row],[algorithm]]*1)</f>
        <v>0</v>
      </c>
      <c r="N31" s="97">
        <f ca="1">TblImps[[#This Row],[Land]]</f>
        <v>250</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Spires]]/(towers_param*(OFFSET(TblImps[[#This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Harbor]]/(harbor_towers_param*(OFFSET(TblImps[[#This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Spires]],-1,0)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Harbor]],-1,0)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45459.124999999935</v>
      </c>
      <c r="BZ31" s="317">
        <f ca="1">OFFSET(TblImps[[#This Row],[Servertime]],-1,0)+1/24</f>
        <v>45459.124999999935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45459.166666666599</v>
      </c>
      <c r="M32" s="62">
        <f>IF(ISERROR(TblImps[[#This Row],[algorithm]]),0,TblImps[[#This Row],[algorithm]]*1)</f>
        <v>0</v>
      </c>
      <c r="N32" s="97">
        <f ca="1">TblImps[[#This Row],[Land]]</f>
        <v>250</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Spires]]/(towers_param*(OFFSET(TblImps[[#This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Harbor]]/(harbor_towers_param*(OFFSET(TblImps[[#This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Spires]],-1,0)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Harbor]],-1,0)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45459.166666666599</v>
      </c>
      <c r="BZ32" s="317">
        <f ca="1">OFFSET(TblImps[[#This Row],[Servertime]],-1,0)+1/24</f>
        <v>45459.166666666599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45459.208333333263</v>
      </c>
      <c r="M33" s="62">
        <f>IF(ISERROR(TblImps[[#This Row],[algorithm]]),0,TblImps[[#This Row],[algorithm]]*1)</f>
        <v>0</v>
      </c>
      <c r="N33" s="97">
        <f ca="1">TblImps[[#This Row],[Land]]</f>
        <v>250</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Spires]]/(towers_param*(OFFSET(TblImps[[#This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Harbor]]/(harbor_towers_param*(OFFSET(TblImps[[#This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Spires]],-1,0)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Harbor]],-1,0)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45459.208333333263</v>
      </c>
      <c r="BZ33" s="317">
        <f ca="1">OFFSET(TblImps[[#This Row],[Servertime]],-1,0)+1/24</f>
        <v>45459.208333333263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45459.249999999927</v>
      </c>
      <c r="M34" s="62">
        <f>IF(ISERROR(TblImps[[#This Row],[algorithm]]),0,TblImps[[#This Row],[algorithm]]*1)</f>
        <v>0</v>
      </c>
      <c r="N34" s="97">
        <f ca="1">TblImps[[#This Row],[Land]]</f>
        <v>250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Spires]]/(towers_param*(OFFSET(TblImps[[#This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Harbor]]/(harbor_towers_param*(OFFSET(TblImps[[#This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Spires]],-1,0)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Harbor]],-1,0)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45459.249999999927</v>
      </c>
      <c r="BZ34" s="317">
        <f ca="1">OFFSET(TblImps[[#This Row],[Servertime]],-1,0)+1/24</f>
        <v>45459.249999999927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45459.291666666591</v>
      </c>
      <c r="M35" s="62">
        <f>IF(ISERROR(TblImps[[#This Row],[algorithm]]),0,TblImps[[#This Row],[algorithm]]*1)</f>
        <v>0</v>
      </c>
      <c r="N35" s="97">
        <f ca="1">TblImps[[#This Row],[Land]]</f>
        <v>250</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Spires]]/(towers_param*(OFFSET(TblImps[[#This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Harbor]]/(harbor_towers_param*(OFFSET(TblImps[[#This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Spires]],-1,0)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Harbor]],-1,0)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45459.291666666591</v>
      </c>
      <c r="BZ35" s="317">
        <f ca="1">OFFSET(TblImps[[#This Row],[Servertime]],-1,0)+1/24</f>
        <v>45459.291666666591</v>
      </c>
      <c r="CA35" s="57"/>
      <c r="CB35" s="315"/>
      <c r="CC35" s="315"/>
      <c r="CD35" s="45" t="s">
        <v>209</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45459.333333333256</v>
      </c>
      <c r="M36" s="62">
        <f>IF(ISERROR(TblImps[[#This Row],[algorithm]]),0,TblImps[[#This Row],[algorithm]]*1)</f>
        <v>0</v>
      </c>
      <c r="N36" s="97">
        <f ca="1">TblImps[[#This Row],[Land]]</f>
        <v>250</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Spires]]/(towers_param*(OFFSET(TblImps[[#This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Harbor]]/(harbor_towers_param*(OFFSET(TblImps[[#This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Spires]],-1,0)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Harbor]],-1,0)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45459.333333333256</v>
      </c>
      <c r="BZ36" s="317">
        <f ca="1">OFFSET(TblImps[[#This Row],[Servertime]],-1,0)+1/24</f>
        <v>45459.333333333256</v>
      </c>
      <c r="CA36" s="57"/>
      <c r="CB36" s="315"/>
      <c r="CC36" s="315"/>
      <c r="CD36" s="45" t="s">
        <v>211</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45459.37499999992</v>
      </c>
      <c r="M37" s="62">
        <f>IF(ISERROR(TblImps[[#This Row],[algorithm]]),0,TblImps[[#This Row],[algorithm]]*1)</f>
        <v>0</v>
      </c>
      <c r="N37" s="97">
        <f ca="1">TblImps[[#This Row],[Land]]</f>
        <v>250</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Spires]]/(towers_param*(OFFSET(TblImps[[#This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Harbor]]/(harbor_towers_param*(OFFSET(TblImps[[#This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Spires]],-1,0)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Harbor]],-1,0)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45459.37499999992</v>
      </c>
      <c r="BZ37" s="317">
        <f ca="1">OFFSET(TblImps[[#This Row],[Servertime]],-1,0)+1/24</f>
        <v>45459.37499999992</v>
      </c>
      <c r="CA37" s="57"/>
      <c r="CB37" s="315"/>
      <c r="CC37" s="315"/>
      <c r="CD37" s="45" t="s">
        <v>1118</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45459.416666666584</v>
      </c>
      <c r="M38" s="62">
        <f>IF(ISERROR(TblImps[[#This Row],[algorithm]]),0,TblImps[[#This Row],[algorithm]]*1)</f>
        <v>0</v>
      </c>
      <c r="N38" s="97">
        <f ca="1">TblImps[[#This Row],[Land]]</f>
        <v>250</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Spires]]/(towers_param*(OFFSET(TblImps[[#This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Harbor]]/(harbor_towers_param*(OFFSET(TblImps[[#This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Spires]],-1,0)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Harbor]],-1,0)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45459.416666666584</v>
      </c>
      <c r="BZ38" s="317">
        <f ca="1">OFFSET(TblImps[[#This Row],[Servertime]],-1,0)+1/24</f>
        <v>45459.416666666584</v>
      </c>
      <c r="CA38" s="57"/>
      <c r="CB38" s="315"/>
      <c r="CC38" s="315"/>
      <c r="CD38" s="45" t="s">
        <v>213</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45459.458333333248</v>
      </c>
      <c r="M39" s="62">
        <f>IF(ISERROR(TblImps[[#This Row],[algorithm]]),0,TblImps[[#This Row],[algorithm]]*1)</f>
        <v>0</v>
      </c>
      <c r="N39" s="97">
        <f ca="1">TblImps[[#This Row],[Land]]</f>
        <v>250</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Spires]]/(towers_param*(OFFSET(TblImps[[#This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Harbor]]/(harbor_towers_param*(OFFSET(TblImps[[#This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Spires]],-1,0)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Harbor]],-1,0)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45459.458333333248</v>
      </c>
      <c r="BZ39" s="317">
        <f ca="1">OFFSET(TblImps[[#This Row],[Servertime]],-1,0)+1/24</f>
        <v>45459.458333333248</v>
      </c>
      <c r="CA39" s="57"/>
      <c r="CB39" s="315"/>
      <c r="CC39" s="315"/>
      <c r="CD39" s="45" t="s">
        <v>214</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45459.499999999913</v>
      </c>
      <c r="M40" s="62">
        <f>IF(ISERROR(TblImps[[#This Row],[algorithm]]),0,TblImps[[#This Row],[algorithm]]*1)</f>
        <v>0</v>
      </c>
      <c r="N40" s="97">
        <f ca="1">TblImps[[#This Row],[Land]]</f>
        <v>250</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Spires]]/(towers_param*(OFFSET(TblImps[[#This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Harbor]]/(harbor_towers_param*(OFFSET(TblImps[[#This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Spires]],-1,0)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Harbor]],-1,0)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45459.499999999913</v>
      </c>
      <c r="BZ40" s="317">
        <f ca="1">OFFSET(TblImps[[#This Row],[Servertime]],-1,0)+1/24</f>
        <v>45459.499999999913</v>
      </c>
      <c r="CA40" s="57"/>
      <c r="CB40" s="315"/>
      <c r="CC40" s="315"/>
      <c r="CD40" s="45" t="s">
        <v>527</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45459.541666666577</v>
      </c>
      <c r="M41" s="62">
        <f>IF(ISERROR(TblImps[[#This Row],[algorithm]]),0,TblImps[[#This Row],[algorithm]]*1)</f>
        <v>0</v>
      </c>
      <c r="N41" s="97">
        <f ca="1">TblImps[[#This Row],[Land]]</f>
        <v>250</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Spires]]/(towers_param*(OFFSET(TblImps[[#This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Harbor]]/(harbor_towers_param*(OFFSET(TblImps[[#This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Spires]],-1,0)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Harbor]],-1,0)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45459.541666666577</v>
      </c>
      <c r="BZ41" s="317">
        <f ca="1">OFFSET(TblImps[[#This Row],[Servertime]],-1,0)+1/24</f>
        <v>45459.541666666577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45459.583333333241</v>
      </c>
      <c r="M42" s="62">
        <f>IF(ISERROR(TblImps[[#This Row],[algorithm]]),0,TblImps[[#This Row],[algorithm]]*1)</f>
        <v>0</v>
      </c>
      <c r="N42" s="97">
        <f ca="1">TblImps[[#This Row],[Land]]</f>
        <v>250</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Spires]]/(towers_param*(OFFSET(TblImps[[#This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Harbor]]/(harbor_towers_param*(OFFSET(TblImps[[#This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Spires]],-1,0)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Harbor]],-1,0)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45459.583333333241</v>
      </c>
      <c r="BZ42" s="317">
        <f ca="1">OFFSET(TblImps[[#This Row],[Servertime]],-1,0)+1/24</f>
        <v>45459.583333333241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45459.624999999905</v>
      </c>
      <c r="M43" s="62">
        <f>IF(ISERROR(TblImps[[#This Row],[algorithm]]),0,TblImps[[#This Row],[algorithm]]*1)</f>
        <v>0</v>
      </c>
      <c r="N43" s="97">
        <f ca="1">TblImps[[#This Row],[Land]]</f>
        <v>250</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Spires]]/(towers_param*(OFFSET(TblImps[[#This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Harbor]]/(harbor_towers_param*(OFFSET(TblImps[[#This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Spires]],-1,0)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Harbor]],-1,0)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45459.624999999905</v>
      </c>
      <c r="BZ43" s="317">
        <f ca="1">OFFSET(TblImps[[#This Row],[Servertime]],-1,0)+1/24</f>
        <v>45459.624999999905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45459.66666666657</v>
      </c>
      <c r="M44" s="62">
        <f>IF(ISERROR(TblImps[[#This Row],[algorithm]]),0,TblImps[[#This Row],[algorithm]]*1)</f>
        <v>0</v>
      </c>
      <c r="N44" s="97">
        <f ca="1">TblImps[[#This Row],[Land]]</f>
        <v>250</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Spires]]/(towers_param*(OFFSET(TblImps[[#This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Harbor]]/(harbor_towers_param*(OFFSET(TblImps[[#This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Spires]],-1,0)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Harbor]],-1,0)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45459.66666666657</v>
      </c>
      <c r="BZ44" s="317">
        <f ca="1">OFFSET(TblImps[[#This Row],[Servertime]],-1,0)+1/24</f>
        <v>45459.66666666657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45459.708333333234</v>
      </c>
      <c r="M45" s="62">
        <f>IF(ISERROR(TblImps[[#This Row],[algorithm]]),0,TblImps[[#This Row],[algorithm]]*1)</f>
        <v>0</v>
      </c>
      <c r="N45" s="97">
        <f ca="1">TblImps[[#This Row],[Land]]</f>
        <v>250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Spires]]/(towers_param*(OFFSET(TblImps[[#This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Harbor]]/(harbor_towers_param*(OFFSET(TblImps[[#This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Spires]],-1,0)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Harbor]],-1,0)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45459.708333333234</v>
      </c>
      <c r="BZ45" s="317">
        <f ca="1">OFFSET(TblImps[[#This Row],[Servertime]],-1,0)+1/24</f>
        <v>45459.708333333234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45459.749999999898</v>
      </c>
      <c r="M46" s="62">
        <f>IF(ISERROR(TblImps[[#This Row],[algorithm]]),0,TblImps[[#This Row],[algorithm]]*1)</f>
        <v>0</v>
      </c>
      <c r="N46" s="97">
        <f ca="1">TblImps[[#This Row],[Land]]</f>
        <v>250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Spires]]/(towers_param*(OFFSET(TblImps[[#This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Harbor]]/(harbor_towers_param*(OFFSET(TblImps[[#This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Spires]],-1,0)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Harbor]],-1,0)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45459.749999999898</v>
      </c>
      <c r="BZ46" s="317">
        <f ca="1">OFFSET(TblImps[[#This Row],[Servertime]],-1,0)+1/24</f>
        <v>45459.749999999898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45459.791666666562</v>
      </c>
      <c r="M47" s="62">
        <f>IF(ISERROR(TblImps[[#This Row],[algorithm]]),0,TblImps[[#This Row],[algorithm]]*1)</f>
        <v>0</v>
      </c>
      <c r="N47" s="97">
        <f ca="1">TblImps[[#This Row],[Land]]</f>
        <v>250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Spires]]/(towers_param*(OFFSET(TblImps[[#This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Harbor]]/(harbor_towers_param*(OFFSET(TblImps[[#This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Spires]],-1,0)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Harbor]],-1,0)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45459.791666666562</v>
      </c>
      <c r="BZ47" s="317">
        <f ca="1">OFFSET(TblImps[[#This Row],[Servertime]],-1,0)+1/24</f>
        <v>45459.791666666562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45459.833333333227</v>
      </c>
      <c r="M48" s="62">
        <f>IF(ISERROR(TblImps[[#This Row],[algorithm]]),0,TblImps[[#This Row],[algorithm]]*1)</f>
        <v>0</v>
      </c>
      <c r="N48" s="97">
        <f ca="1">TblImps[[#This Row],[Land]]</f>
        <v>250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Spires]]/(towers_param*(OFFSET(TblImps[[#This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Harbor]]/(harbor_towers_param*(OFFSET(TblImps[[#This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Spires]],-1,0)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Harbor]],-1,0)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45459.833333333227</v>
      </c>
      <c r="BZ48" s="317">
        <f ca="1">OFFSET(TblImps[[#This Row],[Servertime]],-1,0)+1/24</f>
        <v>45459.833333333227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45459.874999999891</v>
      </c>
      <c r="M49" s="62">
        <f>IF(ISERROR(TblImps[[#This Row],[algorithm]]),0,TblImps[[#This Row],[algorithm]]*1)</f>
        <v>0</v>
      </c>
      <c r="N49" s="97">
        <f ca="1">TblImps[[#This Row],[Land]]</f>
        <v>250</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Spires]]/(towers_param*(OFFSET(TblImps[[#This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Harbor]]/(harbor_towers_param*(OFFSET(TblImps[[#This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Spires]],-1,0)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Harbor]],-1,0)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45459.874999999891</v>
      </c>
      <c r="BZ49" s="317">
        <f ca="1">OFFSET(TblImps[[#This Row],[Servertime]],-1,0)+1/24</f>
        <v>45459.874999999891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45459.916666666555</v>
      </c>
      <c r="M50" s="62">
        <f>IF(ISERROR(TblImps[[#This Row],[algorithm]]),0,TblImps[[#This Row],[algorithm]]*1)</f>
        <v>0</v>
      </c>
      <c r="N50" s="97">
        <f ca="1">TblImps[[#This Row],[Land]]</f>
        <v>250</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Spires]]/(towers_param*(OFFSET(TblImps[[#This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Harbor]]/(harbor_towers_param*(OFFSET(TblImps[[#This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Spires]],-1,0)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Harbor]],-1,0)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45459.916666666555</v>
      </c>
      <c r="BZ50" s="317">
        <f ca="1">OFFSET(TblImps[[#This Row],[Servertime]],-1,0)+1/24</f>
        <v>45459.916666666555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45459.958333333219</v>
      </c>
      <c r="M51" s="62">
        <f>IF(ISERROR(TblImps[[#This Row],[algorithm]]),0,TblImps[[#This Row],[algorithm]]*1)</f>
        <v>0</v>
      </c>
      <c r="N51" s="97">
        <f ca="1">TblImps[[#This Row],[Land]]</f>
        <v>250</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Spires]]/(towers_param*(OFFSET(TblImps[[#This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Harbor]]/(harbor_towers_param*(OFFSET(TblImps[[#This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Spires]],-1,0)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Harbor]],-1,0)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45459.958333333219</v>
      </c>
      <c r="BZ51" s="317">
        <f ca="1">OFFSET(TblImps[[#This Row],[Servertime]],-1,0)+1/24</f>
        <v>45459.958333333219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45459.999999999884</v>
      </c>
      <c r="M52" s="62">
        <f>IF(ISERROR(TblImps[[#This Row],[algorithm]]),0,TblImps[[#This Row],[algorithm]]*1)</f>
        <v>0</v>
      </c>
      <c r="N52" s="97">
        <f ca="1">TblImps[[#This Row],[Land]]</f>
        <v>250</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Spires]]/(towers_param*(OFFSET(TblImps[[#This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Harbor]]/(harbor_towers_param*(OFFSET(TblImps[[#This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Spires]],-1,0)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Harbor]],-1,0)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45459.999999999884</v>
      </c>
      <c r="BZ52" s="317">
        <f ca="1">OFFSET(TblImps[[#This Row],[Servertime]],-1,0)+1/24</f>
        <v>45459.999999999884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45460.041666666548</v>
      </c>
      <c r="M53" s="62">
        <f>IF(ISERROR(TblImps[[#This Row],[algorithm]]),0,TblImps[[#This Row],[algorithm]]*1)</f>
        <v>0</v>
      </c>
      <c r="N53" s="97">
        <f ca="1">TblImps[[#This Row],[Land]]</f>
        <v>250</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Spires]]/(towers_param*(OFFSET(TblImps[[#This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Harbor]]/(harbor_towers_param*(OFFSET(TblImps[[#This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Spires]],-1,0)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Harbor]],-1,0)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45460.041666666548</v>
      </c>
      <c r="BZ53" s="317">
        <f ca="1">OFFSET(TblImps[[#This Row],[Servertime]],-1,0)+1/24</f>
        <v>45460.041666666548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45460.083333333212</v>
      </c>
      <c r="M54" s="62">
        <f>IF(ISERROR(TblImps[[#This Row],[algorithm]]),0,TblImps[[#This Row],[algorithm]]*1)</f>
        <v>0</v>
      </c>
      <c r="N54" s="97">
        <f ca="1">TblImps[[#This Row],[Land]]</f>
        <v>250</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Spires]]/(towers_param*(OFFSET(TblImps[[#This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Harbor]]/(harbor_towers_param*(OFFSET(TblImps[[#This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Spires]],-1,0)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Harbor]],-1,0)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45460.083333333212</v>
      </c>
      <c r="BZ54" s="317">
        <f ca="1">OFFSET(TblImps[[#This Row],[Servertime]],-1,0)+1/24</f>
        <v>45460.083333333212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45460.124999999876</v>
      </c>
      <c r="M55" s="62">
        <f>IF(ISERROR(TblImps[[#This Row],[algorithm]]),0,TblImps[[#This Row],[algorithm]]*1)</f>
        <v>0</v>
      </c>
      <c r="N55" s="97">
        <f ca="1">TblImps[[#This Row],[Land]]</f>
        <v>250</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Spires]]/(towers_param*(OFFSET(TblImps[[#This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Harbor]]/(harbor_towers_param*(OFFSET(TblImps[[#This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Spires]],-1,0)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Harbor]],-1,0)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45460.124999999876</v>
      </c>
      <c r="BZ55" s="317">
        <f ca="1">OFFSET(TblImps[[#This Row],[Servertime]],-1,0)+1/24</f>
        <v>45460.124999999876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45460.166666666541</v>
      </c>
      <c r="M56" s="62">
        <f>IF(ISERROR(TblImps[[#This Row],[algorithm]]),0,TblImps[[#This Row],[algorithm]]*1)</f>
        <v>0</v>
      </c>
      <c r="N56" s="97">
        <f ca="1">TblImps[[#This Row],[Land]]</f>
        <v>250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Spires]]/(towers_param*(OFFSET(TblImps[[#This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Harbor]]/(harbor_towers_param*(OFFSET(TblImps[[#This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Spires]],-1,0)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Harbor]],-1,0)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45460.166666666541</v>
      </c>
      <c r="BZ56" s="317">
        <f ca="1">OFFSET(TblImps[[#This Row],[Servertime]],-1,0)+1/24</f>
        <v>45460.166666666541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45460.208333333205</v>
      </c>
      <c r="M57" s="62">
        <f>IF(ISERROR(TblImps[[#This Row],[algorithm]]),0,TblImps[[#This Row],[algorithm]]*1)</f>
        <v>0</v>
      </c>
      <c r="N57" s="97">
        <f ca="1">TblImps[[#This Row],[Land]]</f>
        <v>250</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Spires]]/(towers_param*(OFFSET(TblImps[[#This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Harbor]]/(harbor_towers_param*(OFFSET(TblImps[[#This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Spires]],-1,0)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Harbor]],-1,0)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45460.208333333205</v>
      </c>
      <c r="BZ57" s="317">
        <f ca="1">OFFSET(TblImps[[#This Row],[Servertime]],-1,0)+1/24</f>
        <v>45460.208333333205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45460.249999999869</v>
      </c>
      <c r="M58" s="62">
        <f>IF(ISERROR(TblImps[[#This Row],[algorithm]]),0,TblImps[[#This Row],[algorithm]]*1)</f>
        <v>0</v>
      </c>
      <c r="N58" s="97">
        <f ca="1">TblImps[[#This Row],[Land]]</f>
        <v>250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Spires]]/(towers_param*(OFFSET(TblImps[[#This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Harbor]]/(harbor_towers_param*(OFFSET(TblImps[[#This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Spires]],-1,0)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Harbor]],-1,0)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45460.249999999869</v>
      </c>
      <c r="BZ58" s="317">
        <f ca="1">OFFSET(TblImps[[#This Row],[Servertime]],-1,0)+1/24</f>
        <v>45460.249999999869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45460.291666666533</v>
      </c>
      <c r="M59" s="62">
        <f>IF(ISERROR(TblImps[[#This Row],[algorithm]]),0,TblImps[[#This Row],[algorithm]]*1)</f>
        <v>0</v>
      </c>
      <c r="N59" s="97">
        <f ca="1">TblImps[[#This Row],[Land]]</f>
        <v>250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Spires]]/(towers_param*(OFFSET(TblImps[[#This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Harbor]]/(harbor_towers_param*(OFFSET(TblImps[[#This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Spires]],-1,0)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Harbor]],-1,0)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45460.291666666533</v>
      </c>
      <c r="BZ59" s="317">
        <f ca="1">OFFSET(TblImps[[#This Row],[Servertime]],-1,0)+1/24</f>
        <v>45460.291666666533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45460.333333333198</v>
      </c>
      <c r="M60" s="62">
        <f>IF(ISERROR(TblImps[[#This Row],[algorithm]]),0,TblImps[[#This Row],[algorithm]]*1)</f>
        <v>0</v>
      </c>
      <c r="N60" s="97">
        <f ca="1">TblImps[[#This Row],[Land]]</f>
        <v>250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Spires]]/(towers_param*(OFFSET(TblImps[[#This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Harbor]]/(harbor_towers_param*(OFFSET(TblImps[[#This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Spires]],-1,0)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Harbor]],-1,0)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45460.333333333198</v>
      </c>
      <c r="BZ60" s="317">
        <f ca="1">OFFSET(TblImps[[#This Row],[Servertime]],-1,0)+1/24</f>
        <v>45460.333333333198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45460.374999999862</v>
      </c>
      <c r="M61" s="62">
        <f>IF(ISERROR(TblImps[[#This Row],[algorithm]]),0,TblImps[[#This Row],[algorithm]]*1)</f>
        <v>0</v>
      </c>
      <c r="N61" s="97">
        <f ca="1">TblImps[[#This Row],[Land]]</f>
        <v>250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Spires]]/(towers_param*(OFFSET(TblImps[[#This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Harbor]]/(harbor_towers_param*(OFFSET(TblImps[[#This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Spires]],-1,0)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Harbor]],-1,0)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45460.374999999862</v>
      </c>
      <c r="BZ61" s="317">
        <f ca="1">OFFSET(TblImps[[#This Row],[Servertime]],-1,0)+1/24</f>
        <v>45460.374999999862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45460.416666666526</v>
      </c>
      <c r="M62" s="62">
        <f>IF(ISERROR(TblImps[[#This Row],[algorithm]]),0,TblImps[[#This Row],[algorithm]]*1)</f>
        <v>0</v>
      </c>
      <c r="N62" s="97">
        <f ca="1">TblImps[[#This Row],[Land]]</f>
        <v>250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Spires]]/(towers_param*(OFFSET(TblImps[[#This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Harbor]]/(harbor_towers_param*(OFFSET(TblImps[[#This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Spires]],-1,0)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Harbor]],-1,0)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45460.416666666526</v>
      </c>
      <c r="BZ62" s="317">
        <f ca="1">OFFSET(TblImps[[#This Row],[Servertime]],-1,0)+1/24</f>
        <v>45460.416666666526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45460.45833333319</v>
      </c>
      <c r="M63" s="62">
        <f>IF(ISERROR(TblImps[[#This Row],[algorithm]]),0,TblImps[[#This Row],[algorithm]]*1)</f>
        <v>0</v>
      </c>
      <c r="N63" s="97">
        <f ca="1">TblImps[[#This Row],[Land]]</f>
        <v>250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Spires]]/(towers_param*(OFFSET(TblImps[[#This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Harbor]]/(harbor_towers_param*(OFFSET(TblImps[[#This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Spires]],-1,0)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Harbor]],-1,0)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45460.45833333319</v>
      </c>
      <c r="BZ63" s="317">
        <f ca="1">OFFSET(TblImps[[#This Row],[Servertime]],-1,0)+1/24</f>
        <v>45460.45833333319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45460.499999999854</v>
      </c>
      <c r="M64" s="62">
        <f>IF(ISERROR(TblImps[[#This Row],[algorithm]]),0,TblImps[[#This Row],[algorithm]]*1)</f>
        <v>0</v>
      </c>
      <c r="N64" s="97">
        <f ca="1">TblImps[[#This Row],[Land]]</f>
        <v>250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Spires]]/(towers_param*(OFFSET(TblImps[[#This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Harbor]]/(harbor_towers_param*(OFFSET(TblImps[[#This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Spires]],-1,0)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Harbor]],-1,0)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45460.499999999854</v>
      </c>
      <c r="BZ64" s="317">
        <f ca="1">OFFSET(TblImps[[#This Row],[Servertime]],-1,0)+1/24</f>
        <v>45460.499999999854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45460.541666666519</v>
      </c>
      <c r="M65" s="62">
        <f>IF(ISERROR(TblImps[[#This Row],[algorithm]]),0,TblImps[[#This Row],[algorithm]]*1)</f>
        <v>0</v>
      </c>
      <c r="N65" s="97">
        <f ca="1">TblImps[[#This Row],[Land]]</f>
        <v>250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Spires]]/(towers_param*(OFFSET(TblImps[[#This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Harbor]]/(harbor_towers_param*(OFFSET(TblImps[[#This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Spires]],-1,0)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Harbor]],-1,0)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45460.541666666519</v>
      </c>
      <c r="BZ65" s="317">
        <f ca="1">OFFSET(TblImps[[#This Row],[Servertime]],-1,0)+1/24</f>
        <v>45460.541666666519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45460.583333333183</v>
      </c>
      <c r="M66" s="62">
        <f>IF(ISERROR(TblImps[[#This Row],[algorithm]]),0,TblImps[[#This Row],[algorithm]]*1)</f>
        <v>0</v>
      </c>
      <c r="N66" s="97">
        <f ca="1">TblImps[[#This Row],[Land]]</f>
        <v>250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Spires]]/(towers_param*(OFFSET(TblImps[[#This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Harbor]]/(harbor_towers_param*(OFFSET(TblImps[[#This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Spires]],-1,0)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Harbor]],-1,0)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45460.583333333183</v>
      </c>
      <c r="BZ66" s="317">
        <f ca="1">OFFSET(TblImps[[#This Row],[Servertime]],-1,0)+1/24</f>
        <v>45460.583333333183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45460.624999999847</v>
      </c>
      <c r="M67" s="62">
        <f>IF(ISERROR(TblImps[[#This Row],[algorithm]]),0,TblImps[[#This Row],[algorithm]]*1)</f>
        <v>0</v>
      </c>
      <c r="N67" s="97">
        <f ca="1">TblImps[[#This Row],[Land]]</f>
        <v>250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Spires]]/(towers_param*(OFFSET(TblImps[[#This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Harbor]]/(harbor_towers_param*(OFFSET(TblImps[[#This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Spires]],-1,0)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Harbor]],-1,0)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45460.624999999847</v>
      </c>
      <c r="BZ67" s="317">
        <f ca="1">OFFSET(TblImps[[#This Row],[Servertime]],-1,0)+1/24</f>
        <v>45460.624999999847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45460.666666666511</v>
      </c>
      <c r="M68" s="62">
        <f>IF(ISERROR(TblImps[[#This Row],[algorithm]]),0,TblImps[[#This Row],[algorithm]]*1)</f>
        <v>0</v>
      </c>
      <c r="N68" s="97">
        <f ca="1">TblImps[[#This Row],[Land]]</f>
        <v>250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Spires]]/(towers_param*(OFFSET(TblImps[[#This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Harbor]]/(harbor_towers_param*(OFFSET(TblImps[[#This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Spires]],-1,0)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Harbor]],-1,0)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45460.666666666511</v>
      </c>
      <c r="BZ68" s="317">
        <f ca="1">OFFSET(TblImps[[#This Row],[Servertime]],-1,0)+1/24</f>
        <v>45460.666666666511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45460.708333333176</v>
      </c>
      <c r="M69" s="62">
        <f>IF(ISERROR(TblImps[[#This Row],[algorithm]]),0,TblImps[[#This Row],[algorithm]]*1)</f>
        <v>0</v>
      </c>
      <c r="N69" s="97">
        <f ca="1">TblImps[[#This Row],[Land]]</f>
        <v>250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Spires]]/(towers_param*(OFFSET(TblImps[[#This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Harbor]]/(harbor_towers_param*(OFFSET(TblImps[[#This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Spires]],-1,0)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Harbor]],-1,0)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45460.708333333176</v>
      </c>
      <c r="BZ69" s="317">
        <f ca="1">OFFSET(TblImps[[#This Row],[Servertime]],-1,0)+1/24</f>
        <v>45460.708333333176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45460.74999999984</v>
      </c>
      <c r="M70" s="62">
        <f>IF(ISERROR(TblImps[[#This Row],[algorithm]]),0,TblImps[[#This Row],[algorithm]]*1)</f>
        <v>0</v>
      </c>
      <c r="N70" s="97">
        <f ca="1">TblImps[[#This Row],[Land]]</f>
        <v>250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Spires]]/(towers_param*(OFFSET(TblImps[[#This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Harbor]]/(harbor_towers_param*(OFFSET(TblImps[[#This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Spires]],-1,0)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Harbor]],-1,0)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45460.74999999984</v>
      </c>
      <c r="BZ70" s="317">
        <f ca="1">OFFSET(TblImps[[#This Row],[Servertime]],-1,0)+1/24</f>
        <v>45460.74999999984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45460.791666666504</v>
      </c>
      <c r="M71" s="62">
        <f>IF(ISERROR(TblImps[[#This Row],[algorithm]]),0,TblImps[[#This Row],[algorithm]]*1)</f>
        <v>0</v>
      </c>
      <c r="N71" s="97">
        <f ca="1">TblImps[[#This Row],[Land]]</f>
        <v>250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Spires]]/(towers_param*(OFFSET(TblImps[[#This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Harbor]]/(harbor_towers_param*(OFFSET(TblImps[[#This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Spires]],-1,0)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Harbor]],-1,0)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45460.791666666504</v>
      </c>
      <c r="BZ71" s="317">
        <f ca="1">OFFSET(TblImps[[#This Row],[Servertime]],-1,0)+1/24</f>
        <v>45460.791666666504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45460.833333333168</v>
      </c>
      <c r="M72" s="62">
        <f>IF(ISERROR(TblImps[[#This Row],[algorithm]]),0,TblImps[[#This Row],[algorithm]]*1)</f>
        <v>0</v>
      </c>
      <c r="N72" s="97">
        <f ca="1">TblImps[[#This Row],[Land]]</f>
        <v>250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Spires]]/(towers_param*(OFFSET(TblImps[[#This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Harbor]]/(harbor_towers_param*(OFFSET(TblImps[[#This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Spires]],-1,0)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Harbor]],-1,0)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45460.833333333168</v>
      </c>
      <c r="BZ72" s="317">
        <f ca="1">OFFSET(TblImps[[#This Row],[Servertime]],-1,0)+1/24</f>
        <v>45460.833333333168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45460.874999999833</v>
      </c>
      <c r="M73" s="62">
        <f>IF(ISERROR(TblImps[[#This Row],[algorithm]]),0,TblImps[[#This Row],[algorithm]]*1)</f>
        <v>0</v>
      </c>
      <c r="N73" s="97">
        <f ca="1">TblImps[[#This Row],[Land]]</f>
        <v>250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Spires]]/(towers_param*(OFFSET(TblImps[[#This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Harbor]]/(harbor_towers_param*(OFFSET(TblImps[[#This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Spires]],-1,0)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Harbor]],-1,0)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45460.874999999833</v>
      </c>
      <c r="BZ73" s="317">
        <f ca="1">OFFSET(TblImps[[#This Row],[Servertime]],-1,0)+1/24</f>
        <v>45460.874999999833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45460.916666666497</v>
      </c>
      <c r="M74" s="62">
        <f>IF(ISERROR(TblImps[[#This Row],[algorithm]]),0,TblImps[[#This Row],[algorithm]]*1)</f>
        <v>0</v>
      </c>
      <c r="N74" s="97">
        <f ca="1">TblImps[[#This Row],[Land]]</f>
        <v>250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Spires]]/(towers_param*(OFFSET(TblImps[[#This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Harbor]]/(harbor_towers_param*(OFFSET(TblImps[[#This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Spires]],-1,0)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Harbor]],-1,0)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45460.916666666497</v>
      </c>
      <c r="BZ74" s="317">
        <f ca="1">OFFSET(TblImps[[#This Row],[Servertime]],-1,0)+1/24</f>
        <v>45460.916666666497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45460.958333333161</v>
      </c>
      <c r="M75" s="62">
        <f>IF(ISERROR(TblImps[[#This Row],[algorithm]]),0,TblImps[[#This Row],[algorithm]]*1)</f>
        <v>0</v>
      </c>
      <c r="N75" s="97">
        <f ca="1">TblImps[[#This Row],[Land]]</f>
        <v>250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Spires]]/(towers_param*(OFFSET(TblImps[[#This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Harbor]]/(harbor_towers_param*(OFFSET(TblImps[[#This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Spires]],-1,0)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Harbor]],-1,0)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45460.958333333161</v>
      </c>
      <c r="BZ75" s="317">
        <f ca="1">OFFSET(TblImps[[#This Row],[Servertime]],-1,0)+1/24</f>
        <v>45460.958333333161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45460.999999999825</v>
      </c>
      <c r="M76" s="200">
        <f>IF(ISERROR(TblImps[[#This Row],[algorithm]]),0,TblImps[[#This Row],[algorithm]]*1)</f>
        <v>0</v>
      </c>
      <c r="N76" s="210">
        <f ca="1">TblImps[[#This Row],[Land]]</f>
        <v>250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Spires]]/(towers_param*(OFFSET(TblImps[[#This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Harbor]]/(harbor_towers_param*(OFFSET(TblImps[[#This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Spires]],-1,0)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Harbor]],-1,0)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45460.999999999825</v>
      </c>
      <c r="BZ76" s="327">
        <f ca="1">OFFSET(TblImps[[#This Row],[Servertime]],-1,0)+1/24</f>
        <v>45460.999999999825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45461.04166666649</v>
      </c>
      <c r="M77" s="62">
        <f>IF(ISERROR(TblImps[[#This Row],[algorithm]]),0,TblImps[[#This Row],[algorithm]]*1)</f>
        <v>0</v>
      </c>
      <c r="N77" s="97">
        <f ca="1">TblImps[[#This Row],[Land]]</f>
        <v>250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Spires]]/(towers_param*(OFFSET(TblImps[[#This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Harbor]]/(harbor_towers_param*(OFFSET(TblImps[[#This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Spires]],-1,0)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Harbor]],-1,0)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45461.04166666649</v>
      </c>
      <c r="BZ77" s="317">
        <f ca="1">OFFSET(TblImps[[#This Row],[Servertime]],-1,0)+1/24</f>
        <v>45461.04166666649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45461.083333333154</v>
      </c>
      <c r="M78" s="62">
        <f>IF(ISERROR(TblImps[[#This Row],[algorithm]]),0,TblImps[[#This Row],[algorithm]]*1)</f>
        <v>0</v>
      </c>
      <c r="N78" s="97">
        <f ca="1">TblImps[[#This Row],[Land]]</f>
        <v>250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Spires]]/(towers_param*(OFFSET(TblImps[[#This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Harbor]]/(harbor_towers_param*(OFFSET(TblImps[[#This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Spires]],-1,0)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Harbor]],-1,0)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45461.083333333154</v>
      </c>
      <c r="BZ78" s="317">
        <f ca="1">OFFSET(TblImps[[#This Row],[Servertime]],-1,0)+1/24</f>
        <v>45461.083333333154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45461.124999999818</v>
      </c>
      <c r="M79" s="62">
        <f>IF(ISERROR(TblImps[[#This Row],[algorithm]]),0,TblImps[[#This Row],[algorithm]]*1)</f>
        <v>0</v>
      </c>
      <c r="N79" s="97">
        <f ca="1">TblImps[[#This Row],[Land]]</f>
        <v>250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Spires]]/(towers_param*(OFFSET(TblImps[[#This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Harbor]]/(harbor_towers_param*(OFFSET(TblImps[[#This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Spires]],-1,0)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Harbor]],-1,0)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45461.124999999818</v>
      </c>
      <c r="BZ79" s="317">
        <f ca="1">OFFSET(TblImps[[#This Row],[Servertime]],-1,0)+1/24</f>
        <v>45461.124999999818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45461.166666666482</v>
      </c>
      <c r="M80" s="62">
        <f>IF(ISERROR(TblImps[[#This Row],[algorithm]]),0,TblImps[[#This Row],[algorithm]]*1)</f>
        <v>0</v>
      </c>
      <c r="N80" s="97">
        <f ca="1">TblImps[[#This Row],[Land]]</f>
        <v>250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Spires]]/(towers_param*(OFFSET(TblImps[[#This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Harbor]]/(harbor_towers_param*(OFFSET(TblImps[[#This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Spires]],-1,0)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Harbor]],-1,0)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45461.166666666482</v>
      </c>
      <c r="BZ80" s="317">
        <f ca="1">OFFSET(TblImps[[#This Row],[Servertime]],-1,0)+1/24</f>
        <v>45461.166666666482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45461.208333333147</v>
      </c>
      <c r="M81" s="62">
        <f>IF(ISERROR(TblImps[[#This Row],[algorithm]]),0,TblImps[[#This Row],[algorithm]]*1)</f>
        <v>0</v>
      </c>
      <c r="N81" s="97">
        <f ca="1">TblImps[[#This Row],[Land]]</f>
        <v>250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Spires]]/(towers_param*(OFFSET(TblImps[[#This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Harbor]]/(harbor_towers_param*(OFFSET(TblImps[[#This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Spires]],-1,0)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Harbor]],-1,0)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45461.208333333147</v>
      </c>
      <c r="BZ81" s="317">
        <f ca="1">OFFSET(TblImps[[#This Row],[Servertime]],-1,0)+1/24</f>
        <v>45461.208333333147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45461.249999999811</v>
      </c>
      <c r="M82" s="62">
        <f>IF(ISERROR(TblImps[[#This Row],[algorithm]]),0,TblImps[[#This Row],[algorithm]]*1)</f>
        <v>0</v>
      </c>
      <c r="N82" s="97">
        <f ca="1">TblImps[[#This Row],[Land]]</f>
        <v>250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Spires]]/(towers_param*(OFFSET(TblImps[[#This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Harbor]]/(harbor_towers_param*(OFFSET(TblImps[[#This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Spires]],-1,0)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Harbor]],-1,0)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45461.249999999811</v>
      </c>
      <c r="BZ82" s="317">
        <f ca="1">OFFSET(TblImps[[#This Row],[Servertime]],-1,0)+1/24</f>
        <v>45461.249999999811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45461.291666666475</v>
      </c>
      <c r="M83" s="62">
        <f>IF(ISERROR(TblImps[[#This Row],[algorithm]]),0,TblImps[[#This Row],[algorithm]]*1)</f>
        <v>0</v>
      </c>
      <c r="N83" s="97">
        <f ca="1">TblImps[[#This Row],[Land]]</f>
        <v>250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Spires]]/(towers_param*(OFFSET(TblImps[[#This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Harbor]]/(harbor_towers_param*(OFFSET(TblImps[[#This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Spires]],-1,0)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Harbor]],-1,0)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45461.291666666475</v>
      </c>
      <c r="BZ83" s="317">
        <f ca="1">OFFSET(TblImps[[#This Row],[Servertime]],-1,0)+1/24</f>
        <v>45461.291666666475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45461.333333333139</v>
      </c>
      <c r="M84" s="62">
        <f>IF(ISERROR(TblImps[[#This Row],[algorithm]]),0,TblImps[[#This Row],[algorithm]]*1)</f>
        <v>0</v>
      </c>
      <c r="N84" s="97">
        <f ca="1">TblImps[[#This Row],[Land]]</f>
        <v>250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Spires]]/(towers_param*(OFFSET(TblImps[[#This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Harbor]]/(harbor_towers_param*(OFFSET(TblImps[[#This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Spires]],-1,0)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Harbor]],-1,0)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45461.333333333139</v>
      </c>
      <c r="BZ84" s="317">
        <f ca="1">OFFSET(TblImps[[#This Row],[Servertime]],-1,0)+1/24</f>
        <v>45461.333333333139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45461.374999999804</v>
      </c>
      <c r="M85" s="62">
        <f>IF(ISERROR(TblImps[[#This Row],[algorithm]]),0,TblImps[[#This Row],[algorithm]]*1)</f>
        <v>0</v>
      </c>
      <c r="N85" s="97">
        <f ca="1">TblImps[[#This Row],[Land]]</f>
        <v>250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Spires]]/(towers_param*(OFFSET(TblImps[[#This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Harbor]]/(harbor_towers_param*(OFFSET(TblImps[[#This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Spires]],-1,0)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Harbor]],-1,0)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45461.374999999804</v>
      </c>
      <c r="BZ85" s="317">
        <f ca="1">OFFSET(TblImps[[#This Row],[Servertime]],-1,0)+1/24</f>
        <v>45461.374999999804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45461.416666666468</v>
      </c>
      <c r="M86" s="62">
        <f>IF(ISERROR(TblImps[[#This Row],[algorithm]]),0,TblImps[[#This Row],[algorithm]]*1)</f>
        <v>0</v>
      </c>
      <c r="N86" s="97">
        <f ca="1">TblImps[[#This Row],[Land]]</f>
        <v>250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Spires]]/(towers_param*(OFFSET(TblImps[[#This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Harbor]]/(harbor_towers_param*(OFFSET(TblImps[[#This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Spires]],-1,0)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Harbor]],-1,0)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45461.416666666468</v>
      </c>
      <c r="BZ86" s="317">
        <f ca="1">OFFSET(TblImps[[#This Row],[Servertime]],-1,0)+1/24</f>
        <v>45461.416666666468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45461.458333333132</v>
      </c>
      <c r="M87" s="62">
        <f>IF(ISERROR(TblImps[[#This Row],[algorithm]]),0,TblImps[[#This Row],[algorithm]]*1)</f>
        <v>0</v>
      </c>
      <c r="N87" s="97">
        <f ca="1">TblImps[[#This Row],[Land]]</f>
        <v>250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Spires]]/(towers_param*(OFFSET(TblImps[[#This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Harbor]]/(harbor_towers_param*(OFFSET(TblImps[[#This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Spires]],-1,0)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Harbor]],-1,0)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45461.458333333132</v>
      </c>
      <c r="BZ87" s="317">
        <f ca="1">OFFSET(TblImps[[#This Row],[Servertime]],-1,0)+1/24</f>
        <v>45461.458333333132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45461.499999999796</v>
      </c>
      <c r="M88" s="62">
        <f>IF(ISERROR(TblImps[[#This Row],[algorithm]]),0,TblImps[[#This Row],[algorithm]]*1)</f>
        <v>0</v>
      </c>
      <c r="N88" s="97">
        <f ca="1">TblImps[[#This Row],[Land]]</f>
        <v>250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Spires]]/(towers_param*(OFFSET(TblImps[[#This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Harbor]]/(harbor_towers_param*(OFFSET(TblImps[[#This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Spires]],-1,0)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Harbor]],-1,0)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45461.499999999796</v>
      </c>
      <c r="BZ88" s="317">
        <f ca="1">OFFSET(TblImps[[#This Row],[Servertime]],-1,0)+1/24</f>
        <v>45461.499999999796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45461.541666666461</v>
      </c>
      <c r="M89" s="62">
        <f>IF(ISERROR(TblImps[[#This Row],[algorithm]]),0,TblImps[[#This Row],[algorithm]]*1)</f>
        <v>0</v>
      </c>
      <c r="N89" s="97">
        <f ca="1">TblImps[[#This Row],[Land]]</f>
        <v>250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Spires]]/(towers_param*(OFFSET(TblImps[[#This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Harbor]]/(harbor_towers_param*(OFFSET(TblImps[[#This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Spires]],-1,0)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Harbor]],-1,0)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45461.541666666461</v>
      </c>
      <c r="BZ89" s="317">
        <f ca="1">OFFSET(TblImps[[#This Row],[Servertime]],-1,0)+1/24</f>
        <v>45461.541666666461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45461.583333333125</v>
      </c>
      <c r="M90" s="62">
        <f>IF(ISERROR(TblImps[[#This Row],[algorithm]]),0,TblImps[[#This Row],[algorithm]]*1)</f>
        <v>0</v>
      </c>
      <c r="N90" s="97">
        <f ca="1">TblImps[[#This Row],[Land]]</f>
        <v>250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Spires]]/(towers_param*(OFFSET(TblImps[[#This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Harbor]]/(harbor_towers_param*(OFFSET(TblImps[[#This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Spires]],-1,0)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Harbor]],-1,0)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45461.583333333125</v>
      </c>
      <c r="BZ90" s="317">
        <f ca="1">OFFSET(TblImps[[#This Row],[Servertime]],-1,0)+1/24</f>
        <v>45461.583333333125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45461.624999999789</v>
      </c>
      <c r="M91" s="62">
        <f>IF(ISERROR(TblImps[[#This Row],[algorithm]]),0,TblImps[[#This Row],[algorithm]]*1)</f>
        <v>0</v>
      </c>
      <c r="N91" s="97">
        <f ca="1">TblImps[[#This Row],[Land]]</f>
        <v>250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Spires]]/(towers_param*(OFFSET(TblImps[[#This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Harbor]]/(harbor_towers_param*(OFFSET(TblImps[[#This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Spires]],-1,0)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Harbor]],-1,0)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45461.624999999789</v>
      </c>
      <c r="BZ91" s="317">
        <f ca="1">OFFSET(TblImps[[#This Row],[Servertime]],-1,0)+1/24</f>
        <v>45461.624999999789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45461.666666666453</v>
      </c>
      <c r="M92" s="62">
        <f>IF(ISERROR(TblImps[[#This Row],[algorithm]]),0,TblImps[[#This Row],[algorithm]]*1)</f>
        <v>0</v>
      </c>
      <c r="N92" s="97">
        <f ca="1">TblImps[[#This Row],[Land]]</f>
        <v>250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Spires]]/(towers_param*(OFFSET(TblImps[[#This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Harbor]]/(harbor_towers_param*(OFFSET(TblImps[[#This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Spires]],-1,0)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Harbor]],-1,0)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45461.666666666453</v>
      </c>
      <c r="BZ92" s="317">
        <f ca="1">OFFSET(TblImps[[#This Row],[Servertime]],-1,0)+1/24</f>
        <v>45461.666666666453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45461.708333333117</v>
      </c>
      <c r="M93" s="62">
        <f>IF(ISERROR(TblImps[[#This Row],[algorithm]]),0,TblImps[[#This Row],[algorithm]]*1)</f>
        <v>0</v>
      </c>
      <c r="N93" s="97">
        <f ca="1">TblImps[[#This Row],[Land]]</f>
        <v>250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Spires]]/(towers_param*(OFFSET(TblImps[[#This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Harbor]]/(harbor_towers_param*(OFFSET(TblImps[[#This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Spires]],-1,0)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Harbor]],-1,0)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45461.708333333117</v>
      </c>
      <c r="BZ93" s="317">
        <f ca="1">OFFSET(TblImps[[#This Row],[Servertime]],-1,0)+1/24</f>
        <v>45461.708333333117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45461.749999999782</v>
      </c>
      <c r="M94" s="62">
        <f>IF(ISERROR(TblImps[[#This Row],[algorithm]]),0,TblImps[[#This Row],[algorithm]]*1)</f>
        <v>0</v>
      </c>
      <c r="N94" s="97">
        <f ca="1">TblImps[[#This Row],[Land]]</f>
        <v>250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Spires]]/(towers_param*(OFFSET(TblImps[[#This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Harbor]]/(harbor_towers_param*(OFFSET(TblImps[[#This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Spires]],-1,0)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Harbor]],-1,0)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45461.749999999782</v>
      </c>
      <c r="BZ94" s="317">
        <f ca="1">OFFSET(TblImps[[#This Row],[Servertime]],-1,0)+1/24</f>
        <v>45461.749999999782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45461.791666666446</v>
      </c>
      <c r="M95" s="62">
        <f>IF(ISERROR(TblImps[[#This Row],[algorithm]]),0,TblImps[[#This Row],[algorithm]]*1)</f>
        <v>0</v>
      </c>
      <c r="N95" s="97">
        <f ca="1">TblImps[[#This Row],[Land]]</f>
        <v>250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Spires]]/(towers_param*(OFFSET(TblImps[[#This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Harbor]]/(harbor_towers_param*(OFFSET(TblImps[[#This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Spires]],-1,0)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Harbor]],-1,0)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45461.791666666446</v>
      </c>
      <c r="BZ95" s="317">
        <f ca="1">OFFSET(TblImps[[#This Row],[Servertime]],-1,0)+1/24</f>
        <v>45461.791666666446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45461.83333333311</v>
      </c>
      <c r="M96" s="62">
        <f>IF(ISERROR(TblImps[[#This Row],[algorithm]]),0,TblImps[[#This Row],[algorithm]]*1)</f>
        <v>0</v>
      </c>
      <c r="N96" s="97">
        <f ca="1">TblImps[[#This Row],[Land]]</f>
        <v>250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Spires]]/(towers_param*(OFFSET(TblImps[[#This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Harbor]]/(harbor_towers_param*(OFFSET(TblImps[[#This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Spires]],-1,0)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Harbor]],-1,0)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45461.83333333311</v>
      </c>
      <c r="BZ96" s="317">
        <f ca="1">OFFSET(TblImps[[#This Row],[Servertime]],-1,0)+1/24</f>
        <v>45461.83333333311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45461.874999999774</v>
      </c>
      <c r="M97" s="62">
        <f>IF(ISERROR(TblImps[[#This Row],[algorithm]]),0,TblImps[[#This Row],[algorithm]]*1)</f>
        <v>0</v>
      </c>
      <c r="N97" s="97">
        <f ca="1">TblImps[[#This Row],[Land]]</f>
        <v>250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Spires]]/(towers_param*(OFFSET(TblImps[[#This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Harbor]]/(harbor_towers_param*(OFFSET(TblImps[[#This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Spires]],-1,0)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Harbor]],-1,0)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45461.874999999774</v>
      </c>
      <c r="BZ97" s="317">
        <f ca="1">OFFSET(TblImps[[#This Row],[Servertime]],-1,0)+1/24</f>
        <v>45461.874999999774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45461.916666666439</v>
      </c>
      <c r="M98" s="62">
        <f>IF(ISERROR(TblImps[[#This Row],[algorithm]]),0,TblImps[[#This Row],[algorithm]]*1)</f>
        <v>0</v>
      </c>
      <c r="N98" s="97">
        <f ca="1">TblImps[[#This Row],[Land]]</f>
        <v>250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Spires]]/(towers_param*(OFFSET(TblImps[[#This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Harbor]]/(harbor_towers_param*(OFFSET(TblImps[[#This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Spires]],-1,0)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Harbor]],-1,0)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45461.916666666439</v>
      </c>
      <c r="BZ98" s="317">
        <f ca="1">OFFSET(TblImps[[#This Row],[Servertime]],-1,0)+1/24</f>
        <v>45461.916666666439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45461.958333333103</v>
      </c>
      <c r="M99" s="62">
        <f>IF(ISERROR(TblImps[[#This Row],[algorithm]]),0,TblImps[[#This Row],[algorithm]]*1)</f>
        <v>0</v>
      </c>
      <c r="N99" s="97">
        <f ca="1">TblImps[[#This Row],[Land]]</f>
        <v>250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Spires]]/(towers_param*(OFFSET(TblImps[[#This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Harbor]]/(harbor_towers_param*(OFFSET(TblImps[[#This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Spires]],-1,0)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Harbor]],-1,0)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45461.958333333103</v>
      </c>
      <c r="BZ99" s="317">
        <f ca="1">OFFSET(TblImps[[#This Row],[Servertime]],-1,0)+1/24</f>
        <v>45461.958333333103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45461.999999999767</v>
      </c>
      <c r="M100" s="62">
        <f>IF(ISERROR(TblImps[[#This Row],[algorithm]]),0,TblImps[[#This Row],[algorithm]]*1)</f>
        <v>0</v>
      </c>
      <c r="N100" s="97">
        <f ca="1">TblImps[[#This Row],[Land]]</f>
        <v>250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Spires]]/(towers_param*(OFFSET(TblImps[[#This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Harbor]]/(harbor_towers_param*(OFFSET(TblImps[[#This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Spires]],-1,0)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Harbor]],-1,0)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45461.999999999767</v>
      </c>
      <c r="BZ100" s="317">
        <f ca="1">OFFSET(TblImps[[#This Row],[Servertime]],-1,0)+1/24</f>
        <v>45461.999999999767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45462.041666666431</v>
      </c>
      <c r="M101" s="62">
        <f>IF(ISERROR(TblImps[[#This Row],[algorithm]]),0,TblImps[[#This Row],[algorithm]]*1)</f>
        <v>0</v>
      </c>
      <c r="N101" s="97">
        <f ca="1">TblImps[[#This Row],[Land]]</f>
        <v>250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Spires]]/(towers_param*(OFFSET(TblImps[[#This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Harbor]]/(harbor_towers_param*(OFFSET(TblImps[[#This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Spires]],-1,0)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Harbor]],-1,0)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45462.041666666431</v>
      </c>
      <c r="BZ101" s="317">
        <f ca="1">OFFSET(TblImps[[#This Row],[Servertime]],-1,0)+1/24</f>
        <v>45462.041666666431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45462.083333333096</v>
      </c>
      <c r="M102" s="62">
        <f>IF(ISERROR(TblImps[[#This Row],[algorithm]]),0,TblImps[[#This Row],[algorithm]]*1)</f>
        <v>0</v>
      </c>
      <c r="N102" s="97">
        <f ca="1">TblImps[[#This Row],[Land]]</f>
        <v>250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Spires]]/(towers_param*(OFFSET(TblImps[[#This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Harbor]]/(harbor_towers_param*(OFFSET(TblImps[[#This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Spires]],-1,0)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Harbor]],-1,0)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45462.083333333096</v>
      </c>
      <c r="BZ102" s="317">
        <f ca="1">OFFSET(TblImps[[#This Row],[Servertime]],-1,0)+1/24</f>
        <v>45462.083333333096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45462.12499999976</v>
      </c>
      <c r="M103" s="62">
        <f>IF(ISERROR(TblImps[[#This Row],[algorithm]]),0,TblImps[[#This Row],[algorithm]]*1)</f>
        <v>0</v>
      </c>
      <c r="N103" s="97">
        <f ca="1">TblImps[[#This Row],[Land]]</f>
        <v>250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Spires]]/(towers_param*(OFFSET(TblImps[[#This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Harbor]]/(harbor_towers_param*(OFFSET(TblImps[[#This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Spires]],-1,0)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Harbor]],-1,0)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45462.12499999976</v>
      </c>
      <c r="BZ103" s="317">
        <f ca="1">OFFSET(TblImps[[#This Row],[Servertime]],-1,0)+1/24</f>
        <v>45462.12499999976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45462.166666666424</v>
      </c>
      <c r="M104" s="62">
        <f>IF(ISERROR(TblImps[[#This Row],[algorithm]]),0,TblImps[[#This Row],[algorithm]]*1)</f>
        <v>0</v>
      </c>
      <c r="N104" s="97">
        <f ca="1">TblImps[[#This Row],[Land]]</f>
        <v>250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Spires]]/(towers_param*(OFFSET(TblImps[[#This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Harbor]]/(harbor_towers_param*(OFFSET(TblImps[[#This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Spires]],-1,0)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Harbor]],-1,0)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45462.166666666424</v>
      </c>
      <c r="BZ104" s="317">
        <f ca="1">OFFSET(TblImps[[#This Row],[Servertime]],-1,0)+1/24</f>
        <v>45462.166666666424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45462.208333333088</v>
      </c>
      <c r="M105" s="62">
        <f>IF(ISERROR(TblImps[[#This Row],[algorithm]]),0,TblImps[[#This Row],[algorithm]]*1)</f>
        <v>0</v>
      </c>
      <c r="N105" s="97">
        <f ca="1">TblImps[[#This Row],[Land]]</f>
        <v>250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Spires]]/(towers_param*(OFFSET(TblImps[[#This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Harbor]]/(harbor_towers_param*(OFFSET(TblImps[[#This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Spires]],-1,0)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Harbor]],-1,0)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45462.208333333088</v>
      </c>
      <c r="BZ105" s="317">
        <f ca="1">OFFSET(TblImps[[#This Row],[Servertime]],-1,0)+1/24</f>
        <v>45462.208333333088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45462.249999999753</v>
      </c>
      <c r="M106" s="62">
        <f>IF(ISERROR(TblImps[[#This Row],[algorithm]]),0,TblImps[[#This Row],[algorithm]]*1)</f>
        <v>0</v>
      </c>
      <c r="N106" s="97">
        <f ca="1">TblImps[[#This Row],[Land]]</f>
        <v>250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Spires]]/(towers_param*(OFFSET(TblImps[[#This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Harbor]]/(harbor_towers_param*(OFFSET(TblImps[[#This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Spires]],-1,0)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Harbor]],-1,0)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45462.249999999753</v>
      </c>
      <c r="BZ106" s="317">
        <f ca="1">OFFSET(TblImps[[#This Row],[Servertime]],-1,0)+1/24</f>
        <v>45462.249999999753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45462.291666666417</v>
      </c>
      <c r="M107" s="62">
        <f>IF(ISERROR(TblImps[[#This Row],[algorithm]]),0,TblImps[[#This Row],[algorithm]]*1)</f>
        <v>0</v>
      </c>
      <c r="N107" s="97">
        <f ca="1">TblImps[[#This Row],[Land]]</f>
        <v>250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Spires]]/(towers_param*(OFFSET(TblImps[[#This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Harbor]]/(harbor_towers_param*(OFFSET(TblImps[[#This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Spires]],-1,0)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Harbor]],-1,0)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45462.291666666417</v>
      </c>
      <c r="BZ107" s="317">
        <f ca="1">OFFSET(TblImps[[#This Row],[Servertime]],-1,0)+1/24</f>
        <v>45462.291666666417</v>
      </c>
      <c r="CA107" s="57"/>
      <c r="CB107" s="315"/>
      <c r="CC107" s="315"/>
      <c r="CD107" s="45" t="s">
        <v>209</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45462.333333333081</v>
      </c>
      <c r="M108" s="62">
        <f>IF(ISERROR(TblImps[[#This Row],[algorithm]]),0,TblImps[[#This Row],[algorithm]]*1)</f>
        <v>0</v>
      </c>
      <c r="N108" s="97">
        <f ca="1">TblImps[[#This Row],[Land]]</f>
        <v>250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Spires]]/(towers_param*(OFFSET(TblImps[[#This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Harbor]]/(harbor_towers_param*(OFFSET(TblImps[[#This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Spires]],-1,0)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Harbor]],-1,0)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45462.333333333081</v>
      </c>
      <c r="BZ108" s="317">
        <f ca="1">OFFSET(TblImps[[#This Row],[Servertime]],-1,0)+1/24</f>
        <v>45462.333333333081</v>
      </c>
      <c r="CA108" s="57"/>
      <c r="CB108" s="315"/>
      <c r="CC108" s="315"/>
      <c r="CD108" s="45" t="s">
        <v>211</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45462.374999999745</v>
      </c>
      <c r="M109" s="62">
        <f>IF(ISERROR(TblImps[[#This Row],[algorithm]]),0,TblImps[[#This Row],[algorithm]]*1)</f>
        <v>0</v>
      </c>
      <c r="N109" s="97">
        <f ca="1">TblImps[[#This Row],[Land]]</f>
        <v>250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Spires]]/(towers_param*(OFFSET(TblImps[[#This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Harbor]]/(harbor_towers_param*(OFFSET(TblImps[[#This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Spires]],-1,0)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Harbor]],-1,0)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45462.374999999745</v>
      </c>
      <c r="BZ109" s="317">
        <f ca="1">OFFSET(TblImps[[#This Row],[Servertime]],-1,0)+1/24</f>
        <v>45462.374999999745</v>
      </c>
      <c r="CA109" s="57"/>
      <c r="CB109" s="315"/>
      <c r="CC109" s="315"/>
      <c r="CD109" s="45" t="s">
        <v>212</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45462.41666666641</v>
      </c>
      <c r="M110" s="62">
        <f>IF(ISERROR(TblImps[[#This Row],[algorithm]]),0,TblImps[[#This Row],[algorithm]]*1)</f>
        <v>0</v>
      </c>
      <c r="N110" s="97">
        <f ca="1">TblImps[[#This Row],[Land]]</f>
        <v>250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Spires]]/(towers_param*(OFFSET(TblImps[[#This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Harbor]]/(harbor_towers_param*(OFFSET(TblImps[[#This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Spires]],-1,0)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Harbor]],-1,0)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45462.41666666641</v>
      </c>
      <c r="BZ110" s="317">
        <f ca="1">OFFSET(TblImps[[#This Row],[Servertime]],-1,0)+1/24</f>
        <v>45462.41666666641</v>
      </c>
      <c r="CA110" s="57"/>
      <c r="CB110" s="315"/>
      <c r="CC110" s="315"/>
      <c r="CD110" s="45" t="s">
        <v>213</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45462.458333333074</v>
      </c>
      <c r="M111" s="62">
        <f>IF(ISERROR(TblImps[[#This Row],[algorithm]]),0,TblImps[[#This Row],[algorithm]]*1)</f>
        <v>0</v>
      </c>
      <c r="N111" s="97">
        <f ca="1">TblImps[[#This Row],[Land]]</f>
        <v>250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Spires]]/(towers_param*(OFFSET(TblImps[[#This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Harbor]]/(harbor_towers_param*(OFFSET(TblImps[[#This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Spires]],-1,0)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Harbor]],-1,0)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45462.458333333074</v>
      </c>
      <c r="BZ111" s="317">
        <f ca="1">OFFSET(TblImps[[#This Row],[Servertime]],-1,0)+1/24</f>
        <v>45462.458333333074</v>
      </c>
      <c r="CA111" s="57"/>
      <c r="CB111" s="315"/>
      <c r="CC111" s="315"/>
      <c r="CD111" s="45" t="s">
        <v>214</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45462.499999999738</v>
      </c>
      <c r="M112" s="62">
        <f>IF(ISERROR(TblImps[[#This Row],[algorithm]]),0,TblImps[[#This Row],[algorithm]]*1)</f>
        <v>0</v>
      </c>
      <c r="N112" s="97">
        <f ca="1">TblImps[[#This Row],[Land]]</f>
        <v>250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Spires]]/(towers_param*(OFFSET(TblImps[[#This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Harbor]]/(harbor_towers_param*(OFFSET(TblImps[[#This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Spires]],-1,0)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Harbor]],-1,0)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45462.499999999738</v>
      </c>
      <c r="BZ112" s="317">
        <f ca="1">OFFSET(TblImps[[#This Row],[Servertime]],-1,0)+1/24</f>
        <v>45462.499999999738</v>
      </c>
      <c r="CA112" s="57"/>
      <c r="CB112" s="315"/>
      <c r="CC112" s="315"/>
      <c r="CD112" s="45" t="s">
        <v>215</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45462.541666666402</v>
      </c>
      <c r="M113" s="62">
        <f>IF(ISERROR(TblImps[[#This Row],[algorithm]]),0,TblImps[[#This Row],[algorithm]]*1)</f>
        <v>0</v>
      </c>
      <c r="N113" s="97">
        <f ca="1">TblImps[[#This Row],[Land]]</f>
        <v>250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Spires]]/(towers_param*(OFFSET(TblImps[[#This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Harbor]]/(harbor_towers_param*(OFFSET(TblImps[[#This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Spires]],-1,0)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Harbor]],-1,0)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45462.541666666402</v>
      </c>
      <c r="BZ113" s="317">
        <f ca="1">OFFSET(TblImps[[#This Row],[Servertime]],-1,0)+1/24</f>
        <v>45462.541666666402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45462.583333333067</v>
      </c>
      <c r="M114" s="62">
        <f>IF(ISERROR(TblImps[[#This Row],[algorithm]]),0,TblImps[[#This Row],[algorithm]]*1)</f>
        <v>0</v>
      </c>
      <c r="N114" s="97">
        <f ca="1">TblImps[[#This Row],[Land]]</f>
        <v>250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Spires]]/(towers_param*(OFFSET(TblImps[[#This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Harbor]]/(harbor_towers_param*(OFFSET(TblImps[[#This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Spires]],-1,0)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Harbor]],-1,0)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45462.583333333067</v>
      </c>
      <c r="BZ114" s="317">
        <f ca="1">OFFSET(TblImps[[#This Row],[Servertime]],-1,0)+1/24</f>
        <v>45462.583333333067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45462.624999999731</v>
      </c>
      <c r="M115" s="62">
        <f>IF(ISERROR(TblImps[[#This Row],[algorithm]]),0,TblImps[[#This Row],[algorithm]]*1)</f>
        <v>0</v>
      </c>
      <c r="N115" s="97">
        <f ca="1">TblImps[[#This Row],[Land]]</f>
        <v>250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Spires]]/(towers_param*(OFFSET(TblImps[[#This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Harbor]]/(harbor_towers_param*(OFFSET(TblImps[[#This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Spires]],-1,0)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Harbor]],-1,0)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45462.624999999731</v>
      </c>
      <c r="BZ115" s="317">
        <f ca="1">OFFSET(TblImps[[#This Row],[Servertime]],-1,0)+1/24</f>
        <v>45462.624999999731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45462.666666666395</v>
      </c>
      <c r="M116" s="62">
        <f>IF(ISERROR(TblImps[[#This Row],[algorithm]]),0,TblImps[[#This Row],[algorithm]]*1)</f>
        <v>0</v>
      </c>
      <c r="N116" s="97">
        <f ca="1">TblImps[[#This Row],[Land]]</f>
        <v>250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Spires]]/(towers_param*(OFFSET(TblImps[[#This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Harbor]]/(harbor_towers_param*(OFFSET(TblImps[[#This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Spires]],-1,0)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Harbor]],-1,0)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45462.666666666395</v>
      </c>
      <c r="BZ116" s="317">
        <f ca="1">OFFSET(TblImps[[#This Row],[Servertime]],-1,0)+1/24</f>
        <v>45462.666666666395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45462.708333333059</v>
      </c>
      <c r="M117" s="62">
        <f>IF(ISERROR(TblImps[[#This Row],[algorithm]]),0,TblImps[[#This Row],[algorithm]]*1)</f>
        <v>0</v>
      </c>
      <c r="N117" s="97">
        <f ca="1">TblImps[[#This Row],[Land]]</f>
        <v>250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Spires]]/(towers_param*(OFFSET(TblImps[[#This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Harbor]]/(harbor_towers_param*(OFFSET(TblImps[[#This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Spires]],-1,0)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Harbor]],-1,0)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45462.708333333059</v>
      </c>
      <c r="BZ117" s="317">
        <f ca="1">OFFSET(TblImps[[#This Row],[Servertime]],-1,0)+1/24</f>
        <v>45462.708333333059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45462.749999999724</v>
      </c>
      <c r="M118" s="62">
        <f>IF(ISERROR(TblImps[[#This Row],[algorithm]]),0,TblImps[[#This Row],[algorithm]]*1)</f>
        <v>0</v>
      </c>
      <c r="N118" s="97">
        <f ca="1">TblImps[[#This Row],[Land]]</f>
        <v>250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Spires]]/(towers_param*(OFFSET(TblImps[[#This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Harbor]]/(harbor_towers_param*(OFFSET(TblImps[[#This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Spires]],-1,0)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Harbor]],-1,0)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45462.749999999724</v>
      </c>
      <c r="BZ118" s="317">
        <f ca="1">OFFSET(TblImps[[#This Row],[Servertime]],-1,0)+1/24</f>
        <v>45462.749999999724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45462.791666666388</v>
      </c>
      <c r="M119" s="62">
        <f>IF(ISERROR(TblImps[[#This Row],[algorithm]]),0,TblImps[[#This Row],[algorithm]]*1)</f>
        <v>0</v>
      </c>
      <c r="N119" s="97">
        <f ca="1">TblImps[[#This Row],[Land]]</f>
        <v>250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Spires]]/(towers_param*(OFFSET(TblImps[[#This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Harbor]]/(harbor_towers_param*(OFFSET(TblImps[[#This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Spires]],-1,0)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Harbor]],-1,0)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45462.791666666388</v>
      </c>
      <c r="BZ119" s="317">
        <f ca="1">OFFSET(TblImps[[#This Row],[Servertime]],-1,0)+1/24</f>
        <v>45462.791666666388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45462.833333333052</v>
      </c>
      <c r="M120" s="62">
        <f>IF(ISERROR(TblImps[[#This Row],[algorithm]]),0,TblImps[[#This Row],[algorithm]]*1)</f>
        <v>0</v>
      </c>
      <c r="N120" s="97">
        <f ca="1">TblImps[[#This Row],[Land]]</f>
        <v>250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Spires]]/(towers_param*(OFFSET(TblImps[[#This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Harbor]]/(harbor_towers_param*(OFFSET(TblImps[[#This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Spires]],-1,0)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Harbor]],-1,0)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45462.833333333052</v>
      </c>
      <c r="BZ120" s="317">
        <f ca="1">OFFSET(TblImps[[#This Row],[Servertime]],-1,0)+1/24</f>
        <v>45462.833333333052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45462.874999999716</v>
      </c>
      <c r="M121" s="62">
        <f>IF(ISERROR(TblImps[[#This Row],[algorithm]]),0,TblImps[[#This Row],[algorithm]]*1)</f>
        <v>0</v>
      </c>
      <c r="N121" s="97">
        <f ca="1">TblImps[[#This Row],[Land]]</f>
        <v>250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Spires]]/(towers_param*(OFFSET(TblImps[[#This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Harbor]]/(harbor_towers_param*(OFFSET(TblImps[[#This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Spires]],-1,0)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Harbor]],-1,0)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45462.874999999716</v>
      </c>
      <c r="BZ121" s="317">
        <f ca="1">OFFSET(TblImps[[#This Row],[Servertime]],-1,0)+1/24</f>
        <v>45462.874999999716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45462.91666666638</v>
      </c>
      <c r="M122" s="62">
        <f>IF(ISERROR(TblImps[[#This Row],[algorithm]]),0,TblImps[[#This Row],[algorithm]]*1)</f>
        <v>0</v>
      </c>
      <c r="N122" s="97">
        <f ca="1">TblImps[[#This Row],[Land]]</f>
        <v>250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Spires]]/(towers_param*(OFFSET(TblImps[[#This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Harbor]]/(harbor_towers_param*(OFFSET(TblImps[[#This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Spires]],-1,0)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Harbor]],-1,0)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45462.91666666638</v>
      </c>
      <c r="BZ122" s="317">
        <f ca="1">OFFSET(TblImps[[#This Row],[Servertime]],-1,0)+1/24</f>
        <v>45462.91666666638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45462.958333333045</v>
      </c>
      <c r="M123" s="62">
        <f>IF(ISERROR(TblImps[[#This Row],[algorithm]]),0,TblImps[[#This Row],[algorithm]]*1)</f>
        <v>0</v>
      </c>
      <c r="N123" s="97">
        <f ca="1">TblImps[[#This Row],[Land]]</f>
        <v>250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Spires]]/(towers_param*(OFFSET(TblImps[[#This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Harbor]]/(harbor_towers_param*(OFFSET(TblImps[[#This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Spires]],-1,0)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Harbor]],-1,0)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45462.958333333045</v>
      </c>
      <c r="BZ123" s="317">
        <f ca="1">OFFSET(TblImps[[#This Row],[Servertime]],-1,0)+1/24</f>
        <v>45462.958333333045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45462.999999999709</v>
      </c>
      <c r="M124" s="62">
        <f>IF(ISERROR(TblImps[[#This Row],[algorithm]]),0,TblImps[[#This Row],[algorithm]]*1)</f>
        <v>0</v>
      </c>
      <c r="N124" s="97">
        <f ca="1">TblImps[[#This Row],[Land]]</f>
        <v>250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Spires]]/(towers_param*(OFFSET(TblImps[[#This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Harbor]]/(harbor_towers_param*(OFFSET(TblImps[[#This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Spires]],-1,0)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Harbor]],-1,0)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45462.999999999709</v>
      </c>
      <c r="BZ124" s="317">
        <f ca="1">OFFSET(TblImps[[#This Row],[Servertime]],-1,0)+1/24</f>
        <v>45462.999999999709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45463.041666666373</v>
      </c>
      <c r="M125" s="62">
        <f>IF(ISERROR(TblImps[[#This Row],[algorithm]]),0,TblImps[[#This Row],[algorithm]]*1)</f>
        <v>0</v>
      </c>
      <c r="N125" s="97">
        <f ca="1">TblImps[[#This Row],[Land]]</f>
        <v>250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Spires]]/(towers_param*(OFFSET(TblImps[[#This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Harbor]]/(harbor_towers_param*(OFFSET(TblImps[[#This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Spires]],-1,0)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Harbor]],-1,0)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45463.041666666373</v>
      </c>
      <c r="BZ125" s="317">
        <f ca="1">OFFSET(TblImps[[#This Row],[Servertime]],-1,0)+1/24</f>
        <v>45463.041666666373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45463.083333333037</v>
      </c>
      <c r="M126" s="62">
        <f>IF(ISERROR(TblImps[[#This Row],[algorithm]]),0,TblImps[[#This Row],[algorithm]]*1)</f>
        <v>0</v>
      </c>
      <c r="N126" s="97">
        <f ca="1">TblImps[[#This Row],[Land]]</f>
        <v>250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Spires]]/(towers_param*(OFFSET(TblImps[[#This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Harbor]]/(harbor_towers_param*(OFFSET(TblImps[[#This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Spires]],-1,0)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Harbor]],-1,0)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45463.083333333037</v>
      </c>
      <c r="BZ126" s="317">
        <f ca="1">OFFSET(TblImps[[#This Row],[Servertime]],-1,0)+1/24</f>
        <v>45463.083333333037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45463.124999999702</v>
      </c>
      <c r="M127" s="62">
        <f>IF(ISERROR(TblImps[[#This Row],[algorithm]]),0,TblImps[[#This Row],[algorithm]]*1)</f>
        <v>0</v>
      </c>
      <c r="N127" s="97">
        <f ca="1">TblImps[[#This Row],[Land]]</f>
        <v>250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Spires]]/(towers_param*(OFFSET(TblImps[[#This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Harbor]]/(harbor_towers_param*(OFFSET(TblImps[[#This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Spires]],-1,0)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Harbor]],-1,0)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45463.124999999702</v>
      </c>
      <c r="BZ127" s="317">
        <f ca="1">OFFSET(TblImps[[#This Row],[Servertime]],-1,0)+1/24</f>
        <v>45463.124999999702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45463.166666666366</v>
      </c>
      <c r="M128" s="62">
        <f>IF(ISERROR(TblImps[[#This Row],[algorithm]]),0,TblImps[[#This Row],[algorithm]]*1)</f>
        <v>0</v>
      </c>
      <c r="N128" s="97">
        <f ca="1">TblImps[[#This Row],[Land]]</f>
        <v>250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Spires]]/(towers_param*(OFFSET(TblImps[[#This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Harbor]]/(harbor_towers_param*(OFFSET(TblImps[[#This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Spires]],-1,0)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Harbor]],-1,0)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45463.166666666366</v>
      </c>
      <c r="BZ128" s="317">
        <f ca="1">OFFSET(TblImps[[#This Row],[Servertime]],-1,0)+1/24</f>
        <v>45463.166666666366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45463.20833333303</v>
      </c>
      <c r="M129" s="62">
        <f>IF(ISERROR(TblImps[[#This Row],[algorithm]]),0,TblImps[[#This Row],[algorithm]]*1)</f>
        <v>0</v>
      </c>
      <c r="N129" s="97">
        <f ca="1">TblImps[[#This Row],[Land]]</f>
        <v>250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Spires]]/(towers_param*(OFFSET(TblImps[[#This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Harbor]]/(harbor_towers_param*(OFFSET(TblImps[[#This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Spires]],-1,0)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Harbor]],-1,0)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45463.20833333303</v>
      </c>
      <c r="BZ129" s="317">
        <f ca="1">OFFSET(TblImps[[#This Row],[Servertime]],-1,0)+1/24</f>
        <v>45463.20833333303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45463.249999999694</v>
      </c>
      <c r="M130" s="62">
        <f>IF(ISERROR(TblImps[[#This Row],[algorithm]]),0,TblImps[[#This Row],[algorithm]]*1)</f>
        <v>0</v>
      </c>
      <c r="N130" s="97">
        <f ca="1">TblImps[[#This Row],[Land]]</f>
        <v>250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Spires]]/(towers_param*(OFFSET(TblImps[[#This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Harbor]]/(harbor_towers_param*(OFFSET(TblImps[[#This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Spires]],-1,0)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Harbor]],-1,0)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45463.249999999694</v>
      </c>
      <c r="BZ130" s="317">
        <f ca="1">OFFSET(TblImps[[#This Row],[Servertime]],-1,0)+1/24</f>
        <v>45463.249999999694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45463.291666666359</v>
      </c>
      <c r="M131" s="62">
        <f>IF(ISERROR(TblImps[[#This Row],[algorithm]]),0,TblImps[[#This Row],[algorithm]]*1)</f>
        <v>0</v>
      </c>
      <c r="N131" s="97">
        <f ca="1">TblImps[[#This Row],[Land]]</f>
        <v>250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Spires]]/(towers_param*(OFFSET(TblImps[[#This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Harbor]]/(harbor_towers_param*(OFFSET(TblImps[[#This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Spires]],-1,0)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Harbor]],-1,0)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45463.291666666359</v>
      </c>
      <c r="BZ131" s="317">
        <f ca="1">OFFSET(TblImps[[#This Row],[Servertime]],-1,0)+1/24</f>
        <v>45463.291666666359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45463.333333333023</v>
      </c>
      <c r="M132" s="62">
        <f>IF(ISERROR(TblImps[[#This Row],[algorithm]]),0,TblImps[[#This Row],[algorithm]]*1)</f>
        <v>0</v>
      </c>
      <c r="N132" s="97">
        <f ca="1">TblImps[[#This Row],[Land]]</f>
        <v>250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Spires]]/(towers_param*(OFFSET(TblImps[[#This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Harbor]]/(harbor_towers_param*(OFFSET(TblImps[[#This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Spires]],-1,0)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Harbor]],-1,0)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45463.333333333023</v>
      </c>
      <c r="BZ132" s="317">
        <f ca="1">OFFSET(TblImps[[#This Row],[Servertime]],-1,0)+1/24</f>
        <v>45463.333333333023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45463.374999999687</v>
      </c>
      <c r="M133" s="62">
        <f>IF(ISERROR(TblImps[[#This Row],[algorithm]]),0,TblImps[[#This Row],[algorithm]]*1)</f>
        <v>0</v>
      </c>
      <c r="N133" s="97">
        <f ca="1">TblImps[[#This Row],[Land]]</f>
        <v>250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Spires]]/(towers_param*(OFFSET(TblImps[[#This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Harbor]]/(harbor_towers_param*(OFFSET(TblImps[[#This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Spires]],-1,0)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Harbor]],-1,0)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45463.374999999687</v>
      </c>
      <c r="BZ133" s="317">
        <f ca="1">OFFSET(TblImps[[#This Row],[Servertime]],-1,0)+1/24</f>
        <v>45463.374999999687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45463.416666666351</v>
      </c>
      <c r="M134" s="62">
        <f>IF(ISERROR(TblImps[[#This Row],[algorithm]]),0,TblImps[[#This Row],[algorithm]]*1)</f>
        <v>0</v>
      </c>
      <c r="N134" s="97">
        <f ca="1">TblImps[[#This Row],[Land]]</f>
        <v>250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Spires]]/(towers_param*(OFFSET(TblImps[[#This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Harbor]]/(harbor_towers_param*(OFFSET(TblImps[[#This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Spires]],-1,0)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Harbor]],-1,0)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45463.416666666351</v>
      </c>
      <c r="BZ134" s="317">
        <f ca="1">OFFSET(TblImps[[#This Row],[Servertime]],-1,0)+1/24</f>
        <v>45463.416666666351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45463.458333333016</v>
      </c>
      <c r="M135" s="62">
        <f>IF(ISERROR(TblImps[[#This Row],[algorithm]]),0,TblImps[[#This Row],[algorithm]]*1)</f>
        <v>0</v>
      </c>
      <c r="N135" s="97">
        <f ca="1">TblImps[[#This Row],[Land]]</f>
        <v>250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Spires]]/(towers_param*(OFFSET(TblImps[[#This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Harbor]]/(harbor_towers_param*(OFFSET(TblImps[[#This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Spires]],-1,0)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Harbor]],-1,0)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45463.458333333016</v>
      </c>
      <c r="BZ135" s="317">
        <f ca="1">OFFSET(TblImps[[#This Row],[Servertime]],-1,0)+1/24</f>
        <v>45463.458333333016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45463.49999999968</v>
      </c>
      <c r="M136" s="62">
        <f>IF(ISERROR(TblImps[[#This Row],[algorithm]]),0,TblImps[[#This Row],[algorithm]]*1)</f>
        <v>0</v>
      </c>
      <c r="N136" s="97">
        <f ca="1">TblImps[[#This Row],[Land]]</f>
        <v>250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Spires]]/(towers_param*(OFFSET(TblImps[[#This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Harbor]]/(harbor_towers_param*(OFFSET(TblImps[[#This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Spires]],-1,0)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Harbor]],-1,0)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45463.49999999968</v>
      </c>
      <c r="BZ136" s="317">
        <f ca="1">OFFSET(TblImps[[#This Row],[Servertime]],-1,0)+1/24</f>
        <v>45463.49999999968</v>
      </c>
      <c r="CA136" s="57"/>
      <c r="CB136" s="315"/>
      <c r="CC136" s="315"/>
    </row>
    <row r="1269" spans="2:23" x14ac:dyDescent="0.2">
      <c r="B1269" s="499" t="s">
        <v>315</v>
      </c>
      <c r="C1269" s="456"/>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6" priority="8" stopIfTrue="1">
      <formula>ROW()-2=#REF!</formula>
    </cfRule>
  </conditionalFormatting>
  <conditionalFormatting sqref="A1269:CC1269">
    <cfRule type="expression" dxfId="135" priority="9" stopIfTrue="1">
      <formula>$B$1270&gt;84</formula>
    </cfRule>
  </conditionalFormatting>
  <conditionalFormatting sqref="A1269:XFD1270">
    <cfRule type="expression" dxfId="134" priority="10" stopIfTrue="1">
      <formula>$B$1270&gt;144</formula>
    </cfRule>
  </conditionalFormatting>
  <conditionalFormatting sqref="BV76">
    <cfRule type="expression" dxfId="133" priority="20" stopIfTrue="1">
      <formula>ISERROR(BV76)</formula>
    </cfRule>
  </conditionalFormatting>
  <conditionalFormatting sqref="A4:BZ136">
    <cfRule type="expression" dxfId="132" priority="1" stopIfTrue="1">
      <formula>ROW()-3=$B$1270</formula>
    </cfRule>
    <cfRule type="expression" dxfId="131" priority="2" stopIfTrue="1">
      <formula>OR(ROW()-3=$B$1270,A4&lt;0)</formula>
    </cfRule>
    <cfRule type="expression" dxfId="130" priority="7">
      <formula>$K4=73</formula>
    </cfRule>
    <cfRule type="expression" dxfId="129" priority="12">
      <formula>ROUND(($K4-1)/12,0)=INT($K4-1)/12</formula>
    </cfRule>
  </conditionalFormatting>
  <conditionalFormatting sqref="BV4:BV136">
    <cfRule type="expression" dxfId="128" priority="15" stopIfTrue="1">
      <formula>AND(ROW()-3=$B$1270,ISERROR(BV4))</formula>
    </cfRule>
    <cfRule type="expression" dxfId="127" priority="17" stopIfTrue="1">
      <formula>ISERROR(BV4)</formula>
    </cfRule>
  </conditionalFormatting>
  <conditionalFormatting sqref="A1:XFD3">
    <cfRule type="expression" dxfId="126"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471</v>
      </c>
      <c r="P16" s="39"/>
    </row>
    <row r="27" spans="8:9" ht="12.75" customHeight="1" x14ac:dyDescent="0.2"/>
    <row r="28" spans="8:9" x14ac:dyDescent="0.2">
      <c r="H28" s="28" t="s">
        <v>471</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1002</v>
      </c>
      <c r="D2" s="41" t="s">
        <v>935</v>
      </c>
      <c r="E2" s="41" t="s">
        <v>1004</v>
      </c>
    </row>
    <row r="3" spans="2:5" ht="15.75" x14ac:dyDescent="0.25">
      <c r="B3" s="40" t="s">
        <v>981</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982</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984</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983</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985</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986</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987</v>
      </c>
      <c r="C9" s="42" t="s">
        <v>347</v>
      </c>
      <c r="D9" s="40">
        <f>_xlfn.IFNA(INDEX(TblConstr[],MATCH(Log!$I$28,TblConstr[Hour],0),MATCH(TblStats[[#This Row],[Abbr]],TblConstr[#Headers],0)),0)</f>
        <v>0</v>
      </c>
      <c r="E9" s="43" t="e">
        <f>TblStats[[#This Row],[Number]]/INDEX(TblConstr[[Hour]:[Land]],MATCH(Log!$I$28,TblConstr[Hour],0),6)</f>
        <v>#N/A</v>
      </c>
    </row>
    <row r="10" spans="2:5" ht="15.75" x14ac:dyDescent="0.25">
      <c r="B10" s="40" t="s">
        <v>988</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989</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990</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991</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992</v>
      </c>
      <c r="C14" s="42" t="s">
        <v>349</v>
      </c>
      <c r="D14" s="40">
        <f>_xlfn.IFNA(INDEX(TblConstr[],MATCH(Log!$I$28,TblConstr[Hour],0),MATCH(TblStats[[#This Row],[Abbr]],TblConstr[#Headers],0)),0)</f>
        <v>0</v>
      </c>
      <c r="E14" s="43" t="e">
        <f>TblStats[[#This Row],[Number]]/INDEX(TblConstr[[Hour]:[Land]],MATCH(Log!$I$28,TblConstr[Hour],0),6)</f>
        <v>#N/A</v>
      </c>
    </row>
    <row r="15" spans="2:5" ht="15.75" x14ac:dyDescent="0.25">
      <c r="B15" s="40" t="s">
        <v>993</v>
      </c>
      <c r="C15" s="42" t="s">
        <v>352</v>
      </c>
      <c r="D15" s="40">
        <f>_xlfn.IFNA(INDEX(TblConstr[],MATCH(Log!$I$28,TblConstr[Hour],0),MATCH(TblStats[[#This Row],[Abbr]],TblConstr[#Headers],0)),0)</f>
        <v>0</v>
      </c>
      <c r="E15" s="43" t="e">
        <f>TblStats[[#This Row],[Number]]/INDEX(TblConstr[[Hour]:[Land]],MATCH(Log!$I$28,TblConstr[Hour],0),6)</f>
        <v>#N/A</v>
      </c>
    </row>
    <row r="16" spans="2:5" ht="15.75" x14ac:dyDescent="0.25">
      <c r="B16" s="40" t="s">
        <v>994</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995</v>
      </c>
      <c r="C17" s="42" t="s">
        <v>350</v>
      </c>
      <c r="D17" s="40">
        <f>_xlfn.IFNA(INDEX(TblConstr[],MATCH(Log!$I$28,TblConstr[Hour],0),MATCH(TblStats[[#This Row],[Abbr]],TblConstr[#Headers],0)),0)</f>
        <v>0</v>
      </c>
      <c r="E17" s="43" t="e">
        <f>TblStats[[#This Row],[Number]]/INDEX(TblConstr[[Hour]:[Land]],MATCH(Log!$I$28,TblConstr[Hour],0),6)</f>
        <v>#N/A</v>
      </c>
    </row>
    <row r="18" spans="2:12" ht="15.75" x14ac:dyDescent="0.25">
      <c r="B18" s="40" t="s">
        <v>996</v>
      </c>
      <c r="C18" s="42" t="s">
        <v>296</v>
      </c>
      <c r="D18" s="40">
        <f>_xlfn.IFNA(INDEX(TblConstr[],MATCH(Log!$I$28,TblConstr[Hour],0),MATCH(TblStats[[#This Row],[Abbr]],TblConstr[#Headers],0)),0)</f>
        <v>0</v>
      </c>
      <c r="E18" s="43" t="e">
        <f>TblStats[[#This Row],[Number]]/INDEX(TblConstr[[Hour]:[Land]],MATCH(Log!$I$28,TblConstr[Hour],0),6)</f>
        <v>#N/A</v>
      </c>
    </row>
    <row r="19" spans="2:12" ht="15.75" x14ac:dyDescent="0.25">
      <c r="B19" s="40" t="s">
        <v>997</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998</v>
      </c>
      <c r="C20" s="42" t="s">
        <v>370</v>
      </c>
      <c r="D20" s="40">
        <f>_xlfn.IFNA(INDEX(TblConstr[],MATCH(Log!$I$28,TblConstr[Hour],0),MATCH(TblStats[[#This Row],[Abbr]],TblConstr[#Headers],0)),0)</f>
        <v>0</v>
      </c>
      <c r="E20" s="43" t="e">
        <f>TblStats[[#This Row],[Number]]/INDEX(TblConstr[[Hour]:[Land]],MATCH(Log!$I$28,TblConstr[Hour],0),6)</f>
        <v>#N/A</v>
      </c>
    </row>
    <row r="21" spans="2:12" ht="15.75" x14ac:dyDescent="0.25">
      <c r="B21" s="40" t="s">
        <v>999</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1000</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1001</v>
      </c>
      <c r="C23" s="40" t="s">
        <v>1003</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980</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535</v>
      </c>
      <c r="B11" s="45">
        <v>25</v>
      </c>
      <c r="C11" s="45" t="s">
        <v>8</v>
      </c>
    </row>
    <row r="12" spans="1:6" x14ac:dyDescent="0.2">
      <c r="A12" s="329" t="s">
        <v>67</v>
      </c>
      <c r="B12" s="266">
        <v>1.75</v>
      </c>
      <c r="C12" s="45" t="s">
        <v>510</v>
      </c>
      <c r="D12" s="159">
        <v>0.35</v>
      </c>
      <c r="E12" s="45" t="s">
        <v>436</v>
      </c>
    </row>
    <row r="13" spans="1:6" x14ac:dyDescent="0.2">
      <c r="A13" s="329" t="s">
        <v>65</v>
      </c>
      <c r="B13" s="266">
        <v>1.75</v>
      </c>
      <c r="C13" s="45" t="s">
        <v>511</v>
      </c>
      <c r="D13" s="159">
        <v>0.35</v>
      </c>
      <c r="E13" s="45" t="s">
        <v>436</v>
      </c>
    </row>
    <row r="14" spans="1:6" x14ac:dyDescent="0.2">
      <c r="A14" s="329" t="s">
        <v>480</v>
      </c>
      <c r="B14" s="45">
        <v>0</v>
      </c>
      <c r="C14" s="45" t="s">
        <v>481</v>
      </c>
      <c r="D14" s="330"/>
      <c r="F14" s="159"/>
    </row>
    <row r="15" spans="1:6" x14ac:dyDescent="0.2">
      <c r="B15" s="45">
        <v>3.5</v>
      </c>
      <c r="C15" s="45" t="s">
        <v>482</v>
      </c>
      <c r="D15" s="331">
        <v>0.35</v>
      </c>
      <c r="E15" s="45" t="s">
        <v>436</v>
      </c>
      <c r="F15" s="159"/>
    </row>
    <row r="16" spans="1:6" x14ac:dyDescent="0.2">
      <c r="A16" s="329" t="s">
        <v>477</v>
      </c>
      <c r="B16" s="45">
        <v>0</v>
      </c>
      <c r="C16" s="45" t="s">
        <v>484</v>
      </c>
      <c r="D16" s="331">
        <v>0</v>
      </c>
      <c r="E16" s="45" t="s">
        <v>436</v>
      </c>
      <c r="F16" s="159"/>
    </row>
    <row r="17" spans="1:19" x14ac:dyDescent="0.2">
      <c r="B17" s="45">
        <v>3.5</v>
      </c>
      <c r="C17" s="45" t="s">
        <v>483</v>
      </c>
      <c r="D17" s="331">
        <v>0.35</v>
      </c>
      <c r="E17" s="45" t="s">
        <v>436</v>
      </c>
      <c r="F17" s="159"/>
    </row>
    <row r="18" spans="1:19" x14ac:dyDescent="0.2">
      <c r="B18" s="45">
        <v>5</v>
      </c>
      <c r="C18" s="45" t="s">
        <v>13</v>
      </c>
      <c r="D18" s="331"/>
      <c r="F18" s="159"/>
    </row>
    <row r="19" spans="1:19" x14ac:dyDescent="0.2">
      <c r="A19" s="329" t="s">
        <v>184</v>
      </c>
      <c r="B19" s="45">
        <v>2</v>
      </c>
      <c r="C19" s="45" t="s">
        <v>437</v>
      </c>
      <c r="D19" s="159">
        <v>0.36</v>
      </c>
      <c r="E19" s="45" t="s">
        <v>436</v>
      </c>
    </row>
    <row r="20" spans="1:19" x14ac:dyDescent="0.2">
      <c r="A20" s="329" t="s">
        <v>452</v>
      </c>
      <c r="B20" s="45">
        <v>2.6</v>
      </c>
      <c r="C20" s="45" t="s">
        <v>485</v>
      </c>
    </row>
    <row r="21" spans="1:19" x14ac:dyDescent="0.2">
      <c r="A21" s="329" t="s">
        <v>453</v>
      </c>
      <c r="B21" s="332">
        <v>5</v>
      </c>
      <c r="C21" s="45" t="s">
        <v>454</v>
      </c>
      <c r="D21" s="159">
        <v>0.5</v>
      </c>
      <c r="E21" s="45" t="s">
        <v>436</v>
      </c>
    </row>
    <row r="22" spans="1:19" x14ac:dyDescent="0.2">
      <c r="B22" s="332">
        <v>5</v>
      </c>
      <c r="C22" s="45" t="s">
        <v>455</v>
      </c>
      <c r="D22" s="159">
        <v>0.5</v>
      </c>
      <c r="E22" s="45" t="s">
        <v>436</v>
      </c>
    </row>
    <row r="23" spans="1:19" x14ac:dyDescent="0.2">
      <c r="A23" s="329" t="s">
        <v>1069</v>
      </c>
      <c r="B23" s="332"/>
      <c r="C23" s="45" t="s">
        <v>1070</v>
      </c>
      <c r="D23" s="159">
        <v>0.5</v>
      </c>
      <c r="E23" s="45" t="s">
        <v>436</v>
      </c>
    </row>
    <row r="24" spans="1:19" x14ac:dyDescent="0.2">
      <c r="A24" s="328" t="s">
        <v>80</v>
      </c>
    </row>
    <row r="25" spans="1:19" x14ac:dyDescent="0.2">
      <c r="A25" s="333" t="s">
        <v>72</v>
      </c>
      <c r="B25" s="333" t="s">
        <v>71</v>
      </c>
      <c r="C25" s="333" t="s">
        <v>70</v>
      </c>
      <c r="D25" s="333" t="s">
        <v>69</v>
      </c>
      <c r="E25" s="333" t="s">
        <v>68</v>
      </c>
      <c r="F25" s="334" t="s">
        <v>63</v>
      </c>
      <c r="G25" s="334" t="s">
        <v>347</v>
      </c>
      <c r="H25" s="335" t="s">
        <v>64</v>
      </c>
      <c r="I25" s="335" t="s">
        <v>65</v>
      </c>
      <c r="J25" s="336" t="s">
        <v>66</v>
      </c>
      <c r="K25" s="336" t="s">
        <v>67</v>
      </c>
      <c r="L25" s="336" t="s">
        <v>349</v>
      </c>
      <c r="M25" s="337" t="s">
        <v>352</v>
      </c>
      <c r="N25" s="338" t="s">
        <v>74</v>
      </c>
      <c r="O25" s="338" t="s">
        <v>350</v>
      </c>
      <c r="P25" s="338" t="s">
        <v>508</v>
      </c>
      <c r="Q25" s="339" t="s">
        <v>75</v>
      </c>
      <c r="R25" s="339" t="s">
        <v>370</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394</v>
      </c>
      <c r="M32" s="5"/>
      <c r="N32" s="5"/>
      <c r="O32" s="5"/>
      <c r="P32" s="5"/>
      <c r="Q32" s="5"/>
      <c r="R32" s="5"/>
      <c r="S32" s="5"/>
    </row>
    <row r="33" spans="1:16" x14ac:dyDescent="0.2">
      <c r="A33" s="329" t="s">
        <v>21</v>
      </c>
      <c r="B33" s="45">
        <f>HLOOKUP(1,E33:J37,2)</f>
        <v>1300</v>
      </c>
      <c r="D33" s="45" t="s">
        <v>435</v>
      </c>
      <c r="E33" s="45">
        <v>1</v>
      </c>
      <c r="F33" s="45">
        <v>2</v>
      </c>
      <c r="G33" s="45">
        <v>3</v>
      </c>
      <c r="H33" s="45">
        <v>4</v>
      </c>
      <c r="I33" s="45">
        <v>5</v>
      </c>
      <c r="J33" s="45">
        <v>6</v>
      </c>
      <c r="L33" s="45" t="s">
        <v>384</v>
      </c>
      <c r="M33" s="159">
        <v>0.1</v>
      </c>
      <c r="N33" s="45" t="s">
        <v>395</v>
      </c>
    </row>
    <row r="34" spans="1:16" x14ac:dyDescent="0.2">
      <c r="A34" s="329" t="s">
        <v>24</v>
      </c>
      <c r="B34" s="45">
        <v>100</v>
      </c>
      <c r="D34" s="45" t="s">
        <v>21</v>
      </c>
      <c r="E34" s="97">
        <v>1300</v>
      </c>
      <c r="F34" s="97">
        <v>1390</v>
      </c>
      <c r="G34" s="97">
        <v>1480</v>
      </c>
      <c r="H34" s="97">
        <v>1570</v>
      </c>
      <c r="I34" s="97">
        <v>1660</v>
      </c>
      <c r="J34" s="97">
        <v>1750</v>
      </c>
      <c r="K34" s="97"/>
      <c r="M34" s="159">
        <v>0.05</v>
      </c>
      <c r="N34" s="45" t="s">
        <v>396</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397</v>
      </c>
    </row>
    <row r="36" spans="1:16" x14ac:dyDescent="0.2">
      <c r="A36" s="329" t="str">
        <f>Overview!$A23</f>
        <v>Archer</v>
      </c>
      <c r="B36" s="45">
        <v>150</v>
      </c>
      <c r="D36" s="45" t="s">
        <v>5</v>
      </c>
      <c r="E36" s="97">
        <v>15000</v>
      </c>
      <c r="F36" s="97">
        <v>16000</v>
      </c>
      <c r="G36" s="97">
        <v>17000</v>
      </c>
      <c r="H36" s="97">
        <v>18000</v>
      </c>
      <c r="I36" s="97">
        <v>19000</v>
      </c>
      <c r="J36" s="97">
        <v>20000</v>
      </c>
      <c r="L36" s="45" t="s">
        <v>176</v>
      </c>
      <c r="M36" s="159">
        <v>-0.05</v>
      </c>
      <c r="N36" s="45" t="s">
        <v>398</v>
      </c>
    </row>
    <row r="37" spans="1:16" x14ac:dyDescent="0.2">
      <c r="A37" s="329" t="str">
        <f>Overview!$A24</f>
        <v>Knight</v>
      </c>
      <c r="B37" s="45">
        <v>0</v>
      </c>
      <c r="D37" s="45" t="s">
        <v>7</v>
      </c>
      <c r="E37" s="97">
        <v>15000</v>
      </c>
      <c r="F37" s="97">
        <v>15450</v>
      </c>
      <c r="G37" s="97">
        <v>15900</v>
      </c>
      <c r="H37" s="97">
        <v>16350</v>
      </c>
      <c r="I37" s="97">
        <v>16800</v>
      </c>
      <c r="J37" s="97">
        <v>17250</v>
      </c>
      <c r="M37" s="45">
        <v>-1</v>
      </c>
      <c r="N37" s="45" t="s">
        <v>399</v>
      </c>
    </row>
    <row r="38" spans="1:16" x14ac:dyDescent="0.2">
      <c r="A38" s="329" t="str">
        <f>Overview!$A25</f>
        <v>Cavalry</v>
      </c>
      <c r="B38" s="45">
        <v>0</v>
      </c>
      <c r="M38" s="159">
        <v>-0.1</v>
      </c>
      <c r="N38" s="45" t="s">
        <v>398</v>
      </c>
      <c r="O38" s="45">
        <v>-2</v>
      </c>
      <c r="P38" s="45" t="s">
        <v>399</v>
      </c>
    </row>
    <row r="39" spans="1:16" x14ac:dyDescent="0.2">
      <c r="A39" s="329" t="s">
        <v>25</v>
      </c>
      <c r="B39" s="45">
        <v>25</v>
      </c>
      <c r="D39" s="45" t="s">
        <v>369</v>
      </c>
      <c r="E39" s="97">
        <v>1</v>
      </c>
      <c r="F39" s="45">
        <v>2</v>
      </c>
      <c r="G39" s="45">
        <v>3</v>
      </c>
      <c r="H39" s="45">
        <v>4</v>
      </c>
      <c r="I39" s="45">
        <v>5</v>
      </c>
      <c r="J39" s="45">
        <v>6</v>
      </c>
      <c r="L39" s="45" t="s">
        <v>278</v>
      </c>
      <c r="M39" s="159">
        <v>-0.1</v>
      </c>
      <c r="N39" s="45" t="s">
        <v>400</v>
      </c>
    </row>
    <row r="40" spans="1:16" x14ac:dyDescent="0.2">
      <c r="A40" s="329" t="s">
        <v>1090</v>
      </c>
      <c r="B40" s="45">
        <v>0</v>
      </c>
      <c r="D40" s="45" t="s">
        <v>21</v>
      </c>
      <c r="E40" s="45">
        <v>1200</v>
      </c>
      <c r="F40" s="45">
        <v>1325</v>
      </c>
      <c r="G40" s="45">
        <v>1450</v>
      </c>
      <c r="H40" s="45">
        <v>1575</v>
      </c>
      <c r="I40" s="45">
        <v>1700</v>
      </c>
      <c r="J40" s="45">
        <v>1825</v>
      </c>
      <c r="M40" s="159">
        <v>-0.1</v>
      </c>
      <c r="N40" s="45" t="s">
        <v>401</v>
      </c>
    </row>
    <row r="41" spans="1:16" x14ac:dyDescent="0.2">
      <c r="A41" s="329" t="s">
        <v>26</v>
      </c>
      <c r="B41" s="45">
        <v>25</v>
      </c>
      <c r="D41" s="45" t="s">
        <v>2</v>
      </c>
      <c r="E41" s="45">
        <v>100000</v>
      </c>
      <c r="F41" s="45">
        <v>104750</v>
      </c>
      <c r="G41" s="45">
        <v>109500</v>
      </c>
      <c r="H41" s="45">
        <v>114250</v>
      </c>
      <c r="I41" s="45">
        <v>119000</v>
      </c>
      <c r="J41" s="45">
        <v>123750</v>
      </c>
      <c r="M41" s="159">
        <v>0.02</v>
      </c>
      <c r="N41" s="45" t="s">
        <v>402</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403</v>
      </c>
    </row>
    <row r="43" spans="1:16" x14ac:dyDescent="0.2">
      <c r="D43" s="45" t="s">
        <v>7</v>
      </c>
      <c r="E43" s="45">
        <v>15000</v>
      </c>
      <c r="F43" s="45">
        <v>15450</v>
      </c>
      <c r="G43" s="45">
        <v>15900</v>
      </c>
      <c r="H43" s="45">
        <v>16350</v>
      </c>
      <c r="I43" s="45">
        <v>16800</v>
      </c>
      <c r="J43" s="45">
        <v>17250</v>
      </c>
      <c r="M43" s="159">
        <v>-0.1</v>
      </c>
      <c r="N43" s="45" t="s">
        <v>404</v>
      </c>
    </row>
    <row r="44" spans="1:16" x14ac:dyDescent="0.2">
      <c r="A44" s="328" t="s">
        <v>78</v>
      </c>
      <c r="C44" s="97"/>
      <c r="M44" s="159">
        <v>0.05</v>
      </c>
      <c r="N44" s="45" t="s">
        <v>293</v>
      </c>
    </row>
    <row r="45" spans="1:16" x14ac:dyDescent="0.2">
      <c r="A45" s="329" t="s">
        <v>2</v>
      </c>
      <c r="B45" s="97">
        <f>HLOOKUP(1,E33:J37,3)</f>
        <v>100000</v>
      </c>
      <c r="C45" s="97"/>
      <c r="D45" s="45" t="s">
        <v>440</v>
      </c>
      <c r="L45" s="45" t="s">
        <v>73</v>
      </c>
      <c r="M45" s="159">
        <v>-0.1</v>
      </c>
      <c r="N45" s="45" t="s">
        <v>405</v>
      </c>
    </row>
    <row r="46" spans="1:16" x14ac:dyDescent="0.2">
      <c r="A46" s="329" t="s">
        <v>5</v>
      </c>
      <c r="B46" s="97">
        <f>HLOOKUP(1,E33:J37,4)</f>
        <v>15000</v>
      </c>
      <c r="C46" s="97"/>
      <c r="D46" s="45" t="s">
        <v>21</v>
      </c>
      <c r="E46" s="45">
        <v>100</v>
      </c>
      <c r="M46" s="159">
        <v>-0.2</v>
      </c>
      <c r="N46" s="45" t="s">
        <v>406</v>
      </c>
    </row>
    <row r="47" spans="1:16" x14ac:dyDescent="0.2">
      <c r="A47" s="329" t="s">
        <v>81</v>
      </c>
      <c r="B47" s="97">
        <f>HLOOKUP(1,E33:J37,5)</f>
        <v>15000</v>
      </c>
      <c r="C47" s="97"/>
      <c r="D47" s="45" t="s">
        <v>2</v>
      </c>
      <c r="E47" s="45">
        <v>5000</v>
      </c>
      <c r="M47" s="45">
        <v>1</v>
      </c>
      <c r="N47" s="45" t="s">
        <v>407</v>
      </c>
    </row>
    <row r="48" spans="1:16" x14ac:dyDescent="0.2">
      <c r="A48" s="329" t="s">
        <v>12</v>
      </c>
      <c r="B48" s="97">
        <v>0</v>
      </c>
      <c r="C48" s="97"/>
      <c r="D48" s="45" t="s">
        <v>5</v>
      </c>
      <c r="E48" s="45">
        <v>1500</v>
      </c>
      <c r="L48" s="45" t="s">
        <v>182</v>
      </c>
      <c r="M48" s="159">
        <v>-0.1</v>
      </c>
      <c r="N48" s="45" t="s">
        <v>408</v>
      </c>
    </row>
    <row r="49" spans="1:21" x14ac:dyDescent="0.2">
      <c r="A49" s="329" t="s">
        <v>3</v>
      </c>
      <c r="B49" s="97">
        <v>0</v>
      </c>
      <c r="C49" s="97"/>
      <c r="D49" s="45" t="s">
        <v>7</v>
      </c>
      <c r="E49" s="45">
        <v>2500</v>
      </c>
      <c r="M49" s="159">
        <v>-0.2</v>
      </c>
      <c r="N49" s="45" t="s">
        <v>409</v>
      </c>
    </row>
    <row r="50" spans="1:21" x14ac:dyDescent="0.2">
      <c r="A50" s="329" t="s">
        <v>4</v>
      </c>
      <c r="B50" s="97">
        <v>10000</v>
      </c>
      <c r="C50" s="97"/>
      <c r="D50" s="45" t="s">
        <v>3</v>
      </c>
      <c r="E50" s="45">
        <v>2500</v>
      </c>
      <c r="M50" s="45">
        <v>1</v>
      </c>
      <c r="N50" s="45" t="s">
        <v>410</v>
      </c>
    </row>
    <row r="51" spans="1:21" x14ac:dyDescent="0.2">
      <c r="A51" s="329" t="s">
        <v>82</v>
      </c>
      <c r="B51" s="97">
        <v>0</v>
      </c>
      <c r="D51" s="45" t="s">
        <v>12</v>
      </c>
      <c r="E51" s="45">
        <v>1000</v>
      </c>
      <c r="L51" s="45" t="s">
        <v>385</v>
      </c>
      <c r="M51" s="159">
        <v>-0.1</v>
      </c>
      <c r="N51" s="45" t="s">
        <v>411</v>
      </c>
    </row>
    <row r="52" spans="1:21" x14ac:dyDescent="0.2">
      <c r="D52" s="45" t="s">
        <v>441</v>
      </c>
      <c r="E52" s="45">
        <v>30</v>
      </c>
      <c r="L52" s="45" t="s">
        <v>386</v>
      </c>
      <c r="M52" s="159">
        <v>0.2</v>
      </c>
      <c r="N52" s="45" t="s">
        <v>412</v>
      </c>
      <c r="O52" s="159">
        <v>0.1</v>
      </c>
      <c r="P52" s="45" t="s">
        <v>396</v>
      </c>
    </row>
    <row r="53" spans="1:21" x14ac:dyDescent="0.2">
      <c r="A53" s="328" t="s">
        <v>86</v>
      </c>
      <c r="D53" s="45" t="s">
        <v>442</v>
      </c>
      <c r="E53" s="45">
        <v>30</v>
      </c>
      <c r="L53" s="45" t="s">
        <v>387</v>
      </c>
      <c r="M53" s="160">
        <v>0.06</v>
      </c>
      <c r="N53" s="45" t="s">
        <v>402</v>
      </c>
    </row>
    <row r="54" spans="1:21" x14ac:dyDescent="0.2">
      <c r="A54" s="329" t="s">
        <v>21</v>
      </c>
      <c r="B54" s="342">
        <v>0.03</v>
      </c>
      <c r="L54" s="45" t="s">
        <v>388</v>
      </c>
      <c r="M54" s="121">
        <v>0.125</v>
      </c>
      <c r="N54" s="45" t="s">
        <v>397</v>
      </c>
    </row>
    <row r="55" spans="1:21" x14ac:dyDescent="0.2">
      <c r="A55" s="329" t="s">
        <v>24</v>
      </c>
      <c r="B55" s="342">
        <v>0.01</v>
      </c>
      <c r="L55" s="45" t="s">
        <v>389</v>
      </c>
      <c r="M55" s="159">
        <v>-0.3</v>
      </c>
      <c r="N55" s="45" t="s">
        <v>413</v>
      </c>
    </row>
    <row r="56" spans="1:21" x14ac:dyDescent="0.2">
      <c r="A56" s="329" t="s">
        <v>14</v>
      </c>
      <c r="B56" s="342">
        <v>0.01</v>
      </c>
      <c r="L56" s="45" t="s">
        <v>390</v>
      </c>
      <c r="M56" s="159">
        <v>-0.2</v>
      </c>
      <c r="N56" s="45" t="s">
        <v>398</v>
      </c>
      <c r="O56" s="159">
        <v>0.15</v>
      </c>
      <c r="P56" s="45" t="s">
        <v>414</v>
      </c>
    </row>
    <row r="57" spans="1:21" x14ac:dyDescent="0.2">
      <c r="A57" s="329" t="s">
        <v>16</v>
      </c>
      <c r="B57" s="342">
        <v>0.01</v>
      </c>
      <c r="L57" s="45" t="s">
        <v>391</v>
      </c>
      <c r="M57" s="159">
        <v>-0.25</v>
      </c>
      <c r="N57" s="45" t="s">
        <v>415</v>
      </c>
    </row>
    <row r="58" spans="1:21" x14ac:dyDescent="0.2">
      <c r="A58" s="329" t="s">
        <v>15</v>
      </c>
      <c r="B58" s="342">
        <v>0.02</v>
      </c>
      <c r="L58" s="45" t="s">
        <v>392</v>
      </c>
      <c r="M58" s="159">
        <v>0.1</v>
      </c>
      <c r="N58" s="45" t="s">
        <v>293</v>
      </c>
      <c r="O58" s="159">
        <v>0.15</v>
      </c>
      <c r="P58" s="45" t="s">
        <v>416</v>
      </c>
    </row>
    <row r="59" spans="1:21" x14ac:dyDescent="0.2">
      <c r="L59" s="45" t="s">
        <v>393</v>
      </c>
      <c r="M59" s="45">
        <v>3</v>
      </c>
      <c r="N59" s="45" t="s">
        <v>417</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470</v>
      </c>
      <c r="U62" s="160"/>
    </row>
    <row r="63" spans="1:21" x14ac:dyDescent="0.2">
      <c r="A63" s="328" t="s">
        <v>169</v>
      </c>
    </row>
    <row r="64" spans="1:21" x14ac:dyDescent="0.2">
      <c r="A64" s="329" t="s">
        <v>344</v>
      </c>
      <c r="B64" s="45">
        <v>36</v>
      </c>
      <c r="C64" s="45" t="s">
        <v>345</v>
      </c>
      <c r="D64" s="45" t="s">
        <v>346</v>
      </c>
      <c r="L64" s="45" t="s">
        <v>469</v>
      </c>
      <c r="M64" s="45">
        <v>3780</v>
      </c>
      <c r="U64" s="159"/>
    </row>
    <row r="65" spans="1:21" x14ac:dyDescent="0.2">
      <c r="A65" s="329" t="s">
        <v>171</v>
      </c>
      <c r="B65" s="45">
        <v>30</v>
      </c>
      <c r="C65" s="45" t="s">
        <v>269</v>
      </c>
    </row>
    <row r="66" spans="1:21" x14ac:dyDescent="0.2">
      <c r="A66" s="329" t="s">
        <v>476</v>
      </c>
      <c r="B66" s="45">
        <v>15</v>
      </c>
      <c r="C66" s="45" t="s">
        <v>269</v>
      </c>
      <c r="L66" s="5" t="s">
        <v>627</v>
      </c>
      <c r="U66" s="159"/>
    </row>
    <row r="67" spans="1:21" x14ac:dyDescent="0.2">
      <c r="A67" s="329" t="s">
        <v>348</v>
      </c>
      <c r="B67" s="45">
        <v>15</v>
      </c>
      <c r="C67" s="45" t="s">
        <v>269</v>
      </c>
      <c r="L67" s="111" t="s">
        <v>537</v>
      </c>
      <c r="M67" s="434">
        <v>2.5000000000000001E-2</v>
      </c>
      <c r="N67" s="45" t="s">
        <v>632</v>
      </c>
      <c r="S67" s="45" t="s">
        <v>681</v>
      </c>
      <c r="U67" s="159"/>
    </row>
    <row r="68" spans="1:21" x14ac:dyDescent="0.2">
      <c r="A68" s="329" t="s">
        <v>170</v>
      </c>
      <c r="B68" s="45">
        <v>15</v>
      </c>
      <c r="C68" s="45" t="str">
        <f>C65</f>
        <v>peasants</v>
      </c>
      <c r="L68" s="111" t="s">
        <v>539</v>
      </c>
      <c r="M68" s="434">
        <v>0.05</v>
      </c>
      <c r="N68" s="45" t="s">
        <v>633</v>
      </c>
      <c r="S68" s="45" t="s">
        <v>682</v>
      </c>
    </row>
    <row r="69" spans="1:21" x14ac:dyDescent="0.2">
      <c r="A69" s="329" t="s">
        <v>270</v>
      </c>
      <c r="B69" s="45">
        <f>IF(OR(Overview!$B$14="Halfling",Overview!$B$14="Dwarf",Overview!$B$14="Gnome"),10,IF(race="Nomad",25,5))</f>
        <v>5</v>
      </c>
      <c r="L69" s="45" t="s">
        <v>540</v>
      </c>
      <c r="M69" s="2">
        <v>0.05</v>
      </c>
      <c r="N69" s="45" t="s">
        <v>634</v>
      </c>
      <c r="S69" s="45" t="s">
        <v>683</v>
      </c>
    </row>
    <row r="70" spans="1:21" x14ac:dyDescent="0.2">
      <c r="L70" s="45" t="s">
        <v>542</v>
      </c>
      <c r="M70" s="434">
        <v>7.4999999999999997E-2</v>
      </c>
      <c r="N70" s="45" t="s">
        <v>632</v>
      </c>
      <c r="S70" s="45" t="s">
        <v>684</v>
      </c>
      <c r="T70" s="111"/>
      <c r="U70" s="160"/>
    </row>
    <row r="71" spans="1:21" x14ac:dyDescent="0.2">
      <c r="A71" s="343" t="s">
        <v>271</v>
      </c>
      <c r="L71" s="45" t="s">
        <v>544</v>
      </c>
      <c r="M71" s="434">
        <v>0.02</v>
      </c>
      <c r="N71" s="45" t="s">
        <v>635</v>
      </c>
      <c r="S71" s="45" t="s">
        <v>685</v>
      </c>
      <c r="U71" s="160"/>
    </row>
    <row r="72" spans="1:21" x14ac:dyDescent="0.2">
      <c r="A72" s="329" t="str">
        <f>CONCATENATE("Your race is ",Overview!B14)</f>
        <v>Your race is Human</v>
      </c>
      <c r="L72" s="45" t="s">
        <v>545</v>
      </c>
      <c r="M72" s="2">
        <v>0.05</v>
      </c>
      <c r="N72" s="45" t="s">
        <v>670</v>
      </c>
      <c r="S72" s="111" t="s">
        <v>696</v>
      </c>
      <c r="T72" s="111"/>
      <c r="U72" s="159"/>
    </row>
    <row r="73" spans="1:21" x14ac:dyDescent="0.2">
      <c r="L73" s="45" t="s">
        <v>546</v>
      </c>
      <c r="M73" s="2">
        <v>0.1</v>
      </c>
      <c r="N73" s="45" t="s">
        <v>751</v>
      </c>
      <c r="S73" s="111" t="s">
        <v>725</v>
      </c>
      <c r="T73" s="111"/>
      <c r="U73" s="159"/>
    </row>
    <row r="74" spans="1:21" x14ac:dyDescent="0.2">
      <c r="A74" s="328" t="s">
        <v>202</v>
      </c>
      <c r="B74" s="45" t="s">
        <v>272</v>
      </c>
      <c r="F74" s="45" t="s">
        <v>207</v>
      </c>
      <c r="L74" s="45" t="s">
        <v>547</v>
      </c>
      <c r="M74" s="2">
        <v>-0.1</v>
      </c>
      <c r="N74" s="45" t="s">
        <v>668</v>
      </c>
      <c r="O74" s="45" t="s">
        <v>638</v>
      </c>
      <c r="S74" s="111" t="s">
        <v>688</v>
      </c>
      <c r="T74" s="111"/>
      <c r="U74" s="159"/>
    </row>
    <row r="75" spans="1:21" x14ac:dyDescent="0.2">
      <c r="A75" s="329" t="s">
        <v>197</v>
      </c>
      <c r="B75" s="45">
        <v>2</v>
      </c>
      <c r="C75" s="45" t="s">
        <v>203</v>
      </c>
      <c r="D75" s="342"/>
      <c r="F75" s="342">
        <v>0.1</v>
      </c>
      <c r="G75" s="45" t="s">
        <v>107</v>
      </c>
      <c r="L75" s="45" t="s">
        <v>548</v>
      </c>
      <c r="M75" s="2">
        <v>-0.05</v>
      </c>
      <c r="N75" s="45" t="s">
        <v>675</v>
      </c>
      <c r="O75" s="159">
        <v>-0.15</v>
      </c>
      <c r="P75" s="45" t="s">
        <v>653</v>
      </c>
      <c r="S75" s="111" t="s">
        <v>707</v>
      </c>
      <c r="T75" s="111"/>
      <c r="U75" s="160"/>
    </row>
    <row r="76" spans="1:21" x14ac:dyDescent="0.2">
      <c r="A76" s="329" t="s">
        <v>198</v>
      </c>
      <c r="B76" s="45">
        <v>2</v>
      </c>
      <c r="C76" s="45" t="s">
        <v>203</v>
      </c>
      <c r="D76" s="342"/>
      <c r="F76" s="342">
        <v>0.1</v>
      </c>
      <c r="G76" s="45" t="s">
        <v>110</v>
      </c>
      <c r="L76" s="45" t="s">
        <v>550</v>
      </c>
      <c r="M76" s="434">
        <v>-2.5000000000000001E-2</v>
      </c>
      <c r="N76" s="45" t="s">
        <v>639</v>
      </c>
      <c r="S76" s="111" t="s">
        <v>689</v>
      </c>
      <c r="T76" s="111"/>
      <c r="U76" s="159"/>
    </row>
    <row r="77" spans="1:21" x14ac:dyDescent="0.2">
      <c r="A77" s="329" t="s">
        <v>204</v>
      </c>
      <c r="B77" s="45">
        <v>2.5</v>
      </c>
      <c r="C77" s="45" t="s">
        <v>203</v>
      </c>
      <c r="D77" s="342"/>
      <c r="F77" s="342">
        <v>0.1</v>
      </c>
      <c r="G77" s="45" t="s">
        <v>32</v>
      </c>
      <c r="L77" s="45" t="s">
        <v>552</v>
      </c>
      <c r="M77" s="2">
        <v>-0.1</v>
      </c>
      <c r="N77" s="45" t="s">
        <v>752</v>
      </c>
      <c r="S77" s="111" t="s">
        <v>1062</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106</v>
      </c>
      <c r="L79" s="45" t="s">
        <v>553</v>
      </c>
      <c r="M79" s="434">
        <v>-0.1</v>
      </c>
      <c r="N79" s="45" t="s">
        <v>641</v>
      </c>
      <c r="S79" s="111" t="s">
        <v>691</v>
      </c>
      <c r="T79" s="111"/>
      <c r="U79" s="160"/>
    </row>
    <row r="80" spans="1:21" x14ac:dyDescent="0.2">
      <c r="A80" s="329" t="s">
        <v>529</v>
      </c>
      <c r="B80" s="45">
        <v>5</v>
      </c>
      <c r="C80" s="45" t="s">
        <v>203</v>
      </c>
      <c r="D80" s="342"/>
      <c r="F80" s="342">
        <v>0.2</v>
      </c>
      <c r="G80" s="45" t="s">
        <v>110</v>
      </c>
      <c r="H80" s="45" t="s">
        <v>247</v>
      </c>
      <c r="L80" s="45" t="s">
        <v>554</v>
      </c>
      <c r="M80" s="2">
        <v>0.15</v>
      </c>
      <c r="N80" s="45" t="s">
        <v>642</v>
      </c>
      <c r="S80" s="111" t="s">
        <v>692</v>
      </c>
      <c r="T80" s="111"/>
      <c r="U80" s="159"/>
    </row>
    <row r="81" spans="1:23" x14ac:dyDescent="0.2">
      <c r="A81" s="329" t="s">
        <v>530</v>
      </c>
      <c r="B81" s="45">
        <v>5</v>
      </c>
      <c r="C81" s="45" t="s">
        <v>203</v>
      </c>
      <c r="D81" s="342"/>
      <c r="F81" s="342">
        <v>0.3</v>
      </c>
      <c r="G81" s="45" t="s">
        <v>531</v>
      </c>
      <c r="L81" s="45" t="s">
        <v>555</v>
      </c>
      <c r="M81" s="2">
        <v>-0.1</v>
      </c>
      <c r="N81" s="45" t="s">
        <v>643</v>
      </c>
      <c r="S81" s="111" t="s">
        <v>693</v>
      </c>
      <c r="T81" s="111"/>
      <c r="U81" s="159"/>
    </row>
    <row r="82" spans="1:23" x14ac:dyDescent="0.2">
      <c r="A82" s="329" t="s">
        <v>262</v>
      </c>
      <c r="B82" s="45">
        <f>B80</f>
        <v>5</v>
      </c>
      <c r="C82" s="45" t="str">
        <f>C80</f>
        <v>* Landsize</v>
      </c>
      <c r="D82" s="159"/>
      <c r="F82" s="342">
        <v>0</v>
      </c>
      <c r="G82" s="45" t="s">
        <v>32</v>
      </c>
      <c r="H82" s="45" t="s">
        <v>259</v>
      </c>
      <c r="L82" s="45" t="s">
        <v>557</v>
      </c>
      <c r="M82" s="2">
        <v>-0.2</v>
      </c>
      <c r="N82" s="45" t="s">
        <v>644</v>
      </c>
      <c r="O82" s="167">
        <v>0.1</v>
      </c>
      <c r="P82" s="5" t="s">
        <v>1098</v>
      </c>
      <c r="S82" s="111" t="s">
        <v>694</v>
      </c>
      <c r="T82" s="111"/>
      <c r="U82" s="159"/>
    </row>
    <row r="83" spans="1:23" x14ac:dyDescent="0.2">
      <c r="A83" s="329" t="s">
        <v>261</v>
      </c>
      <c r="B83" s="45">
        <f>B80</f>
        <v>5</v>
      </c>
      <c r="C83" s="45" t="str">
        <f>C80</f>
        <v>* Landsize</v>
      </c>
      <c r="D83" s="159"/>
      <c r="F83" s="342">
        <v>0.1</v>
      </c>
      <c r="G83" s="45" t="s">
        <v>31</v>
      </c>
      <c r="L83" s="45" t="s">
        <v>558</v>
      </c>
      <c r="M83" s="2">
        <v>0.01</v>
      </c>
      <c r="N83" s="45" t="s">
        <v>645</v>
      </c>
      <c r="O83" s="45" t="s">
        <v>638</v>
      </c>
      <c r="S83" s="111" t="s">
        <v>695</v>
      </c>
      <c r="T83" s="111"/>
      <c r="U83" s="159"/>
    </row>
    <row r="84" spans="1:23" x14ac:dyDescent="0.2">
      <c r="A84" s="329" t="s">
        <v>298</v>
      </c>
      <c r="B84" s="45">
        <v>5</v>
      </c>
      <c r="C84" s="45" t="str">
        <f t="shared" ref="C84:C90" si="0">C83</f>
        <v>* Landsize</v>
      </c>
      <c r="D84" s="159"/>
      <c r="F84" s="159">
        <v>0.2</v>
      </c>
      <c r="G84" s="45" t="s">
        <v>107</v>
      </c>
      <c r="H84" s="159">
        <v>0.1</v>
      </c>
      <c r="I84" s="45" t="s">
        <v>108</v>
      </c>
      <c r="L84" s="45" t="s">
        <v>559</v>
      </c>
      <c r="M84" s="448">
        <f>-2.5%/explore_tech_divisor</f>
        <v>-2.5000000000000001E-2</v>
      </c>
      <c r="N84" s="45" t="s">
        <v>637</v>
      </c>
      <c r="O84" s="160">
        <v>-0.05</v>
      </c>
      <c r="P84" s="45" t="s">
        <v>753</v>
      </c>
      <c r="S84" s="111" t="s">
        <v>687</v>
      </c>
      <c r="T84" s="111"/>
    </row>
    <row r="85" spans="1:23" x14ac:dyDescent="0.2">
      <c r="A85" s="329" t="s">
        <v>335</v>
      </c>
      <c r="B85" s="45">
        <f>B84</f>
        <v>5</v>
      </c>
      <c r="C85" s="45" t="str">
        <f t="shared" si="0"/>
        <v>* Landsize</v>
      </c>
      <c r="D85" s="159"/>
      <c r="F85" s="159">
        <v>0.1</v>
      </c>
      <c r="G85" s="45" t="s">
        <v>31</v>
      </c>
      <c r="H85" s="159">
        <v>0.1</v>
      </c>
      <c r="I85" s="45" t="s">
        <v>32</v>
      </c>
      <c r="L85" s="45" t="s">
        <v>561</v>
      </c>
      <c r="M85">
        <v>1.25</v>
      </c>
      <c r="N85" s="45" t="s">
        <v>672</v>
      </c>
      <c r="S85" s="111" t="s">
        <v>714</v>
      </c>
      <c r="T85" s="111"/>
      <c r="U85" s="160"/>
    </row>
    <row r="86" spans="1:23" x14ac:dyDescent="0.2">
      <c r="A86" s="329" t="s">
        <v>334</v>
      </c>
      <c r="B86" s="45">
        <f>B85</f>
        <v>5</v>
      </c>
      <c r="C86" s="45" t="str">
        <f t="shared" si="0"/>
        <v>* Landsize</v>
      </c>
      <c r="D86" s="159"/>
      <c r="F86" s="159">
        <v>0.15</v>
      </c>
      <c r="G86" s="45" t="s">
        <v>32</v>
      </c>
      <c r="H86" s="159" t="s">
        <v>336</v>
      </c>
      <c r="L86" s="45" t="s">
        <v>563</v>
      </c>
      <c r="M86" s="2">
        <v>-0.15</v>
      </c>
      <c r="N86" s="45" t="s">
        <v>641</v>
      </c>
      <c r="S86" s="111" t="s">
        <v>698</v>
      </c>
      <c r="T86" s="111"/>
      <c r="U86" s="159"/>
    </row>
    <row r="87" spans="1:23" x14ac:dyDescent="0.2">
      <c r="A87" s="329" t="s">
        <v>341</v>
      </c>
      <c r="B87" s="45">
        <v>5</v>
      </c>
      <c r="C87" s="344" t="str">
        <f t="shared" si="0"/>
        <v>* Landsize</v>
      </c>
      <c r="D87" s="159"/>
      <c r="F87" s="262">
        <v>12</v>
      </c>
      <c r="G87" s="45" t="s">
        <v>342</v>
      </c>
      <c r="H87" s="159"/>
      <c r="L87" s="45" t="s">
        <v>564</v>
      </c>
      <c r="M87" s="168">
        <f>-2.5%/explore_tech_divisor</f>
        <v>-2.5000000000000001E-2</v>
      </c>
      <c r="N87" s="45" t="s">
        <v>637</v>
      </c>
      <c r="O87" s="45">
        <v>-1</v>
      </c>
      <c r="P87" s="45" t="s">
        <v>669</v>
      </c>
      <c r="S87" s="111" t="s">
        <v>699</v>
      </c>
      <c r="T87" s="111"/>
      <c r="U87" s="159"/>
    </row>
    <row r="88" spans="1:23" x14ac:dyDescent="0.2">
      <c r="A88" s="329" t="s">
        <v>425</v>
      </c>
      <c r="B88" s="45">
        <v>5</v>
      </c>
      <c r="C88" s="45" t="str">
        <f t="shared" si="0"/>
        <v>* Landsize</v>
      </c>
      <c r="D88" s="159"/>
      <c r="F88" s="121">
        <v>0.05</v>
      </c>
      <c r="G88" s="45" t="s">
        <v>31</v>
      </c>
      <c r="L88" s="45" t="s">
        <v>565</v>
      </c>
      <c r="M88" s="434">
        <v>-2.5000000000000001E-2</v>
      </c>
      <c r="N88" s="45" t="s">
        <v>643</v>
      </c>
      <c r="S88" s="111" t="s">
        <v>700</v>
      </c>
      <c r="T88" s="111"/>
      <c r="U88" s="160"/>
    </row>
    <row r="89" spans="1:23" x14ac:dyDescent="0.2">
      <c r="A89" s="329" t="s">
        <v>1080</v>
      </c>
      <c r="B89" s="45">
        <v>5</v>
      </c>
      <c r="C89" s="45" t="str">
        <f t="shared" si="0"/>
        <v>* Landsize</v>
      </c>
      <c r="D89" s="121">
        <v>0.01</v>
      </c>
      <c r="E89" s="45" t="s">
        <v>358</v>
      </c>
      <c r="F89" s="159">
        <v>0.1</v>
      </c>
      <c r="G89" s="45" t="s">
        <v>1082</v>
      </c>
      <c r="M89"/>
      <c r="S89" s="111"/>
      <c r="T89" s="111"/>
    </row>
    <row r="90" spans="1:23" x14ac:dyDescent="0.2">
      <c r="A90" s="329" t="s">
        <v>1087</v>
      </c>
      <c r="B90" s="45">
        <v>5</v>
      </c>
      <c r="C90" s="45" t="str">
        <f t="shared" si="0"/>
        <v>* Landsize</v>
      </c>
      <c r="F90" s="159">
        <v>0.15</v>
      </c>
      <c r="G90" s="45" t="s">
        <v>106</v>
      </c>
      <c r="L90" s="45" t="s">
        <v>567</v>
      </c>
      <c r="M90" s="2">
        <v>0.05</v>
      </c>
      <c r="N90" s="45" t="s">
        <v>646</v>
      </c>
      <c r="S90" s="111" t="s">
        <v>701</v>
      </c>
      <c r="T90" s="111"/>
    </row>
    <row r="91" spans="1:23" x14ac:dyDescent="0.2">
      <c r="L91" s="45" t="s">
        <v>569</v>
      </c>
      <c r="M91" s="434">
        <v>2.5000000000000001E-2</v>
      </c>
      <c r="N91" s="45" t="s">
        <v>648</v>
      </c>
      <c r="S91" s="111" t="s">
        <v>702</v>
      </c>
      <c r="T91" s="111"/>
      <c r="U91" s="160"/>
    </row>
    <row r="92" spans="1:23" x14ac:dyDescent="0.2">
      <c r="A92" s="328" t="s">
        <v>82</v>
      </c>
      <c r="L92" s="45" t="s">
        <v>571</v>
      </c>
      <c r="M92" s="434">
        <v>7.4999999999999997E-2</v>
      </c>
      <c r="N92" s="45" t="s">
        <v>649</v>
      </c>
      <c r="O92" s="121">
        <v>0.25</v>
      </c>
      <c r="P92" s="45" t="s">
        <v>650</v>
      </c>
      <c r="S92" s="111" t="s">
        <v>703</v>
      </c>
      <c r="T92" s="111"/>
      <c r="U92" s="160"/>
      <c r="W92" s="159"/>
    </row>
    <row r="93" spans="1:23" x14ac:dyDescent="0.2">
      <c r="A93" s="329" t="s">
        <v>268</v>
      </c>
      <c r="B93" s="45">
        <f>30 + IF(race="Kobold",10,0) + IF(race="Undead",5,0)</f>
        <v>30</v>
      </c>
      <c r="C93" s="45" t="s">
        <v>240</v>
      </c>
      <c r="L93" s="45" t="s">
        <v>572</v>
      </c>
      <c r="M93" s="434">
        <v>0.1</v>
      </c>
      <c r="N93" s="45" t="s">
        <v>633</v>
      </c>
      <c r="O93" s="159">
        <v>0.05</v>
      </c>
      <c r="P93" s="45" t="s">
        <v>651</v>
      </c>
      <c r="S93" s="111" t="s">
        <v>704</v>
      </c>
      <c r="T93" s="111"/>
      <c r="U93" s="160"/>
      <c r="W93" s="159"/>
    </row>
    <row r="94" spans="1:23" x14ac:dyDescent="0.2">
      <c r="L94" s="45" t="s">
        <v>573</v>
      </c>
      <c r="M94" s="434">
        <v>-1.7500000000000002E-2</v>
      </c>
      <c r="N94" s="45" t="s">
        <v>636</v>
      </c>
      <c r="S94" s="111" t="s">
        <v>686</v>
      </c>
      <c r="T94" s="111"/>
    </row>
    <row r="95" spans="1:23" x14ac:dyDescent="0.2">
      <c r="A95" s="328" t="s">
        <v>351</v>
      </c>
      <c r="L95" s="45" t="s">
        <v>574</v>
      </c>
      <c r="M95" s="434">
        <v>1.4999999999999999E-2</v>
      </c>
      <c r="N95" s="45" t="s">
        <v>647</v>
      </c>
      <c r="S95" s="111" t="s">
        <v>697</v>
      </c>
      <c r="T95" s="111"/>
      <c r="U95" s="159"/>
    </row>
    <row r="96" spans="1:23" x14ac:dyDescent="0.2">
      <c r="A96" s="329" t="s">
        <v>503</v>
      </c>
      <c r="B96" s="45">
        <v>250</v>
      </c>
      <c r="L96" s="45" t="s">
        <v>575</v>
      </c>
      <c r="M96" s="168">
        <f>-7.5%/explore_tech_divisor</f>
        <v>-7.4999999999999997E-2</v>
      </c>
      <c r="N96" s="45" t="s">
        <v>637</v>
      </c>
      <c r="O96" s="45">
        <v>-2</v>
      </c>
      <c r="P96" s="45" t="s">
        <v>669</v>
      </c>
      <c r="S96" s="111" t="s">
        <v>705</v>
      </c>
      <c r="T96" s="111"/>
      <c r="U96" s="160"/>
    </row>
    <row r="97" spans="1:23" x14ac:dyDescent="0.2">
      <c r="A97" s="329" t="s">
        <v>504</v>
      </c>
      <c r="B97" s="159">
        <v>0.01</v>
      </c>
      <c r="L97" s="45" t="s">
        <v>576</v>
      </c>
      <c r="M97" s="2">
        <v>-0.5</v>
      </c>
      <c r="N97" s="45" t="s">
        <v>652</v>
      </c>
      <c r="S97" s="111" t="s">
        <v>706</v>
      </c>
      <c r="T97" s="111"/>
      <c r="U97" s="159"/>
    </row>
    <row r="98" spans="1:23" x14ac:dyDescent="0.2">
      <c r="A98" s="329" t="s">
        <v>505</v>
      </c>
      <c r="B98" s="159">
        <v>0.01</v>
      </c>
      <c r="L98" s="45" t="s">
        <v>578</v>
      </c>
      <c r="M98" s="2">
        <v>-0.1</v>
      </c>
      <c r="N98" s="45" t="s">
        <v>640</v>
      </c>
      <c r="S98" s="111" t="s">
        <v>690</v>
      </c>
      <c r="T98" s="111"/>
      <c r="U98" s="159"/>
      <c r="W98" s="159"/>
    </row>
    <row r="99" spans="1:23" x14ac:dyDescent="0.2">
      <c r="A99" s="329" t="s">
        <v>506</v>
      </c>
      <c r="B99" s="159">
        <v>0.01</v>
      </c>
      <c r="M99"/>
      <c r="S99" s="111"/>
      <c r="T99" s="111"/>
    </row>
    <row r="100" spans="1:23" x14ac:dyDescent="0.2">
      <c r="L100" s="45" t="s">
        <v>580</v>
      </c>
      <c r="M100" s="434">
        <v>0.125</v>
      </c>
      <c r="N100" s="45" t="s">
        <v>654</v>
      </c>
      <c r="S100" s="111" t="s">
        <v>708</v>
      </c>
      <c r="T100" s="111"/>
      <c r="U100" s="160"/>
    </row>
    <row r="101" spans="1:23" x14ac:dyDescent="0.2">
      <c r="A101" s="328" t="s">
        <v>456</v>
      </c>
      <c r="L101" s="45" t="s">
        <v>581</v>
      </c>
      <c r="M101"/>
      <c r="N101" s="45" t="s">
        <v>628</v>
      </c>
      <c r="S101" s="111" t="s">
        <v>709</v>
      </c>
      <c r="T101" s="111"/>
    </row>
    <row r="102" spans="1:23" x14ac:dyDescent="0.2">
      <c r="L102" s="45" t="s">
        <v>582</v>
      </c>
      <c r="M102" s="434">
        <v>2.5000000000000001E-2</v>
      </c>
      <c r="N102" s="45" t="s">
        <v>648</v>
      </c>
      <c r="O102" s="160">
        <v>7.4999999999999997E-2</v>
      </c>
      <c r="P102" s="45" t="s">
        <v>646</v>
      </c>
      <c r="S102" s="111" t="s">
        <v>710</v>
      </c>
      <c r="T102" s="111"/>
      <c r="U102" s="160"/>
      <c r="W102" s="160"/>
    </row>
    <row r="103" spans="1:23" x14ac:dyDescent="0.2">
      <c r="A103" s="329" t="s">
        <v>457</v>
      </c>
      <c r="B103" s="45" t="s">
        <v>211</v>
      </c>
      <c r="D103" s="342">
        <v>0.3</v>
      </c>
      <c r="E103" s="45" t="s">
        <v>436</v>
      </c>
      <c r="L103" s="45" t="s">
        <v>583</v>
      </c>
      <c r="M103" s="2">
        <v>0.04</v>
      </c>
      <c r="N103" s="45" t="s">
        <v>635</v>
      </c>
      <c r="S103" s="111" t="s">
        <v>711</v>
      </c>
      <c r="T103" s="111"/>
      <c r="U103" s="159"/>
    </row>
    <row r="104" spans="1:23" x14ac:dyDescent="0.2">
      <c r="B104" s="45" t="s">
        <v>209</v>
      </c>
      <c r="D104" s="342">
        <v>0.2</v>
      </c>
      <c r="E104" s="45" t="s">
        <v>436</v>
      </c>
      <c r="L104" s="45" t="s">
        <v>584</v>
      </c>
      <c r="M104">
        <v>2</v>
      </c>
      <c r="N104" s="45" t="s">
        <v>1097</v>
      </c>
      <c r="S104" s="111" t="s">
        <v>1061</v>
      </c>
      <c r="T104" s="111"/>
      <c r="U104" s="159"/>
    </row>
    <row r="105" spans="1:23" x14ac:dyDescent="0.2">
      <c r="B105" s="45" t="s">
        <v>458</v>
      </c>
      <c r="D105" s="342">
        <v>0.3</v>
      </c>
      <c r="E105" s="45" t="s">
        <v>436</v>
      </c>
      <c r="L105" s="45" t="s">
        <v>585</v>
      </c>
      <c r="M105" s="434">
        <v>-0.1</v>
      </c>
      <c r="N105" s="45" t="s">
        <v>643</v>
      </c>
      <c r="S105" s="111" t="s">
        <v>713</v>
      </c>
      <c r="T105" s="111"/>
      <c r="U105" s="159"/>
    </row>
    <row r="106" spans="1:23" x14ac:dyDescent="0.2">
      <c r="B106" s="45" t="s">
        <v>459</v>
      </c>
      <c r="D106" s="342">
        <v>0.6</v>
      </c>
      <c r="E106" s="45" t="s">
        <v>436</v>
      </c>
      <c r="L106" s="45" t="s">
        <v>587</v>
      </c>
      <c r="M106">
        <v>-1</v>
      </c>
      <c r="N106" s="45" t="s">
        <v>754</v>
      </c>
      <c r="S106" s="111" t="s">
        <v>1063</v>
      </c>
      <c r="T106" s="111"/>
      <c r="U106" s="160"/>
    </row>
    <row r="107" spans="1:23" x14ac:dyDescent="0.2">
      <c r="L107" s="45" t="s">
        <v>588</v>
      </c>
      <c r="M107" s="2">
        <v>-0.2</v>
      </c>
      <c r="N107" s="45" t="s">
        <v>655</v>
      </c>
      <c r="S107" s="111" t="s">
        <v>712</v>
      </c>
      <c r="T107" s="111"/>
    </row>
    <row r="108" spans="1:23" x14ac:dyDescent="0.2">
      <c r="A108" s="329" t="s">
        <v>460</v>
      </c>
      <c r="B108" s="45" t="s">
        <v>211</v>
      </c>
      <c r="D108" s="45">
        <v>4000</v>
      </c>
      <c r="E108" s="45" t="s">
        <v>507</v>
      </c>
      <c r="M108"/>
    </row>
    <row r="109" spans="1:23" x14ac:dyDescent="0.2">
      <c r="B109" s="45" t="s">
        <v>209</v>
      </c>
      <c r="D109" s="45">
        <v>4000</v>
      </c>
      <c r="E109" s="45" t="s">
        <v>507</v>
      </c>
      <c r="L109" s="45" t="s">
        <v>589</v>
      </c>
      <c r="M109" s="434">
        <v>2.5000000000000001E-2</v>
      </c>
      <c r="N109" s="45" t="s">
        <v>1067</v>
      </c>
      <c r="O109" s="45" t="s">
        <v>657</v>
      </c>
      <c r="S109" s="111" t="s">
        <v>716</v>
      </c>
      <c r="T109" s="111"/>
      <c r="U109" s="159"/>
      <c r="W109" s="159"/>
    </row>
    <row r="110" spans="1:23" x14ac:dyDescent="0.2">
      <c r="B110" s="45" t="s">
        <v>458</v>
      </c>
      <c r="D110" s="45">
        <v>7500</v>
      </c>
      <c r="E110" s="45" t="s">
        <v>507</v>
      </c>
      <c r="L110" s="45" t="s">
        <v>590</v>
      </c>
      <c r="M110" s="2">
        <v>-0.2</v>
      </c>
      <c r="N110" s="45" t="s">
        <v>673</v>
      </c>
      <c r="O110" s="159">
        <v>-0.2</v>
      </c>
      <c r="P110" s="45" t="s">
        <v>656</v>
      </c>
      <c r="Q110" s="5"/>
      <c r="R110" s="5"/>
      <c r="S110" s="111" t="s">
        <v>715</v>
      </c>
      <c r="T110" s="111"/>
    </row>
    <row r="111" spans="1:23" x14ac:dyDescent="0.2">
      <c r="B111" s="45" t="s">
        <v>527</v>
      </c>
      <c r="D111" s="45">
        <v>5000</v>
      </c>
      <c r="E111" s="45" t="s">
        <v>507</v>
      </c>
      <c r="L111" s="45" t="s">
        <v>591</v>
      </c>
      <c r="M111" s="434">
        <v>-1.7500000000000002E-2</v>
      </c>
      <c r="N111" s="45" t="s">
        <v>636</v>
      </c>
      <c r="S111" s="111" t="s">
        <v>717</v>
      </c>
      <c r="T111" s="111"/>
      <c r="U111" s="159"/>
    </row>
    <row r="112" spans="1:23" x14ac:dyDescent="0.2">
      <c r="B112" s="45" t="s">
        <v>212</v>
      </c>
      <c r="D112" s="45">
        <v>5000</v>
      </c>
      <c r="E112" s="45" t="s">
        <v>507</v>
      </c>
      <c r="L112" s="45" t="s">
        <v>592</v>
      </c>
      <c r="M112" s="434">
        <v>2.5000000000000001E-2</v>
      </c>
      <c r="N112" s="45" t="s">
        <v>665</v>
      </c>
      <c r="O112" s="160">
        <v>7.4999999999999997E-2</v>
      </c>
      <c r="P112" s="45" t="s">
        <v>658</v>
      </c>
      <c r="S112" s="111" t="s">
        <v>718</v>
      </c>
      <c r="T112" s="111"/>
      <c r="U112" s="160"/>
      <c r="W112" s="160"/>
    </row>
    <row r="113" spans="1:23" x14ac:dyDescent="0.2">
      <c r="L113" s="45" t="s">
        <v>593</v>
      </c>
      <c r="M113" s="434">
        <v>-1.7500000000000002E-2</v>
      </c>
      <c r="N113" s="45" t="s">
        <v>636</v>
      </c>
      <c r="S113" s="111" t="s">
        <v>719</v>
      </c>
      <c r="T113" s="111"/>
      <c r="U113" s="159"/>
    </row>
    <row r="114" spans="1:23" x14ac:dyDescent="0.2">
      <c r="A114" s="328" t="s">
        <v>461</v>
      </c>
      <c r="F114" s="45" t="s">
        <v>463</v>
      </c>
      <c r="L114" s="45" t="s">
        <v>594</v>
      </c>
      <c r="M114">
        <v>1</v>
      </c>
      <c r="N114" s="45" t="s">
        <v>671</v>
      </c>
      <c r="S114" s="111" t="s">
        <v>393</v>
      </c>
      <c r="T114" s="111"/>
      <c r="U114" s="159"/>
      <c r="W114" s="159"/>
    </row>
    <row r="115" spans="1:23" x14ac:dyDescent="0.2">
      <c r="A115" s="329" t="s">
        <v>125</v>
      </c>
      <c r="B115" s="253"/>
      <c r="C115" s="345">
        <v>0.2</v>
      </c>
      <c r="D115" s="45" t="s">
        <v>467</v>
      </c>
      <c r="F115" s="180">
        <v>4.5</v>
      </c>
      <c r="L115" s="45" t="s">
        <v>595</v>
      </c>
      <c r="M115" s="2">
        <v>-0.01</v>
      </c>
      <c r="N115" s="45" t="s">
        <v>659</v>
      </c>
      <c r="S115" s="111" t="s">
        <v>721</v>
      </c>
      <c r="T115" s="111"/>
      <c r="U115" s="159"/>
    </row>
    <row r="116" spans="1:23" x14ac:dyDescent="0.2">
      <c r="A116" s="329" t="s">
        <v>126</v>
      </c>
      <c r="B116" s="119" t="s">
        <v>293</v>
      </c>
      <c r="C116" s="345">
        <v>0.2</v>
      </c>
      <c r="D116" s="45" t="s">
        <v>467</v>
      </c>
      <c r="F116" s="180">
        <v>4.5</v>
      </c>
      <c r="T116" s="111"/>
    </row>
    <row r="117" spans="1:23" x14ac:dyDescent="0.2">
      <c r="B117" s="45" t="s">
        <v>292</v>
      </c>
      <c r="C117" s="121">
        <v>0.2</v>
      </c>
      <c r="D117" s="45" t="s">
        <v>467</v>
      </c>
      <c r="F117" s="180">
        <v>4.5</v>
      </c>
      <c r="L117" s="45" t="s">
        <v>596</v>
      </c>
      <c r="M117" s="29">
        <v>1.4999999999999999E-2</v>
      </c>
      <c r="N117" s="45" t="s">
        <v>647</v>
      </c>
      <c r="S117" s="111" t="s">
        <v>722</v>
      </c>
      <c r="T117" s="111"/>
      <c r="U117" s="160"/>
    </row>
    <row r="118" spans="1:23" x14ac:dyDescent="0.2">
      <c r="A118" s="329" t="s">
        <v>140</v>
      </c>
      <c r="B118" s="253"/>
      <c r="C118" s="345">
        <v>0.2</v>
      </c>
      <c r="D118" s="45" t="s">
        <v>467</v>
      </c>
      <c r="F118" s="180">
        <v>4</v>
      </c>
      <c r="L118" s="45" t="s">
        <v>597</v>
      </c>
      <c r="M118" s="434">
        <v>2.5000000000000001E-2</v>
      </c>
      <c r="N118" s="45" t="s">
        <v>648</v>
      </c>
      <c r="O118" s="159">
        <v>-0.05</v>
      </c>
      <c r="P118" s="45" t="s">
        <v>660</v>
      </c>
      <c r="S118" s="111" t="s">
        <v>723</v>
      </c>
      <c r="T118" s="111"/>
      <c r="U118" s="160"/>
      <c r="W118" s="159"/>
    </row>
    <row r="119" spans="1:23" x14ac:dyDescent="0.2">
      <c r="A119" s="329" t="s">
        <v>133</v>
      </c>
      <c r="B119" s="253"/>
      <c r="C119" s="345">
        <v>0.2</v>
      </c>
      <c r="D119" s="45" t="s">
        <v>468</v>
      </c>
      <c r="F119" s="180">
        <v>2</v>
      </c>
      <c r="L119" s="45" t="s">
        <v>599</v>
      </c>
      <c r="M119" s="2">
        <v>-0.05</v>
      </c>
      <c r="N119" s="45" t="s">
        <v>643</v>
      </c>
      <c r="O119" s="159">
        <v>-0.1</v>
      </c>
      <c r="P119" s="45" t="s">
        <v>656</v>
      </c>
      <c r="Q119" s="45">
        <v>5</v>
      </c>
      <c r="R119" s="45" t="s">
        <v>676</v>
      </c>
      <c r="S119" s="111" t="s">
        <v>1064</v>
      </c>
      <c r="T119" s="111"/>
      <c r="U119" s="159"/>
      <c r="W119" s="159"/>
    </row>
    <row r="120" spans="1:23" x14ac:dyDescent="0.2">
      <c r="A120" s="329" t="s">
        <v>1072</v>
      </c>
      <c r="B120" s="119" t="s">
        <v>293</v>
      </c>
      <c r="C120" s="345">
        <v>0.1</v>
      </c>
      <c r="D120" s="45" t="s">
        <v>296</v>
      </c>
      <c r="F120" s="180">
        <v>0</v>
      </c>
      <c r="L120" s="45" t="s">
        <v>600</v>
      </c>
      <c r="M120" s="434">
        <v>-0.125</v>
      </c>
      <c r="N120" s="45" t="s">
        <v>661</v>
      </c>
      <c r="S120" s="111" t="s">
        <v>724</v>
      </c>
      <c r="T120" s="111"/>
      <c r="U120" s="160"/>
    </row>
    <row r="121" spans="1:23" x14ac:dyDescent="0.2">
      <c r="B121" s="45" t="s">
        <v>292</v>
      </c>
      <c r="C121" s="346">
        <v>0.1</v>
      </c>
      <c r="D121" s="45" t="s">
        <v>296</v>
      </c>
      <c r="F121" s="180">
        <v>0</v>
      </c>
      <c r="L121" s="45" t="s">
        <v>602</v>
      </c>
      <c r="M121" s="434">
        <v>0.01</v>
      </c>
      <c r="N121" s="45" t="s">
        <v>647</v>
      </c>
      <c r="O121" s="5"/>
      <c r="P121" s="5"/>
      <c r="S121" s="111" t="s">
        <v>720</v>
      </c>
      <c r="T121" s="111"/>
      <c r="U121" s="159"/>
    </row>
    <row r="122" spans="1:23" x14ac:dyDescent="0.2">
      <c r="A122" s="329" t="s">
        <v>462</v>
      </c>
      <c r="B122" s="253"/>
      <c r="C122" s="345">
        <v>0.2</v>
      </c>
      <c r="D122" s="45" t="s">
        <v>468</v>
      </c>
      <c r="F122" s="180">
        <v>3</v>
      </c>
      <c r="L122" s="45" t="s">
        <v>603</v>
      </c>
      <c r="M122" s="29">
        <v>7.4999999999999997E-2</v>
      </c>
      <c r="N122" s="45" t="s">
        <v>674</v>
      </c>
      <c r="O122" s="159">
        <v>-0.05</v>
      </c>
      <c r="P122" s="45" t="s">
        <v>662</v>
      </c>
      <c r="S122" s="111" t="s">
        <v>726</v>
      </c>
      <c r="T122" s="111"/>
      <c r="U122" s="159"/>
      <c r="W122" s="159"/>
    </row>
    <row r="123" spans="1:23" x14ac:dyDescent="0.2">
      <c r="A123" s="329" t="s">
        <v>333</v>
      </c>
      <c r="C123" s="180">
        <v>1</v>
      </c>
      <c r="D123" s="45" t="s">
        <v>464</v>
      </c>
      <c r="F123" s="180">
        <v>3</v>
      </c>
      <c r="M123"/>
      <c r="S123" s="111"/>
      <c r="T123" s="111"/>
    </row>
    <row r="124" spans="1:23" x14ac:dyDescent="0.2">
      <c r="A124" s="329" t="s">
        <v>374</v>
      </c>
      <c r="B124" s="180" t="s">
        <v>466</v>
      </c>
      <c r="C124" s="119">
        <v>500</v>
      </c>
      <c r="D124" s="45" t="s">
        <v>465</v>
      </c>
      <c r="F124" s="180">
        <v>0</v>
      </c>
      <c r="L124" s="45" t="s">
        <v>604</v>
      </c>
      <c r="M124" s="2">
        <v>0.3</v>
      </c>
      <c r="N124" s="45" t="s">
        <v>663</v>
      </c>
      <c r="S124" s="111" t="s">
        <v>727</v>
      </c>
      <c r="T124" s="111"/>
      <c r="U124" s="159"/>
    </row>
    <row r="125" spans="1:23" x14ac:dyDescent="0.2">
      <c r="A125" s="329" t="s">
        <v>357</v>
      </c>
      <c r="B125" s="180" t="s">
        <v>466</v>
      </c>
      <c r="C125" s="119">
        <v>300</v>
      </c>
      <c r="D125" s="45" t="s">
        <v>465</v>
      </c>
      <c r="F125" s="180">
        <v>3</v>
      </c>
      <c r="L125" s="45" t="s">
        <v>606</v>
      </c>
      <c r="M125">
        <v>1.25</v>
      </c>
      <c r="N125" s="45" t="s">
        <v>678</v>
      </c>
      <c r="S125" s="111" t="s">
        <v>731</v>
      </c>
      <c r="T125" s="111"/>
      <c r="U125" s="159"/>
    </row>
    <row r="126" spans="1:23" x14ac:dyDescent="0.2">
      <c r="A126" s="329" t="s">
        <v>423</v>
      </c>
      <c r="B126" s="253"/>
      <c r="C126" s="121">
        <v>0.1</v>
      </c>
      <c r="D126" s="45" t="s">
        <v>498</v>
      </c>
      <c r="F126" s="180">
        <v>4</v>
      </c>
      <c r="L126" s="45" t="s">
        <v>608</v>
      </c>
      <c r="M126" s="434">
        <v>-7.4999999999999997E-2</v>
      </c>
      <c r="N126" s="45" t="s">
        <v>662</v>
      </c>
      <c r="O126" s="160">
        <v>7.4999999999999997E-3</v>
      </c>
      <c r="P126" s="45" t="s">
        <v>755</v>
      </c>
      <c r="S126" s="111" t="s">
        <v>1065</v>
      </c>
      <c r="T126" s="111"/>
      <c r="U126" s="159"/>
    </row>
    <row r="127" spans="1:23" x14ac:dyDescent="0.2">
      <c r="L127" s="45" t="s">
        <v>609</v>
      </c>
      <c r="M127" s="434">
        <v>2.5000000000000001E-2</v>
      </c>
      <c r="N127" s="45" t="s">
        <v>665</v>
      </c>
      <c r="S127" s="111" t="s">
        <v>729</v>
      </c>
      <c r="T127" s="111"/>
      <c r="U127" s="160"/>
    </row>
    <row r="128" spans="1:23" x14ac:dyDescent="0.2">
      <c r="A128" s="328" t="s">
        <v>264</v>
      </c>
      <c r="L128" s="45" t="s">
        <v>610</v>
      </c>
      <c r="M128" s="434">
        <v>-2.5000000000000001E-2</v>
      </c>
      <c r="N128" s="45" t="s">
        <v>639</v>
      </c>
      <c r="O128" s="5">
        <v>2</v>
      </c>
      <c r="P128" s="5" t="s">
        <v>677</v>
      </c>
      <c r="S128" s="111" t="s">
        <v>730</v>
      </c>
      <c r="T128" s="111"/>
      <c r="U128" s="160"/>
    </row>
    <row r="129" spans="1:23" x14ac:dyDescent="0.2">
      <c r="A129" s="329" t="s">
        <v>479</v>
      </c>
      <c r="B129" s="45">
        <v>20</v>
      </c>
      <c r="M129"/>
      <c r="S129" s="111"/>
      <c r="T129" s="111"/>
    </row>
    <row r="130" spans="1:23" x14ac:dyDescent="0.2">
      <c r="A130" s="329" t="s">
        <v>477</v>
      </c>
      <c r="B130" s="45">
        <v>0</v>
      </c>
      <c r="C130" s="45" t="s">
        <v>478</v>
      </c>
      <c r="L130" s="45" t="s">
        <v>612</v>
      </c>
      <c r="M130" s="2">
        <v>0.6</v>
      </c>
      <c r="N130" s="45" t="s">
        <v>756</v>
      </c>
      <c r="S130" s="111" t="s">
        <v>1066</v>
      </c>
      <c r="T130" s="111"/>
    </row>
    <row r="131" spans="1:23" x14ac:dyDescent="0.2">
      <c r="L131" s="45" t="s">
        <v>613</v>
      </c>
      <c r="M131" s="434">
        <v>-7.4999999999999997E-2</v>
      </c>
      <c r="N131" s="45" t="s">
        <v>662</v>
      </c>
      <c r="S131" s="111" t="s">
        <v>732</v>
      </c>
      <c r="T131" s="111"/>
      <c r="U131" s="160"/>
    </row>
    <row r="132" spans="1:23" x14ac:dyDescent="0.2">
      <c r="A132" s="328" t="s">
        <v>757</v>
      </c>
      <c r="L132" s="45" t="s">
        <v>615</v>
      </c>
      <c r="M132">
        <v>2</v>
      </c>
      <c r="N132" s="45" t="s">
        <v>679</v>
      </c>
      <c r="S132" s="111" t="s">
        <v>733</v>
      </c>
      <c r="T132" s="111"/>
    </row>
    <row r="133" spans="1:23" x14ac:dyDescent="0.2">
      <c r="A133" s="329" t="s">
        <v>89</v>
      </c>
      <c r="B133" s="45" t="s">
        <v>3</v>
      </c>
      <c r="L133" s="45" t="s">
        <v>617</v>
      </c>
      <c r="M133" s="2">
        <v>0.3</v>
      </c>
      <c r="N133" s="45" t="s">
        <v>666</v>
      </c>
      <c r="S133" s="111" t="s">
        <v>734</v>
      </c>
      <c r="T133" s="111"/>
      <c r="U133" s="159"/>
    </row>
    <row r="134" spans="1:23" x14ac:dyDescent="0.2">
      <c r="A134" s="329" t="s">
        <v>90</v>
      </c>
      <c r="B134" s="45" t="s">
        <v>3</v>
      </c>
      <c r="M134"/>
      <c r="S134" s="111"/>
      <c r="T134" s="111"/>
    </row>
    <row r="135" spans="1:23" x14ac:dyDescent="0.2">
      <c r="A135" s="329" t="s">
        <v>91</v>
      </c>
      <c r="B135" s="45" t="s">
        <v>3</v>
      </c>
      <c r="L135" s="45" t="s">
        <v>618</v>
      </c>
      <c r="M135" s="2">
        <v>-0.15</v>
      </c>
      <c r="N135" s="45" t="s">
        <v>675</v>
      </c>
      <c r="O135" s="159">
        <v>-0.05</v>
      </c>
      <c r="P135" s="45" t="s">
        <v>653</v>
      </c>
      <c r="S135" s="111" t="s">
        <v>735</v>
      </c>
      <c r="T135" s="111"/>
      <c r="U135" s="159"/>
      <c r="W135" s="159"/>
    </row>
    <row r="136" spans="1:23" x14ac:dyDescent="0.2">
      <c r="A136" s="329" t="s">
        <v>92</v>
      </c>
      <c r="B136" s="45" t="s">
        <v>3</v>
      </c>
      <c r="L136" s="45" t="s">
        <v>620</v>
      </c>
      <c r="M136" s="434">
        <v>-0.05</v>
      </c>
      <c r="N136" s="45" t="s">
        <v>643</v>
      </c>
      <c r="S136" s="111" t="s">
        <v>736</v>
      </c>
      <c r="T136" s="111"/>
      <c r="U136" s="160"/>
    </row>
    <row r="137" spans="1:23" x14ac:dyDescent="0.2">
      <c r="A137" s="329" t="s">
        <v>93</v>
      </c>
      <c r="B137" s="45" t="s">
        <v>3</v>
      </c>
      <c r="L137" s="45" t="s">
        <v>621</v>
      </c>
      <c r="M137" s="2">
        <v>-0.25</v>
      </c>
      <c r="N137" s="45" t="s">
        <v>667</v>
      </c>
      <c r="S137" s="111" t="s">
        <v>737</v>
      </c>
      <c r="T137" s="111"/>
      <c r="U137" s="159"/>
    </row>
    <row r="138" spans="1:23" x14ac:dyDescent="0.2">
      <c r="A138" s="329" t="s">
        <v>94</v>
      </c>
      <c r="B138" s="45" t="s">
        <v>3</v>
      </c>
      <c r="M138"/>
      <c r="S138" s="111"/>
      <c r="T138" s="111"/>
    </row>
    <row r="139" spans="1:23" x14ac:dyDescent="0.2">
      <c r="A139" s="329" t="s">
        <v>95</v>
      </c>
      <c r="B139" s="45" t="s">
        <v>3</v>
      </c>
      <c r="L139" s="45" t="s">
        <v>622</v>
      </c>
      <c r="M139" s="29">
        <v>7.4999999999999997E-2</v>
      </c>
      <c r="N139" s="45" t="s">
        <v>664</v>
      </c>
      <c r="S139" s="111" t="s">
        <v>728</v>
      </c>
      <c r="T139" s="111"/>
      <c r="U139" s="160"/>
    </row>
    <row r="140" spans="1:23" x14ac:dyDescent="0.2">
      <c r="A140" s="329" t="s">
        <v>96</v>
      </c>
      <c r="B140" s="45" t="s">
        <v>7</v>
      </c>
      <c r="L140" s="45" t="s">
        <v>624</v>
      </c>
      <c r="M140" s="434">
        <v>-7.4999999999999997E-2</v>
      </c>
      <c r="N140" s="45" t="s">
        <v>661</v>
      </c>
      <c r="S140" s="111" t="s">
        <v>738</v>
      </c>
      <c r="T140" s="111"/>
      <c r="U140" s="159"/>
    </row>
    <row r="141" spans="1:23" x14ac:dyDescent="0.2">
      <c r="A141" s="329" t="s">
        <v>97</v>
      </c>
      <c r="B141" s="45" t="s">
        <v>3</v>
      </c>
      <c r="M141"/>
    </row>
    <row r="142" spans="1:23" x14ac:dyDescent="0.2">
      <c r="A142" s="329" t="s">
        <v>29</v>
      </c>
      <c r="B142" s="45" t="s">
        <v>3</v>
      </c>
      <c r="L142" s="45" t="s">
        <v>625</v>
      </c>
      <c r="M142" s="2">
        <v>-0.05</v>
      </c>
      <c r="N142" s="45" t="s">
        <v>662</v>
      </c>
      <c r="S142" s="45" t="s">
        <v>739</v>
      </c>
      <c r="U142" s="159"/>
    </row>
    <row r="143" spans="1:23" x14ac:dyDescent="0.2">
      <c r="A143" s="329" t="s">
        <v>99</v>
      </c>
      <c r="B143" s="45" t="s">
        <v>3</v>
      </c>
    </row>
    <row r="144" spans="1:23" x14ac:dyDescent="0.2">
      <c r="A144" s="329" t="s">
        <v>100</v>
      </c>
      <c r="B144" s="45" t="s">
        <v>12</v>
      </c>
      <c r="L144" s="45" t="b">
        <f>OR(race=L145,race=L146,race=L147,race=L148)</f>
        <v>0</v>
      </c>
      <c r="M144" s="45">
        <f>IF(L144=FALSE,1,2)</f>
        <v>1</v>
      </c>
    </row>
    <row r="145" spans="1:13" x14ac:dyDescent="0.2">
      <c r="A145" s="329" t="s">
        <v>101</v>
      </c>
      <c r="B145" s="45" t="s">
        <v>12</v>
      </c>
      <c r="L145" s="45" t="s">
        <v>97</v>
      </c>
    </row>
    <row r="146" spans="1:13" x14ac:dyDescent="0.2">
      <c r="A146" s="329" t="s">
        <v>102</v>
      </c>
      <c r="B146" s="45" t="s">
        <v>3</v>
      </c>
      <c r="L146" s="45" t="s">
        <v>102</v>
      </c>
    </row>
    <row r="147" spans="1:13" x14ac:dyDescent="0.2">
      <c r="A147" s="329" t="s">
        <v>103</v>
      </c>
      <c r="B147" s="45" t="s">
        <v>3</v>
      </c>
      <c r="L147" s="111" t="s">
        <v>343</v>
      </c>
      <c r="M147" s="159"/>
    </row>
    <row r="148" spans="1:13" x14ac:dyDescent="0.2">
      <c r="A148" s="329" t="s">
        <v>104</v>
      </c>
      <c r="B148" s="45" t="s">
        <v>3</v>
      </c>
      <c r="L148" s="111" t="s">
        <v>1128</v>
      </c>
    </row>
    <row r="149" spans="1:13" x14ac:dyDescent="0.2">
      <c r="A149" s="329" t="s">
        <v>329</v>
      </c>
      <c r="B149" s="45" t="s">
        <v>3</v>
      </c>
      <c r="L149" s="111"/>
      <c r="M149" s="159"/>
    </row>
    <row r="150" spans="1:13" x14ac:dyDescent="0.2">
      <c r="A150" s="329" t="s">
        <v>343</v>
      </c>
      <c r="B150" s="45" t="s">
        <v>3</v>
      </c>
    </row>
    <row r="151" spans="1:13" x14ac:dyDescent="0.2">
      <c r="A151" s="329" t="s">
        <v>144</v>
      </c>
      <c r="B151" s="45" t="s">
        <v>7</v>
      </c>
    </row>
    <row r="152" spans="1:13" x14ac:dyDescent="0.2">
      <c r="A152" s="329" t="s">
        <v>499</v>
      </c>
      <c r="B152" s="45" t="s">
        <v>12</v>
      </c>
    </row>
    <row r="153" spans="1:13" x14ac:dyDescent="0.2">
      <c r="A153" s="329" t="s">
        <v>1128</v>
      </c>
      <c r="B153" s="45" t="s">
        <v>12</v>
      </c>
    </row>
    <row r="155" spans="1:13" x14ac:dyDescent="0.2">
      <c r="A155" s="329" t="s">
        <v>1050</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1051</v>
      </c>
    </row>
    <row r="162" spans="1:2" x14ac:dyDescent="0.2">
      <c r="A162" s="329" t="s">
        <v>278</v>
      </c>
      <c r="B162" s="159">
        <v>0.75</v>
      </c>
    </row>
    <row r="164" spans="1:2" x14ac:dyDescent="0.2">
      <c r="A164" s="328" t="s">
        <v>1116</v>
      </c>
    </row>
    <row r="165" spans="1:2" x14ac:dyDescent="0.2">
      <c r="A165" s="329" t="s">
        <v>453</v>
      </c>
      <c r="B165" s="45">
        <v>5</v>
      </c>
    </row>
  </sheetData>
  <phoneticPr fontId="0" type="noConversion"/>
  <conditionalFormatting sqref="J25:L25">
    <cfRule type="expression" dxfId="37"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282</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762</v>
      </c>
      <c r="D4" s="347" t="s">
        <v>763</v>
      </c>
      <c r="E4" s="348" t="s">
        <v>764</v>
      </c>
      <c r="F4" s="348" t="s">
        <v>765</v>
      </c>
      <c r="G4" s="348" t="s">
        <v>766</v>
      </c>
      <c r="H4" s="351" t="s">
        <v>767</v>
      </c>
      <c r="I4" s="351" t="s">
        <v>231</v>
      </c>
      <c r="J4" s="436" t="s">
        <v>164</v>
      </c>
      <c r="K4" s="436" t="s">
        <v>105</v>
      </c>
      <c r="L4" s="436" t="s">
        <v>161</v>
      </c>
      <c r="M4" s="436" t="s">
        <v>107</v>
      </c>
      <c r="N4" s="436" t="s">
        <v>108</v>
      </c>
      <c r="O4" s="436" t="s">
        <v>109</v>
      </c>
      <c r="P4" s="436" t="s">
        <v>110</v>
      </c>
      <c r="Q4" s="436" t="s">
        <v>111</v>
      </c>
      <c r="R4" s="436" t="s">
        <v>112</v>
      </c>
      <c r="S4" s="436" t="s">
        <v>32</v>
      </c>
      <c r="T4" s="436" t="s">
        <v>31</v>
      </c>
      <c r="U4" s="437" t="s">
        <v>162</v>
      </c>
      <c r="V4" s="436" t="s">
        <v>163</v>
      </c>
      <c r="W4" s="436" t="s">
        <v>438</v>
      </c>
      <c r="X4" s="436" t="s">
        <v>487</v>
      </c>
      <c r="Y4" s="436" t="s">
        <v>488</v>
      </c>
      <c r="Z4" s="436" t="s">
        <v>525</v>
      </c>
      <c r="AA4" s="436" t="s">
        <v>1071</v>
      </c>
    </row>
    <row r="5" spans="1:27" s="358" customFormat="1" ht="19.5" customHeight="1" x14ac:dyDescent="0.2">
      <c r="A5" s="298" t="s">
        <v>89</v>
      </c>
      <c r="B5" s="352" t="s">
        <v>98</v>
      </c>
      <c r="C5" s="298" t="s">
        <v>244</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1077</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117</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1078</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246</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1113</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355</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1072</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1122</v>
      </c>
      <c r="E49" s="368">
        <v>3</v>
      </c>
      <c r="F49" s="368"/>
      <c r="G49" s="368">
        <v>200</v>
      </c>
      <c r="H49" s="358">
        <v>25</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1109</v>
      </c>
      <c r="F50" s="96">
        <v>4</v>
      </c>
      <c r="G50" s="96">
        <v>750</v>
      </c>
      <c r="H50" s="298">
        <v>10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1123</v>
      </c>
      <c r="E51" s="96">
        <v>0</v>
      </c>
      <c r="F51" s="96">
        <v>6</v>
      </c>
      <c r="G51" s="96">
        <v>1130</v>
      </c>
      <c r="H51" s="298">
        <v>15</v>
      </c>
      <c r="I51" s="352">
        <f>1.8 * MIN(6, MAX(E51,F51)) + 0.45 * MIN(6, MIN(E51,F51)) + IF(E51&gt;6, (E51-6)*0.2) + IF(F51&gt;6, (F51-6)*0.2)</f>
        <v>10.8</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1124</v>
      </c>
      <c r="E52" s="360">
        <v>4</v>
      </c>
      <c r="F52" s="360">
        <v>3</v>
      </c>
      <c r="G52" s="360">
        <v>700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150</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1073</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1074</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1075</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243</v>
      </c>
      <c r="D59" s="353" t="s">
        <v>153</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243</v>
      </c>
      <c r="D60" s="359" t="s">
        <v>154</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245</v>
      </c>
      <c r="D62" s="353" t="s">
        <v>1110</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245</v>
      </c>
      <c r="D63" s="353" t="s">
        <v>1111</v>
      </c>
      <c r="E63" s="96">
        <v>3</v>
      </c>
      <c r="F63" s="96">
        <v>3</v>
      </c>
      <c r="G63" s="96">
        <v>1350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245</v>
      </c>
      <c r="D64" s="359" t="s">
        <v>156</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159</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160</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329</v>
      </c>
      <c r="B69" s="366" t="s">
        <v>30</v>
      </c>
      <c r="C69" s="358" t="s">
        <v>246</v>
      </c>
      <c r="D69" s="367" t="s">
        <v>330</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329</v>
      </c>
      <c r="B70" s="352" t="s">
        <v>30</v>
      </c>
      <c r="C70" s="298" t="s">
        <v>246</v>
      </c>
      <c r="D70" s="353" t="s">
        <v>331</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329</v>
      </c>
      <c r="B71" s="352" t="s">
        <v>30</v>
      </c>
      <c r="C71" s="298" t="s">
        <v>246</v>
      </c>
      <c r="D71" s="353" t="s">
        <v>1112</v>
      </c>
      <c r="E71" s="96">
        <v>3</v>
      </c>
      <c r="F71" s="96">
        <v>3</v>
      </c>
      <c r="G71" s="96">
        <v>965</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329</v>
      </c>
      <c r="B72" s="371" t="s">
        <v>30</v>
      </c>
      <c r="C72" s="361" t="s">
        <v>246</v>
      </c>
      <c r="D72" s="359" t="s">
        <v>333</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343</v>
      </c>
      <c r="B73" s="366" t="s">
        <v>98</v>
      </c>
      <c r="C73" s="358" t="s">
        <v>243</v>
      </c>
      <c r="D73" s="367" t="s">
        <v>337</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row>
    <row r="74" spans="1:27" ht="19.5" customHeight="1" x14ac:dyDescent="0.2">
      <c r="A74" s="298" t="s">
        <v>343</v>
      </c>
      <c r="B74" s="352" t="s">
        <v>98</v>
      </c>
      <c r="C74" s="298" t="s">
        <v>243</v>
      </c>
      <c r="D74" s="353" t="s">
        <v>338</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343</v>
      </c>
      <c r="B75" s="352" t="s">
        <v>98</v>
      </c>
      <c r="C75" s="298" t="s">
        <v>243</v>
      </c>
      <c r="D75" s="353" t="s">
        <v>339</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343</v>
      </c>
      <c r="B76" s="371" t="s">
        <v>98</v>
      </c>
      <c r="C76" s="361" t="s">
        <v>243</v>
      </c>
      <c r="D76" s="359" t="s">
        <v>340</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356</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325</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1114</v>
      </c>
      <c r="E79" s="96">
        <v>0</v>
      </c>
      <c r="F79" s="96">
        <v>5</v>
      </c>
      <c r="G79" s="96">
        <v>965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357</v>
      </c>
      <c r="E80" s="360">
        <v>4</v>
      </c>
      <c r="F80" s="360">
        <v>3</v>
      </c>
      <c r="G80" s="360">
        <v>1150</v>
      </c>
      <c r="H80" s="361">
        <v>120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499</v>
      </c>
      <c r="B81" s="366" t="s">
        <v>30</v>
      </c>
      <c r="C81" s="372" t="s">
        <v>60</v>
      </c>
      <c r="D81" s="358" t="s">
        <v>421</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499</v>
      </c>
      <c r="B82" s="352" t="s">
        <v>30</v>
      </c>
      <c r="C82" s="373" t="s">
        <v>60</v>
      </c>
      <c r="D82" s="298" t="s">
        <v>422</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499</v>
      </c>
      <c r="B83" s="352" t="s">
        <v>30</v>
      </c>
      <c r="C83" s="373" t="s">
        <v>60</v>
      </c>
      <c r="D83" s="298" t="s">
        <v>423</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499</v>
      </c>
      <c r="B84" s="371" t="s">
        <v>30</v>
      </c>
      <c r="C84" s="374" t="s">
        <v>60</v>
      </c>
      <c r="D84" s="361" t="s">
        <v>424</v>
      </c>
      <c r="E84" s="360">
        <v>5</v>
      </c>
      <c r="F84" s="360">
        <v>2</v>
      </c>
      <c r="G84" s="360">
        <v>970</v>
      </c>
      <c r="H84" s="361">
        <v>0</v>
      </c>
      <c r="I84" s="371">
        <f>1.8 * MIN(6, MAX(E84,F84)) + 0.45 * MIN(6, MIN(E84,F84)) + IF(E84&gt;6, (E84-6)*0.2) + IF(F84&gt;6, (F84-6)*0.2)</f>
        <v>9.9</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1128</v>
      </c>
      <c r="B85" s="352" t="s">
        <v>30</v>
      </c>
      <c r="C85" s="373" t="s">
        <v>60</v>
      </c>
      <c r="D85" s="298" t="s">
        <v>1129</v>
      </c>
      <c r="E85" s="96">
        <v>3</v>
      </c>
      <c r="F85" s="96">
        <v>0</v>
      </c>
      <c r="G85" s="96">
        <v>275</v>
      </c>
      <c r="H85" s="298">
        <v>15</v>
      </c>
      <c r="I85" s="352">
        <v>5</v>
      </c>
      <c r="J85" s="354">
        <v>7.4999999999999997E-2</v>
      </c>
      <c r="K85" s="355"/>
      <c r="L85" s="355"/>
      <c r="M85" s="355"/>
      <c r="N85" s="355"/>
      <c r="O85" s="355"/>
      <c r="P85" s="355"/>
      <c r="Q85" s="355"/>
      <c r="R85" s="355">
        <v>-0.75</v>
      </c>
      <c r="S85" s="355"/>
      <c r="T85" s="355"/>
      <c r="U85" s="355"/>
      <c r="V85" s="355"/>
      <c r="W85" s="96"/>
      <c r="X85" s="356"/>
      <c r="Y85" s="96"/>
      <c r="Z85" s="357"/>
      <c r="AA85" s="357"/>
    </row>
    <row r="86" spans="1:27" ht="19.5" customHeight="1" x14ac:dyDescent="0.2">
      <c r="A86" s="298" t="s">
        <v>1128</v>
      </c>
      <c r="B86" s="352" t="s">
        <v>30</v>
      </c>
      <c r="C86" s="373" t="s">
        <v>60</v>
      </c>
      <c r="D86" s="298" t="s">
        <v>1130</v>
      </c>
      <c r="E86" s="96">
        <v>0</v>
      </c>
      <c r="F86" s="96">
        <v>3</v>
      </c>
      <c r="G86" s="96">
        <v>275</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1128</v>
      </c>
      <c r="B87" s="352" t="s">
        <v>30</v>
      </c>
      <c r="C87" s="373" t="s">
        <v>60</v>
      </c>
      <c r="D87" s="298" t="s">
        <v>1131</v>
      </c>
      <c r="E87" s="96">
        <v>2</v>
      </c>
      <c r="F87" s="96">
        <v>5</v>
      </c>
      <c r="G87" s="96">
        <v>1000</v>
      </c>
      <c r="H87" s="298">
        <v>0</v>
      </c>
      <c r="I87" s="352">
        <f t="shared" ref="I87:I88" si="0">1.8 * MIN(6, MAX(E87,F87)) + 0.45 * MIN(6, MIN(E87,F87)) + IF(E87&gt;6, (E87-6)*0.2) + IF(F87&gt;6, (F87-6)*0.2)</f>
        <v>9.9</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1128</v>
      </c>
      <c r="B88" s="352" t="s">
        <v>30</v>
      </c>
      <c r="C88" s="373" t="s">
        <v>60</v>
      </c>
      <c r="D88" s="298" t="s">
        <v>1132</v>
      </c>
      <c r="E88" s="96">
        <v>4</v>
      </c>
      <c r="F88" s="96">
        <v>3</v>
      </c>
      <c r="G88" s="96">
        <v>1000</v>
      </c>
      <c r="H88" s="298">
        <v>0</v>
      </c>
      <c r="I88" s="352">
        <f t="shared" si="0"/>
        <v>8.5500000000000007</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768</v>
      </c>
      <c r="B89" s="352" t="s">
        <v>768</v>
      </c>
      <c r="C89" s="373" t="s">
        <v>768</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768</v>
      </c>
      <c r="B90" s="352" t="s">
        <v>768</v>
      </c>
      <c r="C90" s="373" t="s">
        <v>768</v>
      </c>
      <c r="D90" s="63" t="s">
        <v>1094</v>
      </c>
      <c r="G90" s="96">
        <v>1000</v>
      </c>
      <c r="H90" s="96" t="s">
        <v>1095</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768</v>
      </c>
      <c r="B91" s="352" t="s">
        <v>768</v>
      </c>
      <c r="C91" s="373" t="s">
        <v>768</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768</v>
      </c>
      <c r="B92" s="352" t="s">
        <v>768</v>
      </c>
      <c r="C92" s="373" t="s">
        <v>768</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360</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329</v>
      </c>
      <c r="B110" s="298">
        <v>69</v>
      </c>
      <c r="J110" s="379"/>
      <c r="K110" s="379"/>
      <c r="L110" s="379"/>
      <c r="M110" s="379"/>
      <c r="N110" s="379"/>
      <c r="O110" s="379"/>
      <c r="P110" s="379"/>
      <c r="Q110" s="379"/>
      <c r="R110" s="379"/>
      <c r="S110" s="379"/>
      <c r="T110" s="379"/>
      <c r="U110" s="379"/>
      <c r="V110" s="379"/>
    </row>
    <row r="111" spans="1:22" ht="19.5" customHeight="1" x14ac:dyDescent="0.2">
      <c r="A111" s="376" t="s">
        <v>343</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499</v>
      </c>
      <c r="B113" s="298">
        <v>81</v>
      </c>
      <c r="J113" s="379"/>
      <c r="K113" s="379"/>
      <c r="L113" s="379"/>
      <c r="M113" s="379"/>
      <c r="N113" s="379"/>
      <c r="O113" s="379"/>
      <c r="P113" s="379"/>
      <c r="Q113" s="379"/>
      <c r="R113" s="379"/>
      <c r="S113" s="379"/>
      <c r="T113" s="379"/>
      <c r="U113" s="379"/>
      <c r="V113" s="379"/>
    </row>
    <row r="114" spans="1:22" ht="19.5" customHeight="1" x14ac:dyDescent="0.2">
      <c r="A114" s="376" t="s">
        <v>1128</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285</v>
      </c>
      <c r="D2" s="3" t="s">
        <v>286</v>
      </c>
      <c r="E2" s="3" t="s">
        <v>238</v>
      </c>
      <c r="F2" s="3" t="s">
        <v>237</v>
      </c>
      <c r="G2" s="3"/>
      <c r="H2" s="3"/>
      <c r="I2" s="3" t="s">
        <v>236</v>
      </c>
      <c r="J2" s="3" t="s">
        <v>239</v>
      </c>
      <c r="K2" s="11"/>
    </row>
    <row r="3" spans="2:11" ht="13.5" thickBot="1" x14ac:dyDescent="0.25">
      <c r="B3" s="7" t="s">
        <v>373</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283</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284</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7" t="s">
        <v>439</v>
      </c>
      <c r="I18" s="507"/>
      <c r="J18" s="507"/>
      <c r="K18" s="508"/>
    </row>
    <row r="20" spans="1:14" ht="13.5" thickBot="1" x14ac:dyDescent="0.25">
      <c r="H20" s="1"/>
      <c r="I20" s="1"/>
      <c r="L20" t="s">
        <v>431</v>
      </c>
    </row>
    <row r="21" spans="1:14" ht="13.5" thickBot="1" x14ac:dyDescent="0.25">
      <c r="E21" t="s">
        <v>296</v>
      </c>
      <c r="F21" s="34">
        <v>0.125</v>
      </c>
      <c r="H21" s="1"/>
      <c r="I21" s="1"/>
      <c r="J21" t="s">
        <v>432</v>
      </c>
      <c r="K21" t="s">
        <v>433</v>
      </c>
      <c r="L21" s="33">
        <v>0.3</v>
      </c>
      <c r="M21" t="s">
        <v>434</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429</v>
      </c>
      <c r="J27" s="27">
        <v>1250</v>
      </c>
      <c r="K27" s="1">
        <f>J27*25</f>
        <v>31250</v>
      </c>
      <c r="M27" s="35">
        <f>SUM(M22:M26)</f>
        <v>52425.504910394266</v>
      </c>
      <c r="N27" t="s">
        <v>434</v>
      </c>
    </row>
    <row r="28" spans="1:14" ht="13.5" thickBot="1" x14ac:dyDescent="0.25">
      <c r="H28" s="1"/>
      <c r="I28" s="1" t="s">
        <v>430</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443</v>
      </c>
    </row>
    <row r="32" spans="1:14" ht="13.5" thickBot="1" x14ac:dyDescent="0.25">
      <c r="H32" s="1"/>
      <c r="I32" s="1"/>
      <c r="J32" t="s">
        <v>432</v>
      </c>
      <c r="K32" t="s">
        <v>433</v>
      </c>
      <c r="L32" s="33">
        <v>0.2</v>
      </c>
      <c r="M32" t="s">
        <v>434</v>
      </c>
      <c r="N32" t="s">
        <v>445</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355</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429</v>
      </c>
      <c r="J38" s="27">
        <v>2337</v>
      </c>
      <c r="K38" s="1">
        <f>J38*25</f>
        <v>58425</v>
      </c>
      <c r="M38" s="35"/>
      <c r="N38" s="35"/>
    </row>
    <row r="39" spans="1:14" ht="13.5" thickBot="1" x14ac:dyDescent="0.25">
      <c r="H39" s="1"/>
      <c r="I39" s="1" t="s">
        <v>444</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285</v>
      </c>
      <c r="D51" s="3" t="s">
        <v>286</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3"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2024-06-07T14:13:08Z</dcterms:modified>
</cp:coreProperties>
</file>