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8742421-1ED9-4657-BD9A-2D31481F6C11}" xr6:coauthVersionLast="46" xr6:coauthVersionMax="46"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Constants!$C$117</definedName>
    <definedName name="adept_dp_cap">Constants!$F$117</definedName>
    <definedName name="adept_op_bonus">Constants!$C$116</definedName>
    <definedName name="adept_op_cap">Constants!$F$116</definedName>
    <definedName name="alch_plat">Constants!$B$4</definedName>
    <definedName name="alchemist_flame_bonus">Constants!$F$85</definedName>
    <definedName name="archmage_plat">Overview!$D$28</definedName>
    <definedName name="ares_call_bonus">Constants!$F$75</definedName>
    <definedName name="barracks_size">Constants!$B$62</definedName>
    <definedName name="blizzard_bonus">Constants!$F$84</definedName>
    <definedName name="boat_size">Constants!$B$89</definedName>
    <definedName name="bone_breaker_bonus">Constants!$C$121</definedName>
    <definedName name="bone_breaker_cap">Constants!$F$121</definedName>
    <definedName name="building_employment">Constants!$B$125</definedName>
    <definedName name="dark_elf">Military!$CH$8</definedName>
    <definedName name="days_late">Overview!$B$18</definedName>
    <definedName name="days_late_def_specs">Constants!$E$50</definedName>
    <definedName name="days_late_draftees">Constants!$E$51</definedName>
    <definedName name="days_late_food">Constants!$E$46</definedName>
    <definedName name="days_late_lumber">Constants!$E$47</definedName>
    <definedName name="days_late_mana">Constants!$E$49</definedName>
    <definedName name="days_late_ore">Constants!$E$48</definedName>
    <definedName name="days_late_peasants">Constants!$E$44</definedName>
    <definedName name="days_late_plat">Constants!$E$45</definedName>
    <definedName name="dm_gems">Constants!$B$8</definedName>
    <definedName name="dock_boats_hr">Constants!$B$10</definedName>
    <definedName name="dock_food">Constants!$D$10</definedName>
    <definedName name="druid_dp_bonus">Constants!$C$113</definedName>
    <definedName name="druid_dp_cap">Constants!$F$113</definedName>
    <definedName name="druid_op_bonus">Constants!$C$112</definedName>
    <definedName name="druid_op_cap">Constants!$F$112</definedName>
    <definedName name="dryad_bonus">Constants!$C$114</definedName>
    <definedName name="dryad_cap">Constants!$F$114</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Constants!$B$53</definedName>
    <definedName name="food_per_person">Constants!$B$58</definedName>
    <definedName name="frenzy_bonus">Constants!$F$80</definedName>
    <definedName name="frost_mage_bonus">Constants!$C$118</definedName>
    <definedName name="frost_mage_cap">Constants!$F$118</definedName>
    <definedName name="gaias_blessing_food">Constants!$F$82</definedName>
    <definedName name="gaias_blessing_lumber">Constants!$H$82</definedName>
    <definedName name="gaias_watch_bonus">Constants!$F$73</definedName>
    <definedName name="gem_invest">Constants!$B$154</definedName>
    <definedName name="global_constr_cap">Constants!$B$157</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Constants!$D$102</definedName>
    <definedName name="harbor_towers_param">Constants!$D$107</definedName>
    <definedName name="harmony_bonus">Constants!$F$76</definedName>
    <definedName name="home_land">Overview!$B$68</definedName>
    <definedName name="howling_dp_bonus">Constants!$H$83</definedName>
    <definedName name="howling_op_bonus">Constants!$F$83</definedName>
    <definedName name="ice_elem_bonus">Constants!$C$119</definedName>
    <definedName name="ice_elem_cap">Constants!$F$119</definedName>
    <definedName name="icekin">Military!$CH$10</definedName>
    <definedName name="Imps">Imps!$CD$35:$CD$40</definedName>
    <definedName name="keep_cap">Constants!$D$99</definedName>
    <definedName name="keep_param">Constants!$D$104</definedName>
    <definedName name="kobold">Military!$CH$9</definedName>
    <definedName name="lumber_invest">Constants!$B$152</definedName>
    <definedName name="lumber_rot">Constants!$B$54</definedName>
    <definedName name="ly_lumber">Constants!$B$6</definedName>
    <definedName name="mana_drain">Constants!$B$55</definedName>
    <definedName name="mason_bonus">Constants!$B$19</definedName>
    <definedName name="mech_genius_bonus">Constants!$F$79</definedName>
    <definedName name="midas_bonus">Constants!$F$77</definedName>
    <definedName name="min_tech_cost">Constants!$M$62</definedName>
    <definedName name="miners_sight_bonus">Constants!$F$78</definedName>
    <definedName name="mining_strength_bonus">Constants!$F$74</definedName>
    <definedName name="mystic_bonus">Constants!$C$111</definedName>
    <definedName name="mystic_cap">Constants!$F$111</definedName>
    <definedName name="nightfall_bonus">Constants!$F$86</definedName>
    <definedName name="nightshade_bonus">Constants!$C$122</definedName>
    <definedName name="nox">Military!$CH$12</definedName>
    <definedName name="nox_nightshade_cap">Constants!$F$122</definedName>
    <definedName name="nox_nightshade_swamp_bonus">Constants!$C$122</definedName>
    <definedName name="om_ore">Constants!$B$7</definedName>
    <definedName name="orc">Military!$CH$11</definedName>
    <definedName name="ore_invest">Constants!$B$153</definedName>
    <definedName name="plat_invest">Constants!$B$151</definedName>
    <definedName name="pop_in_building">Constants!$B$66</definedName>
    <definedName name="pop_in_home">Constants!$B$63</definedName>
    <definedName name="pop_on_barren">Constants!$B$67</definedName>
    <definedName name="prestige_food_bonus">Constants!$B$93</definedName>
    <definedName name="prestige_multiplier">Constants!$B$94</definedName>
    <definedName name="prestige_offense_bonus">Constants!$B$95</definedName>
    <definedName name="prestige_pop_multiplier">Constants!$B$94</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Constants!$B$52</definedName>
    <definedName name="raw_pop_growth">Constants!$B$51</definedName>
    <definedName name="research_bonus">Overview!$I$31</definedName>
    <definedName name="resources">Imps!$CD$30:$CD$33</definedName>
    <definedName name="rocka_bonus">Constants!$C$115</definedName>
    <definedName name="rocka_cap">Constants!$F$115</definedName>
    <definedName name="science_cap">Constants!$D$100</definedName>
    <definedName name="science_param">Constants!$D$105</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Constants!$B$24</definedName>
    <definedName name="start_ams">Constants!$B$39</definedName>
    <definedName name="start_boats">Constants!$B$48</definedName>
    <definedName name="start_caverns">Constants!$F$28</definedName>
    <definedName name="start_dm">Constants!$Q$24</definedName>
    <definedName name="start_docks">Constants!$S$24</definedName>
    <definedName name="start_dp_specs">Constants!$B$34</definedName>
    <definedName name="start_draftees">Constants!$B$32</definedName>
    <definedName name="start_elite1s">Constants!$B$35</definedName>
    <definedName name="start_elite2s">Constants!$B$36</definedName>
    <definedName name="start_facs">Constants!$J$24</definedName>
    <definedName name="start_farms">Constants!$C$24</definedName>
    <definedName name="start_food">Constants!$B$43</definedName>
    <definedName name="start_forest">Constants!$B$28</definedName>
    <definedName name="start_gems">Constants!$B$47</definedName>
    <definedName name="start_gn">Constants!$I$24</definedName>
    <definedName name="start_gt">Constants!$K$24</definedName>
    <definedName name="start_havens">Constants!$G$24</definedName>
    <definedName name="start_hills">Constants!$D$28</definedName>
    <definedName name="start_homes">Constants!$A$24</definedName>
    <definedName name="start_lumber">Constants!$B$44</definedName>
    <definedName name="start_ly">Constants!$F$24</definedName>
    <definedName name="start_mana">Constants!$B$45</definedName>
    <definedName name="start_masons">Constants!$E$24</definedName>
    <definedName name="start_mountains">Constants!$C$28</definedName>
    <definedName name="start_om">Constants!$H$24</definedName>
    <definedName name="start_op_specs">Constants!$B$33</definedName>
    <definedName name="start_ore">Constants!$B$46</definedName>
    <definedName name="start_peasants">Constants!$B$31</definedName>
    <definedName name="start_plains">Constants!$A$28</definedName>
    <definedName name="start_plat">Constants!$B$42</definedName>
    <definedName name="start_prestige">Constants!$B$92</definedName>
    <definedName name="start_rax">Constants!$L$24</definedName>
    <definedName name="start_schools">Constants!$R$24</definedName>
    <definedName name="start_shrines">Constants!$M$24</definedName>
    <definedName name="start_smithies">Constants!$D$24</definedName>
    <definedName name="start_spies">Constants!$B$37</definedName>
    <definedName name="start_swamp">Constants!$E$28</definedName>
    <definedName name="start_temples">Constants!$O$24</definedName>
    <definedName name="start_towers">Constants!$N$24</definedName>
    <definedName name="start_water">Constants!$G$28</definedName>
    <definedName name="start_wg">Constants!$P$24</definedName>
    <definedName name="start_wizards">Constants!$B$38</definedName>
    <definedName name="sylvan">Military!$CH$6</definedName>
    <definedName name="tax">Constants!$B$59</definedName>
    <definedName name="tech_1_1">Constants!$M$65</definedName>
    <definedName name="tech_1_10">Constants!$M$74</definedName>
    <definedName name="tech_1_11">Constants!$M$75</definedName>
    <definedName name="tech_1_2">Constants!$M$66</definedName>
    <definedName name="tech_1_3">Constants!$M$67</definedName>
    <definedName name="tech_1_4">Constants!$M$68</definedName>
    <definedName name="tech_1_5">Constants!$M$69</definedName>
    <definedName name="tech_1_6">Constants!$M$70</definedName>
    <definedName name="tech_1_7">Constants!$M$71</definedName>
    <definedName name="tech_1_8">Constants!$M$72</definedName>
    <definedName name="tech_1_9">Constants!$M$73</definedName>
    <definedName name="tech_1_9_2">Constants!$O$73</definedName>
    <definedName name="tech_10_1">Constants!$M$137</definedName>
    <definedName name="tech_10_2">Constants!$M$138</definedName>
    <definedName name="tech_11_1">Constants!$M$140</definedName>
    <definedName name="tech_2_1">Constants!$M$77</definedName>
    <definedName name="tech_2_10">Constants!$M$86</definedName>
    <definedName name="tech_2_2">Constants!$M$78</definedName>
    <definedName name="tech_2_3">Constants!$M$79</definedName>
    <definedName name="tech_2_4">Constants!$M$80</definedName>
    <definedName name="tech_2_5">Constants!$M$81</definedName>
    <definedName name="tech_2_6">Constants!$M$82</definedName>
    <definedName name="tech_2_6_2">Constants!$O$82</definedName>
    <definedName name="tech_2_7">Constants!$M$83</definedName>
    <definedName name="tech_2_8">Constants!$M$84</definedName>
    <definedName name="tech_2_9">Constants!$M$85</definedName>
    <definedName name="tech_2_9_2">Constants!$O$85</definedName>
    <definedName name="tech_3_1">Constants!$M$88</definedName>
    <definedName name="tech_3_2">Constants!$M$89</definedName>
    <definedName name="tech_3_3">Constants!$M$90</definedName>
    <definedName name="tech_3_3_2">Constants!$O$90</definedName>
    <definedName name="tech_3_4">Constants!$M$91</definedName>
    <definedName name="tech_3_4_2">Constants!$O$91</definedName>
    <definedName name="tech_3_5">Constants!$M$92</definedName>
    <definedName name="tech_3_6">Constants!$M$93</definedName>
    <definedName name="tech_3_7">Constants!$M$94</definedName>
    <definedName name="tech_3_7_2">Constants!$O$94</definedName>
    <definedName name="tech_3_8">Constants!$M$95</definedName>
    <definedName name="tech_3_9">Constants!$M$96</definedName>
    <definedName name="tech_4_1">Constants!$M$98</definedName>
    <definedName name="tech_4_2">Constants!$M$99</definedName>
    <definedName name="tech_4_3">Constants!$M$100</definedName>
    <definedName name="tech_4_3_2">Constants!$O$100</definedName>
    <definedName name="tech_4_4">Constants!$M$101</definedName>
    <definedName name="tech_4_5">Constants!$M$102</definedName>
    <definedName name="tech_4_6">Constants!$M$103</definedName>
    <definedName name="tech_4_7">Constants!$M$104</definedName>
    <definedName name="tech_4_8">Constants!$M$105</definedName>
    <definedName name="tech_5_1">Constants!$M$107</definedName>
    <definedName name="tech_5_2">Constants!$M$108</definedName>
    <definedName name="tech_5_2_3">Constants!$O$108</definedName>
    <definedName name="tech_5_3">Constants!$M$109</definedName>
    <definedName name="tech_5_4">Constants!$M$110</definedName>
    <definedName name="tech_5_4_2">Constants!$O$110</definedName>
    <definedName name="tech_5_5">Constants!$M$111</definedName>
    <definedName name="tech_5_6">Constants!$M$112</definedName>
    <definedName name="tech_5_7">Constants!$M$113</definedName>
    <definedName name="tech_6_1">Constants!$M$115</definedName>
    <definedName name="tech_6_2">Constants!$M$116</definedName>
    <definedName name="tech_6_2_2">Constants!$O$116</definedName>
    <definedName name="tech_6_3">Constants!$M$117</definedName>
    <definedName name="tech_6_3_2">Constants!$O$117</definedName>
    <definedName name="tech_6_3_3">Constants!$Q$117</definedName>
    <definedName name="tech_6_4">Constants!$M$118</definedName>
    <definedName name="tech_6_5">Constants!$M$119</definedName>
    <definedName name="tech_6_5_2">Constants!$O$119</definedName>
    <definedName name="tech_6_6">Constants!$M$120</definedName>
    <definedName name="tech_6_6_2">Constants!$O$120</definedName>
    <definedName name="tech_7__2">Constants!$O$126</definedName>
    <definedName name="tech_7_1">Constants!$M$122</definedName>
    <definedName name="tech_7_2">Constants!$M$123</definedName>
    <definedName name="tech_7_3">Constants!$M$124</definedName>
    <definedName name="tech_7_3_2">Constants!$O$124</definedName>
    <definedName name="tech_7_4">Constants!$M$125</definedName>
    <definedName name="tech_7_5">Constants!$M$126</definedName>
    <definedName name="tech_8_1">Constants!$M$128</definedName>
    <definedName name="tech_8_2">Constants!$M$129</definedName>
    <definedName name="tech_8_3">Constants!$M$130</definedName>
    <definedName name="tech_8_4">Constants!$M$131</definedName>
    <definedName name="tech_9_1">Constants!$M$133</definedName>
    <definedName name="tech_9_1_2">Constants!$O$133</definedName>
    <definedName name="tech_9_2">Constants!$M$134</definedName>
    <definedName name="tech_9_3">Constants!$M$135</definedName>
    <definedName name="tech_conquerors_crafts">Constants!$M$53</definedName>
    <definedName name="tech_construction">Constants!$M$37</definedName>
    <definedName name="tech_construction_pop">Constants!$M$39</definedName>
    <definedName name="tech_construction_rezone">Constants!$M$38</definedName>
    <definedName name="tech_cost_per_acre">Constants!$M$60</definedName>
    <definedName name="tech_enchanted_lands_explore">Constants!$M$54</definedName>
    <definedName name="tech_enchanted_lands_mana">Constants!$O$54</definedName>
    <definedName name="tech_explore_cost">Constants!$M$34</definedName>
    <definedName name="tech_explore_cost2">Constants!$M$36</definedName>
    <definedName name="tech_explore_draft1">Constants!$M$35</definedName>
    <definedName name="tech_explore_draft2">Constants!$O$36</definedName>
    <definedName name="tech_fruits_of_labor_gems">Constants!$O$50</definedName>
    <definedName name="tech_fruits_of_labor1">Constants!$M$50</definedName>
    <definedName name="tech_magical_weaponry_op">Constants!$M$56</definedName>
    <definedName name="tech_magical_weaponry_wiz">Constants!$O$56</definedName>
    <definedName name="tech_master_of_frugality">Constants!$M$49</definedName>
    <definedName name="tech_military_offense">Constants!$M$42</definedName>
    <definedName name="tech_production_food">Constants!$M$31</definedName>
    <definedName name="tech_production_gems">Constants!$M$32</definedName>
    <definedName name="tech_production_plat">Constants!$M$33</definedName>
    <definedName name="tech_spy_cost">Constants!$M$44</definedName>
    <definedName name="tech_treasure_hunt_plat">Constants!$M$52</definedName>
    <definedName name="tech_urban_mastery_pop">Constants!$M$51</definedName>
    <definedName name="tech_wizard_cost">Constants!$M$47</definedName>
    <definedName name="tower_mana">Constants!$B$9</definedName>
    <definedName name="towers_param">Constants!$D$108</definedName>
    <definedName name="voodoo_magi_bonus">Constants!$C$120</definedName>
    <definedName name="voodoo_magi_cap">Constants!$F$120</definedName>
    <definedName name="walls_forges_cap">Constants!$D$101</definedName>
    <definedName name="walls_forges_param">Constants!$D$106</definedName>
    <definedName name="warsong_bonus">Constants!$F$81</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C4" i="2"/>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4"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AE136" i="1"/>
  <c r="I4" i="1"/>
  <c r="O4" i="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N4" i="1"/>
  <c r="BL13" i="5" l="1" a="1"/>
  <c r="BL13" i="5" s="1"/>
  <c r="AF9" i="9"/>
  <c r="BJ4" i="1"/>
  <c r="AO4" i="1"/>
  <c r="J4" i="2"/>
  <c r="AE9" i="9"/>
  <c r="AI9" i="9"/>
  <c r="AC9" i="9"/>
  <c r="AC4" i="1"/>
  <c r="AB4" i="1"/>
  <c r="BL14" i="5" l="1" a="1"/>
  <c r="BL14" i="5" s="1"/>
  <c r="AF10" i="9"/>
  <c r="AE10" i="9"/>
  <c r="AI10" i="9"/>
  <c r="AC10" i="9"/>
  <c r="F4" i="1"/>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D26" i="4"/>
  <c r="D28" i="4"/>
  <c r="D27" i="4"/>
  <c r="A25" i="4"/>
  <c r="A24" i="4"/>
  <c r="A23" i="4"/>
  <c r="BL15" i="5" l="1"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D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BY4" i="11"/>
  <c r="B67" i="6"/>
  <c r="M69" i="7"/>
  <c r="M68" i="7"/>
  <c r="M67" i="7"/>
  <c r="M66" i="7"/>
  <c r="M65" i="7"/>
  <c r="M64" i="7"/>
  <c r="M63" i="7"/>
  <c r="M62" i="7"/>
  <c r="M61" i="7"/>
  <c r="M60" i="7"/>
  <c r="M59" i="7"/>
  <c r="M58" i="7"/>
  <c r="M57" i="7"/>
  <c r="M56" i="7"/>
  <c r="CH12" i="8"/>
  <c r="CH11" i="8"/>
  <c r="CH10" i="8"/>
  <c r="CH9" i="8"/>
  <c r="CH8" i="8"/>
  <c r="CH7" i="8"/>
  <c r="CH6" i="8"/>
  <c r="CH5" i="8"/>
  <c r="S5" i="2"/>
  <c r="N5" i="2"/>
  <c r="DH4" i="5"/>
  <c r="B31" i="6"/>
  <c r="B44" i="6"/>
  <c r="B43" i="6"/>
  <c r="B42"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6" i="6"/>
  <c r="A70" i="6"/>
  <c r="B80" i="6"/>
  <c r="C80" i="6"/>
  <c r="B81" i="6"/>
  <c r="C81" i="6"/>
  <c r="C82" i="6" s="1"/>
  <c r="C83" i="6" s="1"/>
  <c r="C84" i="6" s="1"/>
  <c r="C85" i="6" s="1"/>
  <c r="C86" i="6" s="1"/>
  <c r="B83" i="6"/>
  <c r="B84" i="6" s="1"/>
  <c r="B89"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BL16" i="5" l="1"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49" i="4"/>
  <c r="D5" i="12"/>
  <c r="F4" i="12"/>
  <c r="E4" i="12" s="1"/>
  <c r="O7" i="2"/>
  <c r="K22" i="12"/>
  <c r="K25" i="12"/>
  <c r="K33" i="12"/>
  <c r="J4" i="12"/>
  <c r="D66" i="4"/>
  <c r="A33" i="6"/>
  <c r="I35" i="4"/>
  <c r="I36" i="4"/>
  <c r="A34" i="6"/>
  <c r="I8" i="12"/>
  <c r="J7" i="12"/>
  <c r="F1" i="14"/>
  <c r="BL17" i="5" l="1" a="1"/>
  <c r="BL17" i="5" s="1"/>
  <c r="AS5" i="5"/>
  <c r="H5" i="5"/>
  <c r="K5" i="5"/>
  <c r="CA76" i="8"/>
  <c r="CA71" i="8"/>
  <c r="CA72" i="8"/>
  <c r="CA69" i="8"/>
  <c r="CA66" i="8"/>
  <c r="CA73" i="8"/>
  <c r="CA65" i="8"/>
  <c r="CA74" i="8"/>
  <c r="CA75" i="8"/>
  <c r="CA77" i="8"/>
  <c r="AD5" i="8"/>
  <c r="AR5" i="8"/>
  <c r="BP5" i="5" a="1"/>
  <c r="BP5" i="5" s="1"/>
  <c r="BP6" i="5" s="1"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5" i="6"/>
  <c r="I37" i="4"/>
  <c r="CH18" i="8"/>
  <c r="CH19" i="8"/>
  <c r="J8" i="12"/>
  <c r="I9" i="12"/>
  <c r="BL18" i="5" l="1"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6" i="6"/>
  <c r="CH20" i="8"/>
  <c r="CH21" i="8"/>
  <c r="I38" i="4"/>
  <c r="I10" i="12"/>
  <c r="J9" i="12"/>
  <c r="E18" i="4"/>
  <c r="BL19" i="5" l="1"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BL20" i="5" l="1"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AG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BL21" i="5" l="1" a="1"/>
  <c r="BL21" i="5" s="1"/>
  <c r="BZ4" i="8"/>
  <c r="CQ4" i="8" s="1"/>
  <c r="CR4" i="8" s="1"/>
  <c r="BK5" i="8"/>
  <c r="BL5" i="8"/>
  <c r="AP5" i="5"/>
  <c r="BI5" i="8"/>
  <c r="BJ5" i="8"/>
  <c r="BG5" i="8"/>
  <c r="BH5" i="8"/>
  <c r="BF5" i="8"/>
  <c r="AC5" i="10"/>
  <c r="X5" i="10" s="1"/>
  <c r="AO5" i="5"/>
  <c r="AM5" i="5"/>
  <c r="AN5" i="5"/>
  <c r="AS9" i="5"/>
  <c r="D4" i="2"/>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BL22" i="5" l="1"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G6" i="7" s="1"/>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BL23" i="5" l="1"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AG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BL24" i="5" l="1"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AG8" i="7" s="1"/>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BL25" i="5" l="1"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G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BL26" i="5" l="1"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G10" i="7" s="1"/>
  <c r="AI10" i="7" s="1"/>
  <c r="CC10" i="8"/>
  <c r="CS10" i="8" s="1"/>
  <c r="BT10" i="8"/>
  <c r="CJ10" i="8" s="1"/>
  <c r="CN10" i="8" s="1"/>
  <c r="BV10" i="8"/>
  <c r="B11" i="9"/>
  <c r="W11" i="9" s="1"/>
  <c r="AB11" i="8"/>
  <c r="BM11" i="8" s="1"/>
  <c r="B11" i="7"/>
  <c r="AE11" i="7" s="1"/>
  <c r="AG11" i="7" s="1"/>
  <c r="AI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BL27" i="5" l="1"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BL28" i="5" l="1"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BL29" i="5" l="1"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AG13" i="7" s="1"/>
  <c r="AI13" i="7" s="1"/>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BL30" i="5" l="1"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G14" i="7" s="1"/>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BL31" i="5" l="1"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BL32" i="5" l="1"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AG16" i="7" s="1"/>
  <c r="Q16" i="7"/>
  <c r="V19" i="2"/>
  <c r="AC18" i="1"/>
  <c r="DA18" i="5"/>
  <c r="DG18" i="5" s="1" a="1"/>
  <c r="DG18" i="5" s="1"/>
  <c r="DI19" i="5"/>
  <c r="AB19" i="1"/>
  <c r="AE28" i="9"/>
  <c r="AI28" i="9"/>
  <c r="AC90" i="9"/>
  <c r="B12" i="14"/>
  <c r="S21" i="2"/>
  <c r="P22" i="2"/>
  <c r="N22" i="2"/>
  <c r="R22" i="2"/>
  <c r="Q21" i="2"/>
  <c r="P23" i="2"/>
  <c r="J23" i="10"/>
  <c r="M22" i="2"/>
  <c r="O23" i="2"/>
  <c r="BL33" i="5" l="1"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AG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BL34" i="5" l="1"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G18" i="7" s="1"/>
  <c r="AI18" i="7" s="1"/>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BL35" i="5" l="1"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BL36" i="5" l="1"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G21" i="7" s="1"/>
  <c r="AI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G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BL37" i="5" l="1"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BL38" i="5" l="1"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AG22" i="7" s="1"/>
  <c r="Q22" i="7"/>
  <c r="C25" i="5"/>
  <c r="AC24" i="1"/>
  <c r="DA24" i="5"/>
  <c r="DG24" i="5" s="1" a="1"/>
  <c r="DG24" i="5" s="1"/>
  <c r="AB25" i="1"/>
  <c r="DI25" i="5"/>
  <c r="AE34" i="9"/>
  <c r="AI34" i="9"/>
  <c r="AC96" i="9"/>
  <c r="B20" i="14"/>
  <c r="N10" i="1"/>
  <c r="S27" i="2"/>
  <c r="N28" i="2"/>
  <c r="R28" i="2"/>
  <c r="Q27" i="2"/>
  <c r="P29" i="2"/>
  <c r="J29" i="10"/>
  <c r="O29" i="2"/>
  <c r="M28" i="2"/>
  <c r="BL39" i="5" l="1"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BL40" i="5" l="1"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BL41" i="5" l="1"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AG25" i="7" s="1"/>
  <c r="AI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BL42" i="5" l="1"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AG26" i="7" s="1"/>
  <c r="C29" i="5"/>
  <c r="AC28" i="1"/>
  <c r="DA28" i="5"/>
  <c r="DG28" i="5" s="1" a="1"/>
  <c r="DG28" i="5" s="1"/>
  <c r="DI29" i="5"/>
  <c r="AB29" i="1"/>
  <c r="AE38" i="9"/>
  <c r="AI38" i="9"/>
  <c r="AC100" i="9"/>
  <c r="B24" i="14"/>
  <c r="N14" i="1"/>
  <c r="S31" i="2"/>
  <c r="N32" i="2"/>
  <c r="R32" i="2"/>
  <c r="Q31" i="2"/>
  <c r="O33" i="2"/>
  <c r="J33" i="10"/>
  <c r="P33" i="2"/>
  <c r="M32" i="2"/>
  <c r="BL43" i="5" l="1"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E28" i="1"/>
  <c r="W28" i="8"/>
  <c r="AI28" i="5"/>
  <c r="B28" i="9"/>
  <c r="W28" i="9" s="1"/>
  <c r="A28" i="11"/>
  <c r="V29" i="2"/>
  <c r="AE27" i="7"/>
  <c r="AG27" i="7" s="1"/>
  <c r="Q27" i="7"/>
  <c r="C30" i="5"/>
  <c r="AC29" i="1"/>
  <c r="DA29" i="5"/>
  <c r="DG29" i="5" s="1" a="1"/>
  <c r="DG29" i="5" s="1"/>
  <c r="AB30" i="1"/>
  <c r="DI30" i="5"/>
  <c r="AE39" i="9"/>
  <c r="AI39" i="9"/>
  <c r="AC101" i="9"/>
  <c r="N15" i="1"/>
  <c r="S32" i="2"/>
  <c r="N33" i="2"/>
  <c r="R33" i="2"/>
  <c r="Q32" i="2"/>
  <c r="J34" i="10"/>
  <c r="P34" i="2"/>
  <c r="O34" i="2"/>
  <c r="M33" i="2"/>
  <c r="BL44" i="5" l="1"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G28" i="7" s="1"/>
  <c r="Q28" i="7"/>
  <c r="AB31" i="1"/>
  <c r="DI31" i="5"/>
  <c r="C31" i="5"/>
  <c r="AC30" i="1"/>
  <c r="DA30" i="5"/>
  <c r="DG30" i="5" s="1" a="1"/>
  <c r="DG30" i="5" s="1"/>
  <c r="AE40" i="9"/>
  <c r="AI40" i="9"/>
  <c r="AC102" i="9"/>
  <c r="N16" i="1"/>
  <c r="S33" i="2"/>
  <c r="N34" i="2"/>
  <c r="R34" i="2"/>
  <c r="Q33" i="2"/>
  <c r="M34" i="2"/>
  <c r="J35" i="10"/>
  <c r="O35" i="2"/>
  <c r="P35" i="2"/>
  <c r="BL45" i="5" l="1"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BL46" i="5" l="1"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BL47" i="5" l="1"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AG32" i="7" s="1"/>
  <c r="AI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BL48" i="5" l="1"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BL49" i="5" l="1"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BL50" i="5" l="1"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G34" i="7" s="1"/>
  <c r="Q34" i="7"/>
  <c r="AB37" i="1"/>
  <c r="DI37" i="5"/>
  <c r="C37" i="5"/>
  <c r="AC36" i="1"/>
  <c r="DA36" i="5"/>
  <c r="DG36" i="5" s="1" a="1"/>
  <c r="DG36" i="5" s="1"/>
  <c r="AE46" i="9"/>
  <c r="AI46" i="9"/>
  <c r="AC108" i="9"/>
  <c r="N22" i="1"/>
  <c r="S39" i="2"/>
  <c r="N40" i="2"/>
  <c r="R40" i="2"/>
  <c r="Q39" i="2"/>
  <c r="O41" i="2"/>
  <c r="P41" i="2"/>
  <c r="J41" i="10"/>
  <c r="M40" i="2"/>
  <c r="BL51" i="5" l="1"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AI34" i="7"/>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BL52" i="5" l="1"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G37" i="7" s="1"/>
  <c r="AI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AG36" i="7" s="1"/>
  <c r="Q36" i="7"/>
  <c r="AB39" i="1"/>
  <c r="DI39" i="5"/>
  <c r="C39" i="5"/>
  <c r="AC38" i="1"/>
  <c r="DA38" i="5"/>
  <c r="DG38" i="5" s="1" a="1"/>
  <c r="DG38" i="5" s="1"/>
  <c r="AE48" i="9"/>
  <c r="AI48" i="9"/>
  <c r="AC110" i="9"/>
  <c r="N24" i="1"/>
  <c r="S41" i="2"/>
  <c r="N42" i="2"/>
  <c r="R42" i="2"/>
  <c r="Q41" i="2"/>
  <c r="O43" i="2"/>
  <c r="J43" i="10"/>
  <c r="P43" i="2"/>
  <c r="M42" i="2"/>
  <c r="BL53" i="5" l="1"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BL54" i="5" l="1"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CZ41" i="5"/>
  <c r="AB41" i="1"/>
  <c r="DI41" i="5"/>
  <c r="V41" i="2"/>
  <c r="AC40" i="1"/>
  <c r="DA40" i="5"/>
  <c r="DG40" i="5" s="1" a="1"/>
  <c r="DG40" i="5" s="1"/>
  <c r="AE50" i="9"/>
  <c r="AI50" i="9"/>
  <c r="AC112" i="9"/>
  <c r="N26" i="1"/>
  <c r="S43" i="2"/>
  <c r="N44" i="2"/>
  <c r="R44" i="2"/>
  <c r="Q43" i="2"/>
  <c r="O45" i="2"/>
  <c r="J45" i="10"/>
  <c r="P45" i="2"/>
  <c r="M44" i="2"/>
  <c r="BL55" i="5" l="1"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G39" i="7" s="1"/>
  <c r="AI39" i="7" s="1"/>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DG41" i="5" a="1"/>
  <c r="DG41" i="5" s="1"/>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AB42" i="1"/>
  <c r="DI42" i="5"/>
  <c r="AE51" i="9"/>
  <c r="AI51" i="9"/>
  <c r="AC113" i="9"/>
  <c r="N27" i="1"/>
  <c r="S44" i="2"/>
  <c r="N45" i="2"/>
  <c r="R45" i="2"/>
  <c r="Q44" i="2"/>
  <c r="P46" i="2"/>
  <c r="O46" i="2"/>
  <c r="J46" i="10"/>
  <c r="M45" i="2"/>
  <c r="BL56" i="5" l="1"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AG40" i="7" s="1"/>
  <c r="AI40" i="7" s="1"/>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BL57" i="5" l="1"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G41" i="7" s="1"/>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BL58" i="5" l="1"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AG42" i="7" s="1"/>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BL59" i="5" l="1"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G43" i="7" s="1"/>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BL60" i="5" l="1"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G44" i="7" s="1"/>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BL61" i="5" l="1"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G45" i="7" s="1"/>
  <c r="Q45" i="7"/>
  <c r="AB48" i="1"/>
  <c r="DI48" i="5"/>
  <c r="J48" i="2"/>
  <c r="AC47" i="1"/>
  <c r="DA47" i="5"/>
  <c r="DG47" i="5" s="1" a="1"/>
  <c r="DG47" i="5" s="1"/>
  <c r="AE57" i="9"/>
  <c r="AI57" i="9"/>
  <c r="AC119" i="9"/>
  <c r="N33" i="1"/>
  <c r="S50" i="2"/>
  <c r="N51" i="2"/>
  <c r="R51" i="2"/>
  <c r="Q50" i="2"/>
  <c r="M51" i="2"/>
  <c r="O52" i="2"/>
  <c r="P52" i="2"/>
  <c r="J52" i="10"/>
  <c r="BL62" i="5" l="1"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AG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BL63" i="5" l="1"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G47" i="7" s="1"/>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BL64" i="5" l="1"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AG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BL65" i="5" l="1"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G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BL66" i="5" l="1"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BL67" i="5" l="1"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BL68" i="5" l="1"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AG52" i="7" s="1"/>
  <c r="Q52" i="7"/>
  <c r="V54" i="2"/>
  <c r="C55" i="5"/>
  <c r="AC54" i="1"/>
  <c r="DA54" i="5"/>
  <c r="DG54" i="5" s="1" a="1"/>
  <c r="DG54" i="5" s="1"/>
  <c r="AB55" i="1"/>
  <c r="DI55" i="5"/>
  <c r="AE64" i="9"/>
  <c r="AI64" i="9"/>
  <c r="AC126" i="9"/>
  <c r="N40" i="1"/>
  <c r="S57" i="2"/>
  <c r="N58" i="2"/>
  <c r="R58" i="2"/>
  <c r="Q57" i="2"/>
  <c r="J59" i="10"/>
  <c r="P59" i="2"/>
  <c r="O59" i="2"/>
  <c r="M58" i="2"/>
  <c r="BL69" i="5" l="1"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G53" i="7" s="1"/>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BL70" i="5" l="1"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AG54" i="7" s="1"/>
  <c r="Q54" i="7"/>
  <c r="J57" i="2"/>
  <c r="AC56" i="1"/>
  <c r="DA56" i="5"/>
  <c r="DG56" i="5" s="1" a="1"/>
  <c r="DG56" i="5" s="1"/>
  <c r="AB57" i="1"/>
  <c r="DI57" i="5"/>
  <c r="AE66" i="9"/>
  <c r="AI66" i="9"/>
  <c r="AC128" i="9"/>
  <c r="N42" i="1"/>
  <c r="S59" i="2"/>
  <c r="N60" i="2"/>
  <c r="R60" i="2"/>
  <c r="Q59" i="2"/>
  <c r="O61" i="2"/>
  <c r="J61" i="10"/>
  <c r="P61" i="2"/>
  <c r="M60" i="2"/>
  <c r="BL71" i="5" l="1"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G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P56" i="5" l="1"/>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AG56" i="7" s="1"/>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BL73" i="5" l="1"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B60" i="1"/>
  <c r="DI60" i="5"/>
  <c r="V60" i="2"/>
  <c r="AC59" i="1"/>
  <c r="DA59" i="5"/>
  <c r="DG59" i="5" s="1" a="1"/>
  <c r="DG59" i="5" s="1"/>
  <c r="AE69" i="9"/>
  <c r="AI69" i="9"/>
  <c r="AC131" i="9"/>
  <c r="N45" i="1"/>
  <c r="S62" i="2"/>
  <c r="N63" i="2"/>
  <c r="R63" i="2"/>
  <c r="Q62" i="2"/>
  <c r="O64" i="2"/>
  <c r="J64" i="10"/>
  <c r="P64" i="2"/>
  <c r="M63" i="2"/>
  <c r="BL74" i="5" l="1"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AG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BL75" i="5" l="1"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BL76" i="5" l="1"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AG60" i="7" s="1"/>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BL77" i="5" l="1"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BL78" i="5" l="1"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AG62" i="7" s="1"/>
  <c r="Q62" i="7"/>
  <c r="C65" i="5"/>
  <c r="AC64" i="1"/>
  <c r="DA64" i="5"/>
  <c r="DG64" i="5" s="1" a="1"/>
  <c r="DG64" i="5" s="1"/>
  <c r="AB65" i="1"/>
  <c r="DI65" i="5"/>
  <c r="AE74" i="9"/>
  <c r="AI74" i="9"/>
  <c r="AC136" i="9"/>
  <c r="N50" i="1"/>
  <c r="S67" i="2"/>
  <c r="N68" i="2"/>
  <c r="R68" i="2"/>
  <c r="Q67" i="2"/>
  <c r="J69" i="10"/>
  <c r="M68" i="2"/>
  <c r="O69" i="2"/>
  <c r="P69" i="2"/>
  <c r="O61" i="8" l="1"/>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AG63" i="7" s="1"/>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BL80" i="5" l="1"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AG64" i="7" s="1"/>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BL81" i="5" l="1"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AG66" i="7" s="1"/>
  <c r="AI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BL82" i="5" l="1"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BL83" i="5" l="1"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AG67" i="7" s="1"/>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BL84" i="5" l="1"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AG68" i="7" s="1"/>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BL85" i="5" l="1"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AG70" i="7" s="1"/>
  <c r="AI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BL86" i="5" l="1"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BL87" i="5" l="1" a="1"/>
  <c r="BL87" i="5" s="1"/>
  <c r="BS71" i="8"/>
  <c r="BY71" i="8" s="1"/>
  <c r="BO71" i="8"/>
  <c r="BK71" i="8"/>
  <c r="BL71" i="8"/>
  <c r="BI71" i="8"/>
  <c r="BJ71" i="8"/>
  <c r="BG71" i="8"/>
  <c r="BH71" i="8"/>
  <c r="BF71" i="8"/>
  <c r="AP71" i="5"/>
  <c r="AC71" i="10"/>
  <c r="X71" i="10" s="1"/>
  <c r="AO71" i="5"/>
  <c r="AM71" i="5"/>
  <c r="AN71" i="5"/>
  <c r="CK70" i="8"/>
  <c r="CL70" i="8" s="1"/>
  <c r="CU70" i="8"/>
  <c r="AM75" i="1"/>
  <c r="AS75" i="5"/>
  <c r="E79" i="8"/>
  <c r="E53" i="4"/>
  <c r="B41" i="4" s="1"/>
  <c r="AH75" i="11"/>
  <c r="E55" i="4"/>
  <c r="DF74" i="5"/>
  <c r="E58" i="4"/>
  <c r="E50" i="4"/>
  <c r="E59" i="4"/>
  <c r="E64" i="4"/>
  <c r="AK75" i="11"/>
  <c r="DB74" i="5"/>
  <c r="E56" i="4"/>
  <c r="AR76" i="8"/>
  <c r="AD76"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AG72" i="7" s="1"/>
  <c r="AI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G71" i="7" s="1"/>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6" i="4"/>
  <c r="N77" i="2"/>
  <c r="C36" i="4"/>
  <c r="R77" i="2"/>
  <c r="Q76" i="2"/>
  <c r="B44" i="4"/>
  <c r="M77" i="2"/>
  <c r="B35" i="4"/>
  <c r="O78" i="2"/>
  <c r="D87" i="4"/>
  <c r="J78" i="10"/>
  <c r="P78" i="2"/>
  <c r="BL88" i="5" l="1"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8" i="4"/>
  <c r="E57" i="4"/>
  <c r="AD77" i="8"/>
  <c r="AR77" i="8"/>
  <c r="DH75" i="5"/>
  <c r="E62"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AG73" i="7" s="1"/>
  <c r="AI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5" i="4"/>
  <c r="C88" i="4"/>
  <c r="M78" i="2"/>
  <c r="J79" i="10"/>
  <c r="O79" i="2"/>
  <c r="P79" i="2"/>
  <c r="BZ72" i="8" l="1"/>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E60"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49" i="4"/>
  <c r="AH43" i="5"/>
  <c r="BU43" i="5"/>
  <c r="AE85" i="9"/>
  <c r="AI85" i="9"/>
  <c r="B43" i="2"/>
  <c r="B43" i="1"/>
  <c r="BG43" i="1" s="1"/>
  <c r="B53" i="14"/>
  <c r="N61" i="1"/>
  <c r="S78" i="2"/>
  <c r="N79" i="2"/>
  <c r="R79" i="2"/>
  <c r="Q78" i="2"/>
  <c r="M79" i="2"/>
  <c r="J80" i="10"/>
  <c r="P80" i="2"/>
  <c r="O80" i="2"/>
  <c r="CY72" i="8" l="1"/>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AG75" i="7" s="1"/>
  <c r="AI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G74" i="7" s="1"/>
  <c r="J76" i="2"/>
  <c r="C76" i="5"/>
  <c r="F76" i="5" s="1"/>
  <c r="CZ77" i="5"/>
  <c r="BW74" i="8"/>
  <c r="CM74" i="8" s="1"/>
  <c r="BT74" i="8"/>
  <c r="BU74" i="8"/>
  <c r="BV74" i="8"/>
  <c r="BX74" i="8"/>
  <c r="CO74" i="8" s="1"/>
  <c r="CP74" i="8" s="1"/>
  <c r="CC74" i="8"/>
  <c r="CS74" i="8" s="1"/>
  <c r="C77" i="5"/>
  <c r="AC76" i="1"/>
  <c r="E52" i="4"/>
  <c r="DA76" i="5"/>
  <c r="DG76" i="5" s="1" a="1"/>
  <c r="DG76" i="5" s="1"/>
  <c r="E66" i="4" s="1"/>
  <c r="AB77" i="1"/>
  <c r="DI77" i="5"/>
  <c r="AE86" i="9"/>
  <c r="AI86" i="9"/>
  <c r="L55" i="11"/>
  <c r="AS55" i="8"/>
  <c r="B60" i="14"/>
  <c r="N62" i="1"/>
  <c r="S79" i="2"/>
  <c r="N80" i="2"/>
  <c r="R80" i="2"/>
  <c r="Q79" i="2"/>
  <c r="O81" i="2"/>
  <c r="P81" i="2"/>
  <c r="J81" i="10"/>
  <c r="M80" i="2"/>
  <c r="BL91" i="5" l="1"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BL92" i="5" l="1"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0" i="4"/>
  <c r="F68" i="4"/>
  <c r="I49" i="4"/>
  <c r="J49" i="4" s="1"/>
  <c r="F55" i="4"/>
  <c r="F57" i="4"/>
  <c r="F59" i="4"/>
  <c r="F62" i="4"/>
  <c r="C79" i="4" s="1"/>
  <c r="B24" i="4" s="1"/>
  <c r="C37"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G76" i="7" s="1"/>
  <c r="Q76" i="7"/>
  <c r="M29" i="7" s="1"/>
  <c r="J79" i="2"/>
  <c r="AC78" i="1"/>
  <c r="DA78" i="5"/>
  <c r="DG78" i="5" s="1" a="1"/>
  <c r="DG78" i="5" s="1"/>
  <c r="AB79" i="1"/>
  <c r="DI79" i="5"/>
  <c r="AE88" i="9"/>
  <c r="AI88" i="9"/>
  <c r="L35" i="11"/>
  <c r="AS35" i="8"/>
  <c r="D76" i="4"/>
  <c r="C25" i="4" s="1"/>
  <c r="D78" i="4"/>
  <c r="C76" i="4"/>
  <c r="D75" i="4"/>
  <c r="D80" i="4"/>
  <c r="B71" i="14"/>
  <c r="N64" i="1"/>
  <c r="S81" i="2"/>
  <c r="N82" i="2"/>
  <c r="R82" i="2"/>
  <c r="Q81" i="2"/>
  <c r="O83" i="2"/>
  <c r="P83" i="2"/>
  <c r="J83" i="10"/>
  <c r="M82" i="2"/>
  <c r="B25" i="4" l="1"/>
  <c r="C38" i="4" s="1"/>
  <c r="BL93" i="5" a="1"/>
  <c r="BL93" i="5" s="1"/>
  <c r="F35"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G77" i="7" s="1"/>
  <c r="AI77" i="7" s="1"/>
  <c r="AA76" i="11"/>
  <c r="AK76" i="1" s="1"/>
  <c r="Z76" i="11"/>
  <c r="AD76" i="11"/>
  <c r="AI76" i="1" s="1"/>
  <c r="N77" i="11"/>
  <c r="AC76" i="11"/>
  <c r="T76" i="8" s="1"/>
  <c r="G35"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G78" i="7" s="1"/>
  <c r="AI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C24" i="4" s="1"/>
  <c r="AQ76" i="5"/>
  <c r="I60"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BL94" i="5" l="1" a="1"/>
  <c r="BL94" i="5" s="1"/>
  <c r="F38" i="4"/>
  <c r="H38" i="4" s="1"/>
  <c r="R4" i="8"/>
  <c r="F36" i="4"/>
  <c r="H36" i="4" s="1"/>
  <c r="F37" i="4"/>
  <c r="H37"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5"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39" i="4"/>
  <c r="I47" i="4" s="1"/>
  <c r="BL95" i="5" l="1" a="1"/>
  <c r="BL95" i="5" s="1"/>
  <c r="O77" i="8"/>
  <c r="F39" i="4"/>
  <c r="I48"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N79" i="7"/>
  <c r="BD80" i="8"/>
  <c r="BP80" i="8" s="1"/>
  <c r="BE80" i="8"/>
  <c r="BN80" i="8" s="1"/>
  <c r="AF91" i="9"/>
  <c r="B54"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AG79" i="7" s="1"/>
  <c r="Q79" i="7"/>
  <c r="DI82" i="5"/>
  <c r="AB82" i="1"/>
  <c r="V82" i="2"/>
  <c r="AC81" i="1"/>
  <c r="DA81" i="5"/>
  <c r="DG81" i="5" s="1" a="1"/>
  <c r="DG81" i="5" s="1"/>
  <c r="AE91" i="9"/>
  <c r="AI91" i="9"/>
  <c r="N67" i="1"/>
  <c r="S84" i="2"/>
  <c r="N85" i="2"/>
  <c r="R85" i="2"/>
  <c r="Q84" i="2"/>
  <c r="P86" i="2"/>
  <c r="O86" i="2"/>
  <c r="J86" i="10"/>
  <c r="M85" i="2"/>
  <c r="BL96" i="5" l="1"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BL97" i="5" l="1"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G81" i="7" s="1"/>
  <c r="AR80" i="5"/>
  <c r="B80" i="14"/>
  <c r="AI80" i="7"/>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BL98" i="5" l="1"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BL99" i="5" l="1"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G83" i="7" s="1"/>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BL100" i="5" l="1"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AG84" i="7" s="1"/>
  <c r="Q84" i="7"/>
  <c r="C87" i="5"/>
  <c r="AC86" i="1"/>
  <c r="DA86" i="5"/>
  <c r="DG86" i="5" s="1" a="1"/>
  <c r="DG86" i="5" s="1"/>
  <c r="DI87" i="5"/>
  <c r="AB87" i="1"/>
  <c r="AE96" i="9"/>
  <c r="AI96" i="9"/>
  <c r="N72" i="1"/>
  <c r="S89" i="2"/>
  <c r="N90" i="2"/>
  <c r="R90" i="2"/>
  <c r="Q89" i="2"/>
  <c r="J91" i="10"/>
  <c r="P91" i="2"/>
  <c r="M90" i="2"/>
  <c r="O91" i="2"/>
  <c r="BL101" i="5" l="1"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BL102" i="5" l="1"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AG86" i="7" s="1"/>
  <c r="V89" i="2"/>
  <c r="AC88" i="1"/>
  <c r="DA88" i="5"/>
  <c r="DG88" i="5" s="1" a="1"/>
  <c r="DG88" i="5" s="1"/>
  <c r="AB89" i="1"/>
  <c r="DI89" i="5"/>
  <c r="AE98" i="9"/>
  <c r="AI98" i="9"/>
  <c r="N74" i="1"/>
  <c r="S91" i="2"/>
  <c r="N92" i="2"/>
  <c r="R92" i="2"/>
  <c r="Q91" i="2"/>
  <c r="P93" i="2"/>
  <c r="O93" i="2"/>
  <c r="M92" i="2"/>
  <c r="J93" i="10"/>
  <c r="BL103" i="5" l="1"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BL104" i="5" l="1"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AG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BL105" i="5" l="1"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AG89" i="7" s="1"/>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4" i="4"/>
  <c r="N77" i="1"/>
  <c r="S94" i="2"/>
  <c r="N95" i="2"/>
  <c r="R95" i="2"/>
  <c r="Q94" i="2"/>
  <c r="O96" i="2"/>
  <c r="J96" i="10"/>
  <c r="P96" i="2"/>
  <c r="M95" i="2"/>
  <c r="BL106" i="5" l="1"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AG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BL107" i="5" l="1"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BL108" i="5" l="1"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G93" i="7" s="1"/>
  <c r="AI93" i="7" s="1"/>
  <c r="A93" i="10"/>
  <c r="AA93" i="10" s="1"/>
  <c r="A93" i="11"/>
  <c r="N93" i="11" s="1"/>
  <c r="AW93" i="5"/>
  <c r="AI93" i="5"/>
  <c r="AJ93" i="5"/>
  <c r="DA93" i="8"/>
  <c r="DB93" i="8" s="1"/>
  <c r="E93" i="1"/>
  <c r="CF93" i="8"/>
  <c r="AV93" i="5"/>
  <c r="AB93" i="8"/>
  <c r="BM93" i="8" s="1"/>
  <c r="BE93" i="8"/>
  <c r="BN93" i="8" s="1"/>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AG92" i="7" s="1"/>
  <c r="CD92" i="8"/>
  <c r="CT92" i="8" s="1"/>
  <c r="CU92" i="8" s="1"/>
  <c r="V94" i="2"/>
  <c r="CZ95" i="5"/>
  <c r="J94" i="2"/>
  <c r="V95" i="2"/>
  <c r="AC94" i="1"/>
  <c r="DA94" i="5"/>
  <c r="DG94" i="5" s="1" a="1"/>
  <c r="DG94" i="5" s="1"/>
  <c r="AB95" i="1"/>
  <c r="DI95" i="5"/>
  <c r="AE104" i="9"/>
  <c r="AI104" i="9"/>
  <c r="N80" i="1"/>
  <c r="S97" i="2"/>
  <c r="N98" i="2"/>
  <c r="R98" i="2"/>
  <c r="Q97" i="2"/>
  <c r="M98" i="2"/>
  <c r="J99" i="10"/>
  <c r="P99" i="2"/>
  <c r="O99" i="2"/>
  <c r="BL109" i="5" l="1"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BL110" i="5" l="1"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BL111" i="5" l="1"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G95" i="7" s="1"/>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BL112" i="5" l="1"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G97" i="7" s="1"/>
  <c r="AI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BL113" i="5" l="1"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BL114" i="5" l="1"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AG98" i="7" s="1"/>
  <c r="AI98" i="7" s="1"/>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BL115" i="5" l="1"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AG100" i="7" s="1"/>
  <c r="AI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AG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O98" i="8" l="1"/>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BL117" i="5" l="1"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G102" i="7" s="1"/>
  <c r="AI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BL118" i="5" l="1"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BL119" i="5" l="1"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G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BL120" i="5" l="1"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AG104" i="7" s="1"/>
  <c r="AI104" i="7" s="1"/>
  <c r="CC104" i="8"/>
  <c r="CS104" i="8" s="1"/>
  <c r="CU104" i="8" s="1"/>
  <c r="D105" i="9"/>
  <c r="N104" i="7"/>
  <c r="AB105" i="8"/>
  <c r="BM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BL121" i="5" l="1"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BL122" i="5" l="1"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BL123" i="5" l="1"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G108" i="7" s="1"/>
  <c r="AI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BL124" i="5" l="1"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BL125" i="5" l="1"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G109" i="7" s="1"/>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BL126" i="5" l="1"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BL127" i="5" l="1"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AG112" i="7" s="1"/>
  <c r="AI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BL128" i="5" l="1"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BL129" i="5" l="1"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G113" i="7" s="1"/>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BL130" i="5" l="1"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BL131" i="5" l="1"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G116" i="7" s="1"/>
  <c r="AI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BL132" i="5" l="1"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G117" i="7" s="1"/>
  <c r="AI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BL133" i="5" l="1"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BL134" i="5" l="1"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G119" i="7" s="1"/>
  <c r="AI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AG118" i="7" s="1"/>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BY118" i="8" l="1"/>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G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O118" i="8" l="1"/>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G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K125" i="11" l="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BY121" i="8" l="1"/>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G122" i="7" s="1"/>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O121" i="8" l="1"/>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BY123" i="8" l="1"/>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AP125" i="5" l="1"/>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BY125" i="8" l="1"/>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AG126" i="7" s="1"/>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O125" i="8" l="1"/>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AG127" i="7" s="1"/>
  <c r="Q127" i="7"/>
  <c r="AR126" i="5"/>
  <c r="AB130" i="1"/>
  <c r="DI130" i="5"/>
  <c r="V130" i="2"/>
  <c r="AC129" i="1"/>
  <c r="DA129" i="5"/>
  <c r="DG129" i="5" s="1" a="1"/>
  <c r="DG129" i="5" s="1"/>
  <c r="N115" i="1"/>
  <c r="S132" i="2"/>
  <c r="N133" i="2"/>
  <c r="R133" i="2"/>
  <c r="Q132" i="2"/>
  <c r="M133" i="2"/>
  <c r="J134" i="10"/>
  <c r="P134" i="2"/>
  <c r="O134" i="2"/>
  <c r="AP128" i="5" l="1"/>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BZ128" i="8"/>
  <c r="CQ128" i="8" s="1"/>
  <c r="CR128" i="8" s="1"/>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G128" i="7" s="1"/>
  <c r="AR127" i="5"/>
  <c r="V131" i="2"/>
  <c r="AC130" i="1"/>
  <c r="DA130" i="5"/>
  <c r="DG130" i="5" s="1" a="1"/>
  <c r="DG130" i="5" s="1"/>
  <c r="AB131" i="1"/>
  <c r="DI131" i="5"/>
  <c r="N116" i="1"/>
  <c r="S133" i="2"/>
  <c r="N134" i="2"/>
  <c r="R134" i="2"/>
  <c r="Q133" i="2"/>
  <c r="O135" i="2"/>
  <c r="P135" i="2"/>
  <c r="J135" i="10"/>
  <c r="M134" i="2"/>
  <c r="AP129" i="5" l="1"/>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AG129" i="7" s="1"/>
  <c r="Q129" i="7"/>
  <c r="AR128" i="5"/>
  <c r="O128" i="8"/>
  <c r="AB132" i="1"/>
  <c r="DI132" i="5"/>
  <c r="AC131" i="1"/>
  <c r="DA131" i="5"/>
  <c r="DG131" i="5" s="1" a="1"/>
  <c r="DG131" i="5" s="1"/>
  <c r="N117" i="1"/>
  <c r="S134" i="2"/>
  <c r="N135" i="2"/>
  <c r="R135" i="2"/>
  <c r="Q134" i="2"/>
  <c r="M135" i="2"/>
  <c r="O136" i="2"/>
  <c r="J136" i="10"/>
  <c r="P136" i="2"/>
  <c r="BY129" i="8" l="1"/>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AG130" i="7" s="1"/>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29" i="8" l="1"/>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AG131" i="7" s="1"/>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DG133" i="5" l="1"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AG132" i="7" s="1"/>
  <c r="BT132" i="8"/>
  <c r="BT133" i="5"/>
  <c r="E133" i="1"/>
  <c r="BW132" i="8"/>
  <c r="CM132" i="8" s="1"/>
  <c r="BU132" i="8"/>
  <c r="BV132" i="8"/>
  <c r="CC132" i="8"/>
  <c r="CS132" i="8" s="1"/>
  <c r="W133" i="8"/>
  <c r="AB133" i="8"/>
  <c r="BM133" i="8" s="1"/>
  <c r="A133" i="10"/>
  <c r="AA133" i="10" s="1"/>
  <c r="AW133" i="5"/>
  <c r="B133" i="7"/>
  <c r="AE133" i="7" s="1"/>
  <c r="AG133" i="7" s="1"/>
  <c r="F134" i="5"/>
  <c r="B135" i="10"/>
  <c r="D135" i="7"/>
  <c r="G136" i="5"/>
  <c r="CZ136" i="5" s="1"/>
  <c r="B135" i="5"/>
  <c r="V135" i="2"/>
  <c r="C135" i="5"/>
  <c r="AB136" i="1"/>
  <c r="DI136" i="5"/>
  <c r="J136" i="2"/>
  <c r="AC135" i="1"/>
  <c r="DA135" i="5"/>
  <c r="N121" i="1"/>
  <c r="BY132" i="8" l="1"/>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AI132" i="7"/>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AG134" i="7" s="1"/>
  <c r="CD134" i="8"/>
  <c r="CT134" i="8" s="1"/>
  <c r="AV135" i="5"/>
  <c r="F136" i="5"/>
  <c r="BZ134" i="8"/>
  <c r="AA1269" i="14"/>
  <c r="AA1270" i="14" s="1"/>
  <c r="N123" i="1"/>
  <c r="O133" i="8" l="1"/>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G135" i="7" s="1"/>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BZ135" i="8" l="1"/>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BZ136" i="8" l="1"/>
  <c r="CQ136" i="8" s="1"/>
  <c r="CR136" i="8" s="1"/>
  <c r="I61" i="4"/>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U4" i="2" l="1"/>
  <c r="J4" i="11" s="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l="1"/>
  <c r="W75" i="2" s="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AJ121" i="7" l="1"/>
  <c r="U121" i="2"/>
  <c r="W120" i="2" s="1"/>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AJ126" i="7" l="1"/>
  <c r="U126" i="2"/>
  <c r="W125" i="2" s="1"/>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O6" i="8" l="1"/>
  <c r="AQ6" i="1"/>
  <c r="AL6" i="5"/>
  <c r="BK6" i="1"/>
  <c r="D5" i="1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<sst xmlns="http://schemas.openxmlformats.org/spreadsheetml/2006/main" count="2900" uniqueCount="1111">
  <si>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</si>
  <si>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</si>
  <si>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</si>
  <si>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</si>
  <si>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</si>
  <si>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</si>
  <si>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</si>
  <si>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</si>
  <si>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</si>
  <si>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</si>
  <si>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</si>
  <si>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</si>
  <si>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</si>
  <si>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</si>
  <si>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</si>
  <si>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</si>
  <si>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</si>
  <si>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</si>
  <si>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</si>
  <si>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</si>
  <si>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</si>
  <si>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</si>
  <si>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</si>
  <si>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</si>
  <si>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</si>
  <si>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</si>
  <si>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</si>
  <si>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</si>
  <si>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</si>
  <si>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</si>
  <si>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</si>
  <si>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</si>
  <si>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</si>
  <si>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</si>
  <si>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</si>
  <si>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</si>
  <si>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</si>
  <si>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</si>
  <si>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</si>
  <si>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</si>
  <si>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</si>
  <si>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</si>
  <si>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</si>
  <si>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</si>
  <si>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</si>
  <si>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</si>
  <si>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</si>
  <si>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</si>
  <si>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</si>
  <si>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</si>
  <si>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</si>
  <si>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</si>
  <si>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</si>
  <si>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</si>
  <si>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</si>
  <si>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</si>
  <si>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</si>
  <si>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</si>
  <si>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</si>
  <si>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</si>
  <si>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</si>
  <si>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</si>
  <si>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</si>
  <si>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</si>
  <si>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</si>
  <si>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</si>
  <si>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</si>
  <si>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</si>
  <si>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</si>
  <si>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</si>
  <si>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</si>
  <si>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</si>
  <si>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</si>
  <si>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</si>
  <si>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</si>
  <si>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</si>
  <si>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</si>
  <si>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</si>
  <si>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</si>
  <si>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</si>
  <si>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</si>
  <si>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</si>
  <si>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</si>
  <si>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</si>
  <si>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</si>
  <si>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</si>
  <si>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</si>
  <si>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</si>
  <si>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</si>
  <si>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</si>
  <si>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</si>
  <si>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</si>
  <si>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</si>
  <si>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</si>
  <si>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</si>
  <si>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</si>
  <si>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</si>
  <si>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</si>
  <si>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</si>
  <si>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</si>
  <si>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</si>
  <si>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</si>
  <si>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</si>
  <si>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</si>
  <si>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</si>
  <si>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</si>
  <si>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</si>
  <si>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</si>
  <si>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</si>
  <si>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</si>
  <si>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</si>
  <si>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</si>
  <si>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</si>
  <si>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</si>
  <si>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</si>
  <si>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</si>
  <si>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</si>
  <si>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</si>
  <si>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</si>
  <si>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</si>
  <si>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</si>
  <si>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</si>
  <si>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</si>
  <si>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</si>
  <si>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</si>
  <si>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</si>
  <si>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</si>
  <si>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</si>
  <si>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</si>
  <si>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</si>
  <si>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</si>
  <si>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</si>
  <si>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</si>
  <si>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</si>
  <si>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</si>
  <si>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</si>
  <si>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</si>
  <si>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</si>
  <si>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</si>
  <si>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</si>
  <si>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</si>
  <si>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</si>
  <si>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</si>
  <si>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</si>
  <si>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</si>
  <si>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</si>
  <si>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</si>
  <si>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</si>
  <si>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</si>
  <si>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</si>
  <si>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</si>
  <si>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</si>
  <si>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</si>
  <si>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</si>
  <si>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</si>
  <si>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</si>
  <si>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</si>
  <si>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</si>
  <si>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</si>
  <si>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</si>
  <si>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</si>
  <si>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</si>
  <si>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</si>
  <si>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</si>
  <si>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</si>
  <si>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</si>
  <si>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</si>
  <si>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</si>
  <si>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</si>
  <si>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</si>
  <si>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</si>
  <si>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</si>
  <si>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</si>
  <si>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</si>
  <si>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</si>
  <si>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</si>
  <si>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</si>
  <si>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</si>
  <si>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</si>
  <si>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</si>
  <si>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</si>
  <si>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</si>
  <si>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</si>
  <si>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</si>
  <si>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</si>
  <si>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</si>
  <si>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</si>
  <si>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</si>
  <si>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</si>
  <si>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</si>
  <si>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</si>
  <si>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</si>
  <si>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</si>
  <si>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</si>
  <si>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</si>
  <si>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</si>
  <si>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</si>
  <si>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</si>
  <si>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</si>
  <si>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</si>
  <si>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</si>
  <si>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</si>
  <si>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</si>
  <si>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</si>
  <si>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</si>
  <si>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</si>
  <si>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</si>
  <si>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</si>
  <si>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</si>
  <si>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</si>
  <si>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</si>
  <si>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</si>
  <si>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</si>
  <si>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</si>
  <si>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</si>
  <si>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</si>
  <si>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</si>
  <si>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</si>
  <si>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</si>
  <si>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</si>
  <si>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</si>
  <si>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</si>
  <si>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</si>
  <si>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</si>
  <si>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</si>
  <si>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</si>
  <si>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</si>
  <si>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</si>
  <si>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</si>
  <si>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</si>
  <si>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</si>
  <si>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</si>
  <si>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</si>
  <si>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</si>
  <si>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</si>
  <si>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</si>
  <si>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</si>
  <si>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</si>
  <si>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</si>
  <si>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</si>
  <si>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</si>
  <si>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</si>
  <si>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</si>
  <si>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</si>
  <si>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</si>
  <si>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</si>
  <si>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</si>
  <si>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</si>
  <si>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</si>
  <si>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</si>
  <si>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</si>
  <si>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</si>
  <si>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</si>
  <si>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</si>
  <si>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</si>
  <si>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</si>
  <si>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</si>
  <si>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</si>
  <si>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</si>
  <si>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</si>
  <si>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</si>
  <si>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</si>
  <si>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</si>
  <si>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</si>
  <si>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</si>
  <si>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</si>
  <si>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</si>
  <si>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</si>
  <si>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</si>
  <si>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</si>
  <si>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</si>
  <si>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</si>
  <si>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</si>
  <si>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</si>
  <si>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</si>
  <si>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</si>
  <si>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</si>
  <si>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</si>
  <si>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</si>
  <si>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</si>
  <si>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</si>
  <si>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</si>
  <si>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</si>
  <si>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</si>
  <si>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</si>
  <si>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</si>
  <si>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</si>
  <si>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</si>
  <si>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</si>
  <si>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</si>
  <si>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</si>
  <si>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</si>
  <si>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</si>
  <si>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</si>
  <si>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</si>
  <si>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</si>
  <si>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</si>
  <si>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</si>
  <si>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</si>
  <si>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</si>
  <si>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</si>
  <si>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</si>
  <si>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</si>
  <si>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</si>
  <si>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</si>
  <si>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</si>
  <si>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</si>
  <si>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</si>
  <si>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</si>
  <si>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</si>
  <si>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</si>
  <si>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</si>
  <si>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</si>
  <si>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</si>
  <si>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</si>
  <si>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</si>
  <si>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</si>
  <si>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</si>
  <si>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</si>
  <si>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</si>
  <si>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</si>
  <si>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</si>
  <si>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</si>
  <si>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</si>
  <si>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</si>
  <si>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</si>
  <si>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</si>
  <si>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</si>
  <si>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</si>
  <si>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</si>
  <si>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</si>
  <si>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</si>
  <si>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</si>
  <si>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</si>
  <si>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</si>
  <si>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</si>
  <si>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</si>
  <si>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</si>
  <si>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</si>
  <si>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</si>
  <si>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</si>
  <si>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</si>
  <si>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</si>
  <si>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</si>
  <si>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</si>
  <si>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</si>
  <si>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</si>
  <si>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</si>
  <si>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</si>
  <si>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</si>
  <si>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</si>
  <si>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</si>
  <si>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</si>
  <si>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</si>
  <si>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</si>
  <si>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</si>
  <si>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</si>
  <si>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</si>
  <si>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</si>
  <si>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</si>
  <si>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</si>
  <si>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</si>
  <si>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</si>
  <si>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</si>
  <si>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</si>
  <si>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</si>
  <si>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</si>
  <si>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</si>
  <si>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</si>
  <si>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</si>
  <si>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</si>
  <si>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</si>
  <si>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</si>
  <si>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</si>
  <si>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</si>
  <si>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</si>
  <si>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</si>
  <si>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</si>
  <si>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</si>
  <si>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</si>
  <si>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</si>
  <si>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</si>
  <si>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</si>
  <si>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</si>
  <si>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</si>
  <si>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</si>
  <si>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</si>
  <si>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</si>
  <si>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</si>
  <si>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</si>
  <si>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</si>
  <si>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</si>
  <si>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</si>
  <si>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</si>
  <si>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</si>
  <si>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</si>
  <si>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</si>
  <si>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</si>
  <si>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</si>
  <si>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</si>
  <si>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</si>
  <si>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</si>
  <si>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</si>
  <si>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</si>
  <si>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</si>
  <si>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</si>
  <si>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</si>
  <si>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</si>
  <si>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</si>
  <si>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</si>
  <si>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</si>
  <si>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</si>
  <si>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</si>
  <si>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</si>
  <si>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</si>
  <si>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</si>
  <si>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</si>
  <si>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</si>
  <si>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</si>
  <si>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</si>
  <si>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</si>
  <si>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</si>
  <si>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</si>
  <si>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</si>
  <si>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</si>
  <si>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</si>
  <si>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</si>
  <si>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</si>
  <si>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</si>
  <si>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</si>
  <si>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</si>
  <si>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</si>
  <si>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</si>
  <si>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</si>
  <si>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</si>
  <si>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</si>
  <si>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</si>
  <si>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</si>
  <si>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</si>
  <si>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</si>
  <si>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</si>
  <si>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</si>
  <si>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</si>
  <si>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</si>
  <si>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</si>
  <si>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</si>
  <si>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</si>
  <si>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</si>
  <si>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</si>
  <si>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</si>
  <si>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</si>
  <si>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</si>
  <si>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</si>
  <si>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</si>
  <si>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</si>
  <si>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</si>
  <si>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</si>
  <si>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</si>
  <si>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</si>
  <si>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</si>
  <si>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</si>
  <si>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</si>
  <si>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</si>
  <si>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</si>
  <si>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</si>
  <si>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</si>
  <si>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</si>
  <si>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</si>
  <si>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</si>
  <si>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</si>
  <si>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</si>
  <si>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</si>
  <si>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</si>
  <si>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</si>
  <si>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</si>
  <si>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</si>
  <si>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</si>
  <si>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</si>
  <si>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</si>
  <si>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</si>
  <si>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</si>
  <si>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</si>
  <si>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</si>
  <si>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</si>
  <si>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</si>
  <si>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</si>
  <si>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</si>
  <si>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</si>
  <si>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</si>
  <si>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</si>
  <si>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</si>
  <si>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</si>
  <si>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</si>
  <si>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</si>
  <si>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</si>
  <si>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</si>
  <si>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</si>
  <si>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</si>
  <si>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</si>
  <si>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</si>
  <si>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</si>
  <si>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</si>
  <si>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</si>
  <si>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</si>
  <si>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</si>
  <si>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</si>
  <si>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</si>
  <si>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</si>
  <si>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</si>
  <si>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</si>
  <si>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</si>
  <si>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</si>
  <si>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</si>
  <si>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</si>
  <si>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</si>
  <si>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</si>
  <si>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</si>
  <si>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</si>
  <si>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</si>
  <si>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</si>
  <si>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</si>
  <si>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</si>
  <si>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</si>
  <si>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</si>
  <si>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</si>
  <si>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</si>
  <si>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</si>
  <si>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</si>
  <si>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</si>
  <si>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</si>
  <si>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</si>
  <si>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</si>
  <si>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</si>
  <si>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</si>
  <si>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</si>
  <si>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</si>
  <si>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</si>
  <si>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</si>
  <si>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</si>
  <si>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</si>
  <si>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</si>
  <si>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</si>
  <si>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</si>
  <si>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</si>
  <si>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</si>
  <si>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</si>
  <si>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</si>
  <si>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</si>
  <si>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</si>
  <si>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</si>
  <si>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</si>
  <si>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</si>
  <si>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</si>
  <si>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</si>
  <si>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</si>
  <si>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</si>
  <si>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</si>
  <si>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</si>
  <si>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</si>
  <si>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</si>
  <si>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</si>
  <si>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</si>
  <si>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</si>
  <si>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</si>
  <si>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</si>
  <si>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</si>
  <si>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</si>
  <si>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</si>
  <si>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</si>
  <si>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</si>
  <si>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</si>
  <si>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</si>
  <si>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</si>
  <si>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</si>
  <si>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</si>
  <si>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</si>
  <si>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</si>
  <si>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</si>
  <si>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</si>
  <si>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</si>
  <si>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</si>
  <si>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</si>
  <si>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</si>
  <si>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</si>
  <si>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</si>
  <si>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</si>
  <si>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</si>
  <si>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</si>
  <si>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</si>
  <si>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</si>
  <si>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</si>
  <si>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</si>
  <si>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</si>
  <si>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</si>
  <si>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</si>
  <si>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</si>
  <si>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</si>
  <si>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</si>
  <si>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</si>
  <si>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</si>
  <si>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</si>
  <si>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</si>
  <si>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</si>
  <si>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</si>
  <si>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</si>
  <si>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</si>
  <si>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</si>
  <si>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</si>
  <si>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</si>
  <si>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</si>
  <si>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</si>
  <si>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</si>
  <si>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</si>
  <si>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</si>
  <si>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</si>
  <si>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</si>
  <si>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</si>
  <si>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</si>
  <si>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</si>
  <si>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</si>
  <si>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</si>
  <si>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</si>
  <si>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</si>
  <si>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</si>
  <si>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</si>
  <si>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</si>
  <si>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</si>
  <si>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</si>
  <si>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</si>
  <si>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</si>
  <si>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</si>
  <si>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</si>
  <si>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</si>
  <si>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</si>
  <si>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</si>
  <si>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</si>
  <si>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</si>
  <si>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</si>
  <si>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</si>
  <si>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</si>
  <si>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</si>
  <si>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</si>
  <si>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</si>
  <si>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</si>
  <si>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</si>
  <si>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</si>
  <si>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</si>
  <si>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</si>
  <si>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</si>
  <si>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</si>
  <si>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</si>
  <si>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</si>
  <si>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</si>
  <si>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</si>
  <si>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</si>
  <si>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</si>
  <si>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</si>
  <si>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</si>
  <si>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</si>
  <si>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</si>
  <si>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</si>
  <si>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</si>
  <si>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</si>
  <si>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</si>
  <si>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</si>
  <si>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</si>
  <si>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</si>
  <si>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</si>
  <si>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</si>
  <si>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</si>
  <si>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</si>
  <si>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</si>
  <si>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</si>
  <si>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</si>
  <si>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</si>
  <si>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</si>
  <si>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</si>
  <si>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</si>
  <si>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</si>
  <si>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</si>
  <si>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</si>
  <si>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</si>
  <si>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</si>
  <si>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</si>
  <si>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</si>
  <si>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</si>
  <si>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</si>
  <si>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</si>
  <si>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</si>
  <si>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</si>
  <si>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</si>
  <si>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</si>
  <si>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</si>
  <si>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</si>
  <si>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</si>
  <si>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</si>
  <si>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</si>
  <si>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</si>
  <si>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</si>
  <si>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</si>
  <si>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</si>
  <si>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</si>
  <si>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</si>
  <si>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</si>
  <si>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</si>
  <si>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</si>
  <si>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</si>
  <si>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</si>
  <si>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</si>
  <si>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</si>
  <si>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</si>
  <si>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</si>
  <si>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</si>
  <si>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</si>
  <si>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</si>
  <si>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</si>
  <si>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</si>
  <si>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</si>
  <si>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</si>
  <si>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</si>
  <si>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</si>
  <si>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</si>
  <si>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</si>
  <si>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</si>
  <si>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</si>
  <si>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</si>
  <si>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</si>
  <si>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</si>
  <si>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</si>
  <si>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</si>
  <si>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</si>
  <si>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</si>
  <si>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</si>
  <si>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</si>
  <si>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</si>
  <si>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</si>
  <si>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</si>
  <si>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</si>
  <si>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</si>
  <si>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</si>
  <si>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</si>
  <si>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</si>
  <si>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</si>
  <si>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</si>
  <si>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</si>
  <si>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</si>
  <si>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</si>
  <si>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</si>
  <si>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</si>
  <si>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</si>
  <si>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</si>
  <si>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</si>
  <si>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</si>
  <si>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</si>
  <si>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</si>
  <si>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</si>
  <si>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</si>
  <si>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</si>
  <si>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</si>
  <si>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</si>
  <si>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</si>
  <si>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</si>
  <si>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</si>
  <si>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</si>
  <si>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</si>
  <si>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</si>
  <si>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</si>
  <si>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</si>
  <si>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</si>
  <si>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</si>
  <si>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</si>
  <si>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</si>
  <si>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</si>
  <si>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</si>
  <si>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</si>
  <si>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</si>
  <si>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</si>
  <si>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</si>
  <si>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</si>
  <si>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</si>
  <si>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</si>
  <si>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</si>
  <si>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</si>
  <si>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</si>
  <si>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</si>
  <si>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</si>
  <si>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</si>
  <si>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</si>
  <si>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</si>
  <si>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</si>
  <si>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</si>
  <si>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</si>
  <si>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</si>
  <si>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</si>
  <si>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</si>
  <si>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</si>
  <si>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</si>
  <si>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</si>
  <si>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</si>
  <si>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</si>
  <si>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</si>
  <si>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</si>
  <si>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</si>
  <si>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</si>
  <si>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</si>
  <si>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</si>
  <si>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</si>
  <si>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</si>
  <si>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</si>
  <si>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</si>
  <si>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</si>
  <si>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</si>
  <si>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</si>
  <si>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</si>
  <si>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</si>
  <si>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</si>
  <si>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</si>
  <si>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</si>
  <si>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</si>
  <si>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</si>
  <si>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</si>
  <si>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</si>
  <si>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</si>
  <si>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</si>
  <si>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</si>
  <si>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</si>
  <si>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</si>
  <si>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</si>
  <si>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</si>
  <si>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</si>
  <si>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</si>
  <si>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</si>
  <si>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</si>
  <si>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</si>
  <si>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</si>
  <si>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</si>
  <si>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</si>
  <si>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</si>
  <si>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</si>
  <si>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</si>
  <si>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</si>
  <si>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</si>
  <si>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</si>
  <si>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</si>
  <si>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</si>
  <si>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</si>
  <si>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</si>
  <si>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</si>
  <si>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</si>
  <si>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</si>
  <si>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</si>
  <si>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</si>
  <si>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</si>
  <si>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</si>
  <si>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</si>
  <si>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</si>
  <si>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</si>
  <si>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</si>
  <si>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</si>
  <si>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</si>
  <si>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</si>
  <si>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</si>
  <si>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</si>
  <si>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</si>
  <si>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</si>
  <si>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</si>
  <si>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</si>
  <si>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</si>
  <si>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</si>
  <si>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</si>
  <si>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</si>
  <si>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</si>
  <si>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</si>
  <si>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</si>
  <si>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</si>
  <si>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</si>
  <si>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</si>
  <si>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</si>
  <si>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</si>
  <si>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</si>
  <si>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</si>
  <si>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</si>
  <si>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</si>
  <si>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</si>
  <si>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</si>
  <si>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</si>
  <si>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</si>
  <si>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</si>
  <si>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</si>
  <si>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</si>
  <si>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</si>
  <si>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</si>
  <si>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</si>
  <si>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</si>
  <si>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</si>
  <si>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</si>
  <si>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</si>
  <si>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</si>
  <si>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</si>
  <si>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</si>
  <si>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</si>
  <si>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</si>
  <si>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</si>
  <si>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</si>
  <si>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</si>
  <si>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</si>
  <si>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</si>
  <si>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</si>
  <si>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</si>
  <si>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</si>
  <si>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</si>
  <si>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</si>
  <si>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</si>
  <si>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</si>
  <si>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</si>
  <si>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</si>
  <si>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</si>
  <si>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</si>
  <si>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</si>
  <si>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</si>
  <si>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</si>
  <si>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</si>
  <si>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</si>
  <si>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</si>
  <si>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</si>
  <si>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</si>
  <si>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</si>
  <si>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</si>
  <si>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</si>
  <si>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</si>
  <si>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</si>
  <si>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</si>
  <si>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</si>
  <si>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</si>
  <si>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</si>
  <si>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</si>
  <si>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</si>
  <si>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</si>
  <si>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</si>
  <si>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</si>
  <si>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</si>
  <si>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</si>
  <si>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</si>
  <si>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</si>
  <si>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</si>
  <si>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</si>
  <si>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</si>
  <si>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</si>
  <si>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</si>
  <si>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</si>
  <si>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</si>
  <si>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</si>
  <si>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</si>
  <si>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</si>
  <si>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</si>
  <si>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</si>
  <si>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</si>
  <si>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</si>
  <si>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</si>
  <si>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</si>
  <si>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</si>
  <si>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</si>
  <si>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</si>
  <si>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</si>
  <si>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</si>
  <si>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</si>
  <si>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</si>
  <si>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</si>
  <si>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</si>
  <si>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</si>
  <si>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</si>
  <si>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</si>
  <si>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</si>
  <si>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</si>
  <si>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</si>
  <si>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</si>
  <si>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</si>
  <si>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</si>
  <si>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</si>
  <si>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</si>
  <si>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</si>
  <si>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</si>
  <si>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</si>
  <si>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</si>
  <si>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</si>
  <si>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</si>
  <si>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</si>
  <si>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</si>
  <si>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</si>
  <si>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</si>
  <si>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</si>
  <si>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</si>
  <si>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</si>
  <si>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</si>
  <si>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</si>
  <si>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</si>
  <si>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</si>
  <si>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</si>
  <si>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</si>
  <si>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</si>
  <si>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</si>
  <si>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</si>
  <si>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</si>
  <si>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</si>
  <si>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</si>
  <si>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</si>
  <si>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</si>
  <si>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</si>
  <si>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</si>
  <si>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</si>
  <si>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</si>
  <si>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</si>
  <si>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</si>
  <si>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</si>
  <si>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</si>
  <si>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</si>
  <si>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</si>
  <si>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</si>
  <si>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</si>
  <si>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</si>
  <si>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</si>
  <si>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</si>
  <si>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</si>
  <si>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</si>
  <si>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</si>
  <si>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</si>
  <si>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</si>
  <si>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</si>
  <si>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</si>
  <si>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</si>
  <si>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</si>
  <si>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</si>
  <si>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</si>
  <si>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</si>
  <si>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</si>
  <si>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</si>
  <si>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</si>
  <si>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</si>
  <si>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</si>
  <si>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</si>
  <si>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</si>
  <si>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</si>
  <si>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</si>
  <si>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Select the tech by typing in 1 in column H (Select tech). Type in the hour at which you want to manage that tech.</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</si>
  <si>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</si>
  <si>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</si>
  <si>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</si>
  <si>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</si>
  <si>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</si>
  <si>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</si>
  <si>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</si>
  <si>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</si>
  <si>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</si>
  <si>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</si>
  <si>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</si>
  <si>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</si>
  <si>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</si>
  <si>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</si>
  <si>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</si>
  <si>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</si>
  <si>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</si>
  <si>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</si>
  <si>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</si>
  <si>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</si>
  <si>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</si>
  <si>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</si>
  <si>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</si>
  <si>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</si>
  <si>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</si>
  <si>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</si>
  <si>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</si>
  <si>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</si>
  <si>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</si>
  <si>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</si>
  <si>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</si>
  <si>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</si>
  <si>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</si>
  <si>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</si>
  <si>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</si>
  <si>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</si>
  <si>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</si>
  <si>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</si>
  <si>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</si>
  <si>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</si>
  <si>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</si>
  <si>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</si>
  <si>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</si>
  <si>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</si>
  <si>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</si>
  <si>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</si>
  <si>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</si>
  <si>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</si>
  <si>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</si>
  <si>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</si>
  <si>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</si>
  <si>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</si>
  <si>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</si>
  <si>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</si>
  <si>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</si>
  <si>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</si>
  <si>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</si>
  <si>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</si>
  <si>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</si>
  <si>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</si>
  <si>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</si>
  <si>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</si>
  <si>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</si>
  <si>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</si>
  <si>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OD Round 24</t>
  </si>
  <si>
    <t>raw mana prod, +2 per war dec (max 2)</t>
  </si>
  <si>
    <t xml:space="preserve"> food production, -12.5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</si>
</sst>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2">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22" fillId="12" borderId="0" xfId="0" applyFont="1" applyFill="1" applyBorder="1" applyAlignment="1"/>
    <xf numFmtId="0" fontId="3" fillId="0" borderId="0"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19" dataDxfId="918">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7">
      <calculatedColumnFormula>_xlfn.SINGLE(INDEX(TblRaces[],MATCH(race,TblRaces[Race],0),4))</calculatedColumnFormula>
    </tableColumn>
    <tableColumn id="2" xr3:uid="{00000000-0010-0000-0000-000002000000}" name="Offense" dataDxfId="916">
      <calculatedColumnFormula>_xlfn.IFNA(INDEX(TblRaces[],MATCH(TblUnits[[#This Row],[Unit Names]],TblRaces[Unitname],0),5),"")</calculatedColumnFormula>
    </tableColumn>
    <tableColumn id="3" xr3:uid="{00000000-0010-0000-0000-000003000000}" name="Defense" dataDxfId="915">
      <calculatedColumnFormula>_xlfn.IFNA(INDEX(TblRaces[],MATCH(TblUnits[[#This Row],[Unit Names]],TblRaces[Unitname],0),6),"")</calculatedColumnFormula>
    </tableColumn>
    <tableColumn id="4" xr3:uid="{00000000-0010-0000-0000-000004000000}" name="Platinum" dataDxfId="914">
      <calculatedColumnFormula>_xlfn.IFNA(INDEX(TblRaces[],MATCH(TblUnits[[#This Row],[Unit Names]],TblRaces[Unitname],0),7),"")</calculatedColumnFormula>
    </tableColumn>
    <tableColumn id="5" xr3:uid="{00000000-0010-0000-0000-000005000000}" name="Ore" dataDxfId="913">
      <calculatedColumnFormula>_xlfn.IFNA(INDEX(TblRaces[],MATCH(TblUnits[[#This Row],[Unit Names]],TblRaces[Unitname],0),8),"")</calculatedColumnFormula>
    </tableColumn>
    <tableColumn id="6" xr3:uid="{00000000-0010-0000-0000-000006000000}" name="Networth" dataDxfId="912">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1" dataDxfId="909" headerRowBorderDxfId="910" tableBorderDxfId="908">
  <autoFilter ref="H14:I31" xr:uid="{6EDA5300-DB26-4799-A5D1-5432AC102827}">
    <filterColumn colId="0" hiddenButton="1"/>
    <filterColumn colId="1" hiddenButton="1"/>
  </autoFilter>
  <tableColumns count="2">
    <tableColumn id="1" xr3:uid="{C93253AD-A598-462C-985D-E538FB5404AF}" name="Race Bonuses" dataDxfId="907"/>
    <tableColumn id="2" xr3:uid="{7301230A-1354-4459-BA19-9D8AE9608978}" name="Bonus" dataDxfId="906"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05" dataDxfId="904" tableBorderDxfId="903">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2"/>
    <tableColumn id="2" xr3:uid="{F7BA9D3F-F979-435F-AF55-B8562C7F08C8}" name=" " dataDxfId="901"/>
    <tableColumn id="3" xr3:uid="{C661B1D0-1EAD-42B7-889A-9265EA75CB1D}" name="Offense" dataDxfId="900"/>
    <tableColumn id="4" xr3:uid="{594F8FE6-285D-432D-AB90-DE26655C8963}" name="Bonus" dataDxfId="899"/>
    <tableColumn id="5" xr3:uid="{1A4EBEB0-1016-4D5D-920D-08D8AD7AFC97}" name="OP Mod" dataDxfId="898"/>
    <tableColumn id="6" xr3:uid="{0A455978-2417-4AD7-8969-95433ADAC6F4}" name="Defense" dataDxfId="897"/>
    <tableColumn id="7" xr3:uid="{3C4FEC10-2BEB-4EC0-AA98-F67CC8DBE5B5}" name="DP Bonus" dataDxfId="896"/>
    <tableColumn id="8" xr3:uid="{9CE669CC-5E7B-4E7B-8FFE-265EB626E935}" name="DP Mod" dataDxfId="895"/>
    <tableColumn id="9" xr3:uid="{7DE0C022-18E9-48B5-8835-9B63E8CC1CDF}" name="." dataDxfId="89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893" dataDxfId="891" headerRowBorderDxfId="892" tableBorderDxfId="890">
  <autoFilter ref="H46:J50" xr:uid="{86CCA094-2F84-4D6A-BB34-AED37B4839D4}">
    <filterColumn colId="0" hiddenButton="1"/>
    <filterColumn colId="1" hiddenButton="1"/>
    <filterColumn colId="2" hiddenButton="1"/>
  </autoFilter>
  <tableColumns count="3">
    <tableColumn id="1" xr3:uid="{E0152EC7-4145-4063-BAB4-B6301A014F4B}" name="Type" dataDxfId="889"/>
    <tableColumn id="2" xr3:uid="{FAE1A1FE-F8EC-48F0-A8AF-ADF4B1F44E93}" name="Raw" dataDxfId="888"/>
    <tableColumn id="3" xr3:uid="{AFD4C97E-F124-4CC9-8087-32A6EB65C3D5}" name="Modded" dataDxfId="88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86" dataDxfId="884" headerRowBorderDxfId="885" tableBorderDxfId="883">
  <autoFilter ref="H53:J56" xr:uid="{4A95BFF0-5AE4-4064-BA31-9F687E8E34BD}">
    <filterColumn colId="0" hiddenButton="1"/>
    <filterColumn colId="1" hiddenButton="1"/>
    <filterColumn colId="2" hiddenButton="1"/>
  </autoFilter>
  <tableColumns count="3">
    <tableColumn id="1" xr3:uid="{ACCDFB1C-E1AE-4F10-BB67-59F2B9780D01}" name="Hour" dataDxfId="882"/>
    <tableColumn id="2" xr3:uid="{277A266C-0AEF-4864-99C7-1E807FF68978}" name="Amount" dataDxfId="881"/>
    <tableColumn id="3" xr3:uid="{DD724D20-8039-4E15-A45D-F535D999ED97}" name="Without Training" dataDxfId="88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79" dataDxfId="878" totalsRowDxfId="876" tableBorderDxfId="877">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75" totalsRowDxfId="874"/>
    <tableColumn id="2" xr3:uid="{739DBC51-BC77-4631-B107-088DC25245EB}" name="Amount" totalsRowFunction="sum" dataDxfId="873" totalsRowDxfId="872"/>
    <tableColumn id="3" xr3:uid="{41BF49B0-731E-480A-A25D-802B4380182E}" name="Relative" totalsRowFunction="custom" totalsRowDxfId="87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0" dataDxfId="869" tableBorderDxfId="868">
  <autoFilter ref="D45:F68" xr:uid="{6C8ACB43-975F-416A-A510-CF883452891C}">
    <filterColumn colId="0" hiddenButton="1"/>
    <filterColumn colId="1" hiddenButton="1"/>
    <filterColumn colId="2" hiddenButton="1"/>
  </autoFilter>
  <tableColumns count="3">
    <tableColumn id="1" xr3:uid="{97F6A0D7-4C71-45E8-A9DA-F3DBEC3693D1}" name="Acres" dataDxfId="867"/>
    <tableColumn id="2" xr3:uid="{70370623-AE12-4AC1-B3BC-5FA6F33097E0}" name=" " dataDxfId="866"/>
    <tableColumn id="3" xr3:uid="{76F2AA18-B160-4225-A8AB-03D1370169AB}" name="   " dataDxfId="86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4" dataDxfId="862" headerRowBorderDxfId="863" tableBorderDxfId="861">
  <autoFilter ref="D14:E18" xr:uid="{AF658822-94AE-4FD8-9D6D-E660E1B5C629}">
    <filterColumn colId="0" hiddenButton="1"/>
    <filterColumn colId="1" hiddenButton="1"/>
  </autoFilter>
  <tableColumns count="2">
    <tableColumn id="1" xr3:uid="{EFD90BA2-CBAC-4BDB-9434-40FB9C2485F4}" name="Date&amp;Time" dataDxfId="860"/>
    <tableColumn id="2" xr3:uid="{CCEF9A0F-7383-4941-A440-9E2452942487}" name="." dataDxfId="85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2" dataDxfId="851" totalsRowDxfId="85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49" totalsRowDxfId="848">
      <calculatedColumnFormula>TblRezone[[#This Row],[Hour]]</calculatedColumnFormula>
    </tableColumn>
    <tableColumn id="2" xr3:uid="{7657952B-D9DB-46FC-BD8D-612DECDC04FD}" name="Time" dataDxfId="847" totalsRowDxfId="846">
      <calculatedColumnFormula>TblImps[[#This Row],[Time]]</calculatedColumnFormula>
    </tableColumn>
    <tableColumn id="3" xr3:uid="{767542B9-4E58-42E2-85BA-5C1DB6108363}" name="Peasants" dataDxfId="845" totalsRowDxfId="844">
      <calculatedColumnFormula>OFFSET(TblPop[[#This Row],[Peasants]],-1,0)+OFFSET(TblPop[[#This Row],[Net Peasant]],-1,0)+TblMili[[#This Row],[Release Draft]]</calculatedColumnFormula>
    </tableColumn>
    <tableColumn id="4" xr3:uid="{F5DC2705-5767-4AD0-A2E0-E36086D164C0}" name="Military" dataDxfId="843" totalsRowDxfId="842">
      <calculatedColumnFormula>TblMili[[#This Row],[Military]]</calculatedColumnFormula>
    </tableColumn>
    <tableColumn id="5" xr3:uid="{57E397CE-6C2C-48AE-9B2E-52E14099EAFC}" name="Draftees" dataDxfId="841" totalsRowDxfId="840">
      <calculatedColumnFormula>TblMili[[#This Row],[Draftees]]</calculatedColumnFormula>
    </tableColumn>
    <tableColumn id="6" xr3:uid="{7339086D-8AEE-45A5-B78D-EA6FDBA34E10}" name="Total" dataDxfId="839" totalsRowDxfId="838">
      <calculatedColumnFormula>TblPop[[#This Row],[Peasants]]+TblPop[[#This Row],[Military]]</calculatedColumnFormula>
    </tableColumn>
    <tableColumn id="7" xr3:uid="{75D92B6D-F4CA-42F7-80B3-4BF8A336E69C}" name="Military%" dataDxfId="837" totalsRowDxfId="836" dataCellStyle="Percent">
      <calculatedColumnFormula>TblPop[[#This Row],[Military]]/TblPop[[#This Row],[Total]]</calculatedColumnFormula>
    </tableColumn>
    <tableColumn id="8" xr3:uid="{257C6438-3205-4A45-9F91-ACD066CD59E8}" name="Employed" dataDxfId="835" totalsRowDxfId="834" dataCellStyle="Percent">
      <calculatedColumnFormula>MIN(TblPop[[#This Row],[Peasants]],TblPop[[#This Row],[Jobs]])</calculatedColumnFormula>
    </tableColumn>
    <tableColumn id="9" xr3:uid="{B05B6937-2C12-476B-B555-2A8ED6FF34EF}" name="Employment" dataDxfId="833" totalsRowDxfId="832" dataCellStyle="Percent">
      <calculatedColumnFormula>MIN(OFFSET(TblPop[[#This Row],[Jobs]],1,0)/TblPop[[#This Row],[Peasants]],1)</calculatedColumnFormula>
    </tableColumn>
    <tableColumn id="10" xr3:uid="{AD7F9BB7-A630-4BBB-AFEA-37B907196778}" name="Jobs" dataDxfId="831" totalsRowDxfId="83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29" totalsRowDxfId="828" dataCellStyle="Percent"/>
    <tableColumn id="12" xr3:uid="{2EEFBFF9-40A4-412F-8FEC-C2F4799A06E6}" name=" Draftees" dataDxfId="827" totalsRowDxfId="826">
      <calculatedColumnFormula>TblPop[[#This Row],[Draftees]]</calculatedColumnFormula>
    </tableColumn>
    <tableColumn id="13" xr3:uid="{43729A62-E847-4DBB-BC42-62B1FB3DA7A5}" name="Unit 1" dataDxfId="825" totalsRowDxfId="824">
      <calculatedColumnFormula>TblMili[[#This Row],[Unit 1]]</calculatedColumnFormula>
    </tableColumn>
    <tableColumn id="14" xr3:uid="{C7A024F4-2376-4871-897D-90BEBEBC78B7}" name="Unit 2" dataDxfId="823" totalsRowDxfId="822">
      <calculatedColumnFormula>TblMili[[#This Row],[Unit 2]]</calculatedColumnFormula>
    </tableColumn>
    <tableColumn id="15" xr3:uid="{93EC8730-4D26-4E19-ADAA-3ED5C943F257}" name="Unit 3" dataDxfId="821" totalsRowDxfId="820">
      <calculatedColumnFormula>TblMili[[#This Row],[Unit 3]]</calculatedColumnFormula>
    </tableColumn>
    <tableColumn id="16" xr3:uid="{1A382ACC-9ED2-4A5E-BEE3-781B1DBCF186}" name="Unit 4" dataDxfId="819" totalsRowDxfId="818">
      <calculatedColumnFormula>TblMili[[#This Row],[Unit 4]]</calculatedColumnFormula>
    </tableColumn>
    <tableColumn id="17" xr3:uid="{491D1C19-D1B1-48C7-8FC6-BE77B7CD2635}" name="Spies" dataDxfId="817" totalsRowDxfId="816">
      <calculatedColumnFormula>TblMili[[#This Row],[Spies]]</calculatedColumnFormula>
    </tableColumn>
    <tableColumn id="18" xr3:uid="{1AF95FC5-21CD-41AC-A69F-CF5E9AF4AB85}" name="Wizards" dataDxfId="815" totalsRowDxfId="814">
      <calculatedColumnFormula>TblMili[[#This Row],[Wizards]]</calculatedColumnFormula>
    </tableColumn>
    <tableColumn id="19" xr3:uid="{C157D21E-FD58-4F24-A070-1819A7E2DA97}" name="Archmage" dataDxfId="813" totalsRowDxfId="812">
      <calculatedColumnFormula>TblMili[[#This Row],[Archmages]]</calculatedColumnFormula>
    </tableColumn>
    <tableColumn id="20" xr3:uid="{6BBFB632-E92F-4F29-AE3D-534C8288C615}" name=".." dataDxfId="811" totalsRowDxfId="810"/>
    <tableColumn id="21" xr3:uid="{59CAD00B-A8EE-455B-A015-E17ADF56A7B2}" name="Net max" dataDxfId="809" totalsRowDxfId="808">
      <calculatedColumnFormula>ROUND(TblPop[[#This Row],[Raw max]]*(1+TblPop[[#This Row],[Max pop]]),0)+MIN(TblPop[[#This Row],[Military]]-TblPop[[#This Row],[Draftees]]-SUM(TblMili[[#This Row],[Train Unit 1]:[Train Arch]]),(barracks_size + tech_8_3*TblTech[[#This Row],[8-3]])*TblConstr[[#This Row],[Tot Bar]])</calculatedColumnFormula>
    </tableColumn>
    <tableColumn id="22" xr3:uid="{B78869DE-CFE3-4F3A-B8C6-9B9A53295B32}" name="Raw max" dataDxfId="807" totalsRowDxfId="80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5" totalsRowDxfId="80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3" totalsRowDxfId="802">
      <calculatedColumnFormula>ROUND(TblPop[[#This Row],[Raw Birth]]*(1+TblPop[[#This Row],[Growth]]),0)</calculatedColumnFormula>
    </tableColumn>
    <tableColumn id="25" xr3:uid="{26E60E7F-6DA3-49EF-99E8-26A0DAD2D630}" name="Raw Birth" dataDxfId="801" totalsRowDxfId="800">
      <calculatedColumnFormula>(TblPop[[#This Row],[Peasants]]-TblPop[[#This Row],[Draft Growth]])*raw_pop_growth</calculatedColumnFormula>
    </tableColumn>
    <tableColumn id="26" xr3:uid="{6E1274BE-772F-4747-A295-D51601B4FE11}" name="Draft Growth" dataDxfId="799" totalsRowDxfId="798">
      <calculatedColumnFormula>IF(TblPop[[#This Row],[Military%]]&lt;TblMili[[#This Row],[Draftrate]],ROUND(TblPop[[#This Row],[Peasants]]*Constants!$B$52,0), 0)</calculatedColumnFormula>
    </tableColumn>
    <tableColumn id="27" xr3:uid="{858CE2A0-AC9E-46FE-9A70-AED1578889CB}" name="...." dataDxfId="797" totalsRowDxfId="796"/>
    <tableColumn id="28" xr3:uid="{B271B9C7-94D1-498F-9FBB-69DF5F1BCE3F}" name="Growth" dataDxfId="795" totalsRowDxfId="794" dataCellStyle="Percent">
      <calculatedColumnFormula>Overview!$I$16 + IF(Magic!AD4&gt;0,Constants!$F$76) + ROUND(6*(Construction!BM5+Construction!CK4)/IF(Explore!S5&gt;0,Construction!F5-20,Construction!F5),4) + tech_6_5_2*Techs!BJ4 + tech_8_4*Techs!BT4</calculatedColumnFormula>
    </tableColumn>
    <tableColumn id="29" xr3:uid="{4E692113-E2CA-4AEB-9E48-68D7C08F24E9}" name="Max pop" totalsRowFunction="sum" dataDxfId="793" totalsRowDxfId="792"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3" dataDxfId="781" headerRowBorderDxfId="782" tableBorderDxfId="78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79"/>
    <tableColumn id="2" xr3:uid="{A509F8BB-FCD1-4951-8F3F-2AE2B32FB91D}" name="Time" dataDxfId="778">
      <calculatedColumnFormula>TblImps[[#This Row],[Time]]</calculatedColumnFormula>
    </tableColumn>
    <tableColumn id="3" xr3:uid="{BD173BCD-6C73-484D-BDFC-2CBFE8B32234}" name="Plat Bonus" dataDxfId="777"/>
    <tableColumn id="4" xr3:uid="{9A9B3DEC-EBEC-4801-BF4F-F90BBBCDF331}" name="." dataDxfId="776"/>
    <tableColumn id="5" xr3:uid="{6F9B5905-FA1D-4099-B9CC-6BE237355D58}" name="Land" dataDxfId="775">
      <calculatedColumnFormula>TblConstr[[#This Row],[Land]]</calculatedColumnFormula>
    </tableColumn>
    <tableColumn id="6" xr3:uid="{5ADA8DA4-36DC-4D4F-AE4E-76BDD26AF270}" name="Peasants" dataDxfId="774">
      <calculatedColumnFormula>TblPop[[#This Row],[Peasants]]</calculatedColumnFormula>
    </tableColumn>
    <tableColumn id="7" xr3:uid="{EE7F0FC7-4D30-4144-88EE-9A05AD7BF609}" name="Networth" dataDxfId="773">
      <calculatedColumnFormula>TblMili[[#This Row],[Networth (2)]]</calculatedColumnFormula>
    </tableColumn>
    <tableColumn id="8" xr3:uid="{F7B8E7A7-7AD4-4D83-8297-946670C39E55}" name="Platinum" dataDxfId="77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69">
      <calculatedColumnFormula>OFFSET(TblProd[[#This Row],[Mana]],-1,0)+OFFSET(TblProd[[#This Row],[Mana/hr]],-1,0)- TblProd[[#This Row],[Expenses Mana]]</calculatedColumnFormula>
    </tableColumn>
    <tableColumn id="12" xr3:uid="{C80C4246-7273-429F-BE79-86B1B4181061}" name="Ore" dataDxfId="768">
      <calculatedColumnFormula>OFFSET(TblProd[[#This Row],[Ore]],-1,0)+OFFSET(TblProd[[#This Row],[Ore/hr]],-1,0) -TblProd[[#This Row],[Expenses Ore]]</calculatedColumnFormula>
    </tableColumn>
    <tableColumn id="13" xr3:uid="{4174B9D9-5881-42F2-A514-2A7372C2B486}" name="Gems" dataDxfId="767">
      <calculatedColumnFormula>OFFSET(TblProd[[#This Row],[Gems]],-1,0)+OFFSET(TblProd[[#This Row],[Gems/hr]],-1,0) - TblProd[[#This Row],[Expenses Gems]]</calculatedColumnFormula>
    </tableColumn>
    <tableColumn id="14" xr3:uid="{C9DF5508-173B-4E9B-BD32-3313FC0AECA9}" name="Boats" dataDxfId="766">
      <calculatedColumnFormula>OFFSET(TblProd[[#This Row],[Boats]],-1,0)+OFFSET(TblProd[[#This Row],[Boats/hr]],-1,0)</calculatedColumnFormula>
    </tableColumn>
    <tableColumn id="15" xr3:uid="{C2EE37F5-4C79-4BD9-BE97-5B3BBB490CD3}" name="Prestige" dataDxfId="765">
      <calculatedColumnFormula>OFFSET(TblProd[[#This Row],[Prestige]],-1,0)</calculatedColumnFormula>
    </tableColumn>
    <tableColumn id="16" xr3:uid="{5EEA2772-71AB-4FF8-BF5F-D1D5B4044943}" name="Techpoints" dataDxfId="76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3"/>
    <tableColumn id="18" xr3:uid="{BC60D6AE-146D-440E-93B9-050DE2CAED7A}" name=".." dataDxfId="762"/>
    <tableColumn id="19" xr3:uid="{F7A6187F-1DDE-45C0-B221-8BA0937C4E35}" name="Plat/hr" dataDxfId="761">
      <calculatedColumnFormula>ROUNDDOWN(TblProd[[#This Row],[Raw Plat/hr]]*(1+TblProd[[#This Row],[Bonus Plat/hr]]),0)</calculatedColumnFormula>
    </tableColumn>
    <tableColumn id="20" xr3:uid="{EBA5F35A-607A-475E-9357-98AF551D44A6}" name="Food/hr" dataDxfId="760">
      <calculatedColumnFormula>ROUND(TblProd[[#This Row],[Raw Food/hr]]*(1+TblProd[[#This Row],[Bonus Food/hr]])-TblProd[[#This Row],[Food decay]]-TblProd[[#This Row],[Food eaten]],0)</calculatedColumnFormula>
    </tableColumn>
    <tableColumn id="21" xr3:uid="{D75AA2A6-F107-4144-8A7D-4BE575236288}" name="Lumber/hr" dataDxfId="759">
      <calculatedColumnFormula>ROUND(TblProd[[#This Row],[Raw Lumber/hr]]*(1+TblProd[[#This Row],[Bonus Lumber/hr]])-TblProd[[#This Row],[Lumber rot]],0)</calculatedColumnFormula>
    </tableColumn>
    <tableColumn id="22" xr3:uid="{4AA82FE8-7AD6-4F9E-B8A1-627CE2E70CE0}" name="Mana/hr" dataDxfId="758">
      <calculatedColumnFormula>ROUND(TblProd[[#This Row],[Raw Mana/hr]]*(1+TblProd[[#This Row],[Bonus Mana/hr]])-TblProd[[#This Row],[Mana drain]],0)</calculatedColumnFormula>
    </tableColumn>
    <tableColumn id="23" xr3:uid="{86A49F4B-CDA3-4B61-B4D9-8830178E715E}" name="Ore/hr" dataDxfId="757">
      <calculatedColumnFormula>ROUNDDOWN(TblProd[[#This Row],[Raw Ore/hr]]*(1+TblProd[[#This Row],[Bonux Ore/hr]]),0)</calculatedColumnFormula>
    </tableColumn>
    <tableColumn id="24" xr3:uid="{F7C3BCF1-3F12-4405-8E19-ED1B9D20D049}" name="Gems/hr" dataDxfId="756">
      <calculatedColumnFormula>ROUNDDOWN(TblProd[[#This Row],[Raw Gems/hr]]*(1+TblProd[[#This Row],[Bonus Gems/hr]]),0)</calculatedColumnFormula>
    </tableColumn>
    <tableColumn id="25" xr3:uid="{E754A630-9007-4F8A-A8B7-C56609E09275}" name="Boats/hr" dataDxfId="755">
      <calculatedColumnFormula>OFFSET(TblConstr[[#This Row],[Tot Doc]],1,0)*dock_boats_hr * (1 + tech_4_1*TblTech[[#This Row],[4-1]])</calculatedColumnFormula>
    </tableColumn>
    <tableColumn id="26" xr3:uid="{8666710D-F3A4-4016-AA32-8D95B9BFFE3D}" name="…" dataDxfId="754"/>
    <tableColumn id="27" xr3:uid="{BE5DAA3C-8D26-4E0F-87D4-E9FE3E149040}" name="Raw Plat/hr" dataDxfId="753">
      <calculatedColumnFormula>TblPop[[#This Row],[Peasants]]*tax*TblPop[[#This Row],[Employment]] + (Construction!AZ5+Construction!BX5)*(alch_plat+(Magic!AL4&gt;0)*alchemist_flame_bonus)</calculatedColumnFormula>
    </tableColumn>
    <tableColumn id="28" xr3:uid="{72437831-3C94-4E01-9B66-637CE9F1FC37}" name="Raw Food/hr" dataDxfId="752">
      <calculatedColumnFormula>TblConstr[[#This Row],[Tot Farm]]*farm_food + TblConstr[[#This Row],[Tot Doc]]*dock_food</calculatedColumnFormula>
    </tableColumn>
    <tableColumn id="29" xr3:uid="{6327048A-17B4-47F0-A6D6-4DF606F8872E}" name="Raw Lumber/hr" dataDxfId="751">
      <calculatedColumnFormula>TblConstr[[#This Row],[Tot Ly]]*ly_lumber + TblConstr[[#This Row],[Tot Hav]]*fh_lumber</calculatedColumnFormula>
    </tableColumn>
    <tableColumn id="30" xr3:uid="{9564EF02-956D-4988-B195-94F7CC0C966B}" name="Raw Mana/hr" dataDxfId="750">
      <calculatedColumnFormula>OFFSET(TblConstr[[#This Row],[Tot Tow]],1,0)*(tower_mana + tech_4_5*TblTech[[#This Row],[4-5]])</calculatedColumnFormula>
    </tableColumn>
    <tableColumn id="31" xr3:uid="{1FCC3E78-11E8-4286-A9C0-F9F5FA32B54A}" name="Raw Ore/hr" dataDxfId="749">
      <calculatedColumnFormula>OFFSET(TblConstr[[#This Row],[Tot OM]],1,0)*om_ore+IF(race="Dwarf",ROUNDDOWN(TblMili[[#This Row],[Unit 2]]/2,0),)</calculatedColumnFormula>
    </tableColumn>
    <tableColumn id="32" xr3:uid="{8AFDB340-E76D-4906-8F67-515703AD5439}" name="Raw Gems/hr" dataDxfId="748">
      <calculatedColumnFormula>OFFSET(TblConstr[[#This Row],[Tot DM]],1,0)*dm_gems</calculatedColumnFormula>
    </tableColumn>
    <tableColumn id="33" xr3:uid="{E86B471A-FB4B-478C-B269-80AA28A99240}" name="...." dataDxfId="747"/>
    <tableColumn id="34" xr3:uid="{9F134F8D-9272-4F13-BEA1-036303BDF806}" name="Bonus Plat/hr" dataDxfId="746">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5">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3">
      <calculatedColumnFormula>race_mana_bonus+ 0 + TblImps[[#This Row],[Towers]] + tech_1_2*TblTech[[#This Row],[1-2]] + tech_3_4*TblTech[[#This Row],[3-4]]</calculatedColumnFormula>
    </tableColumn>
    <tableColumn id="38" xr3:uid="{86499F2E-9498-4D5B-8626-C51CB440415E}" name="Bonux Ore/hr" dataDxfId="74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1">
      <calculatedColumnFormula>race_gem_bonus+ tech_3_2*TblTech[[#This Row],[3-2]] + tech_4_3*TblTech[[#This Row],[4-3]] + tech_6_2*TblTech[[#This Row],[6-2]]</calculatedColumnFormula>
    </tableColumn>
    <tableColumn id="40" xr3:uid="{13CEE817-130E-4D49-8EA9-E724A91FD06F}" name="…." dataDxfId="740"/>
    <tableColumn id="41" xr3:uid="{6AD9C25C-A77A-4288-B914-DEAB151F3EBD}" name="Food decay" dataDxfId="739">
      <calculatedColumnFormula>TblProd[[#This Row],[Food]]*food_decay * (1 + tech_2_1*TblTech[[#This Row],[2-1]] + tech_2_8*TblTech[[#This Row],[2-8]])</calculatedColumnFormula>
    </tableColumn>
    <tableColumn id="42" xr3:uid="{B67A5DCA-7223-49B6-A0AC-BE56416DEAB6}" name="Food eaten" dataDxfId="738">
      <calculatedColumnFormula>(1+race_food_consumption)*TblPop[[#This Row],[Total]]*food_per_person*(1+tech_1_10*TblTech[[#This Row],[1-10]]+tech_7_5*TblTech[[#This Row],[7-5]])</calculatedColumnFormula>
    </tableColumn>
    <tableColumn id="43" xr3:uid="{2D142E97-FF43-492A-B271-A145B85E0BF3}" name="Lumber rot" dataDxfId="737">
      <calculatedColumnFormula>TblProd[[#This Row],[Lumber]]*lumber_rot * (1 + tech_2_1*TblTech[[#This Row],[2-1]] + tech_2_8*TblTech[[#This Row],[2-8]] + tech_5_2*TblTech[[#This Row],[5-2]])</calculatedColumnFormula>
    </tableColumn>
    <tableColumn id="44" xr3:uid="{B4C1A120-AC06-46C7-8824-18C19DD19A05}" name="Mana drain" dataDxfId="736">
      <calculatedColumnFormula>TblProd[[#This Row],[Mana]]*mana_drain * (1 + tech_2_1*TblTech[[#This Row],[2-1]] + tech_2_8*TblTech[[#This Row],[2-8]])</calculatedColumnFormula>
    </tableColumn>
    <tableColumn id="45" xr3:uid="{D3D223E8-8991-4557-84CB-F59345A9686F}" name="….." dataDxfId="735"/>
    <tableColumn id="46" xr3:uid="{0EFE67ED-4C56-4E46-B6BE-B5FAFB53783E}" name="Expenses Platinum" dataDxfId="73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3">
      <calculatedColumnFormula>TblConstr[[#This Row],[Total Lum Cost]]+TblImps[[#This Row],[L1]]-TblProd[[#This Row],[Bank Lumber]] + Military!$CH$25*TblMili[[#This Row],[Sec. rec. Cost]]</calculatedColumnFormula>
    </tableColumn>
    <tableColumn id="48" xr3:uid="{3C88EFC6-8DA5-40ED-A97A-2AAFD0B3B6AD}" name="Expenses Mana" dataDxfId="732">
      <calculatedColumnFormula>TblMagic[[#This Row],[Mana cost]] + Military!$CH$26*TblMili[[#This Row],[Sec. rec. Cost]]</calculatedColumnFormula>
    </tableColumn>
    <tableColumn id="49" xr3:uid="{1E4E3815-206F-4A61-AE33-CA14E995FDCB}" name="Expenses Ore" dataDxfId="731">
      <calculatedColumnFormula>Military!$CH$24*TblMili[[#This Row],[Sec. rec. Cost]]+TblImps[[#This Row],[O1]]-TblProd[[#This Row],[Bank Ore]]</calculatedColumnFormula>
    </tableColumn>
    <tableColumn id="50" xr3:uid="{8DF861B9-6D00-413F-82A6-CB9FB4344D68}" name="Expenses Gems" dataDxfId="730">
      <calculatedColumnFormula>TblImps[[#This Row],[G1]]-TblProd[[#This Row],[Bank Gems]]</calculatedColumnFormula>
    </tableColumn>
    <tableColumn id="51" xr3:uid="{B251D943-2DAF-44E5-BCC8-D6734C7115AC}" name="…..." dataDxfId="729"/>
    <tableColumn id="52" xr3:uid="{4B9E6D84-D900-4020-9F03-31B7E7CFFDDD}" name="Guard" dataDxfId="728">
      <calculatedColumnFormula>IF(TblProd[[#This Row],[Set Guard]]&lt;&gt;"",TblProd[[#This Row],[Set Guard]],OFFSET(TblProd[[#This Row],[Guard]],-1,0))</calculatedColumnFormula>
    </tableColumn>
    <tableColumn id="53" xr3:uid="{1F4E66ED-8544-4DEE-A238-E9BA6D663684}" name="Set Guard" dataDxfId="727"/>
    <tableColumn id="54" xr3:uid="{1D4B089E-CFD3-41C4-BDA0-74070303A629}" name="Hour (2)" dataDxfId="726">
      <calculatedColumnFormula>TblProd[[#This Row],[Hour]]</calculatedColumnFormula>
    </tableColumn>
    <tableColumn id="55" xr3:uid="{13D8CC8A-81E1-41BB-9F87-384EE02343C0}" name="Bank Plat" dataDxfId="725">
      <calculatedColumnFormula>-TblProd[[#This Row],[Bank Lumber]] / 2 + -TblProd[[#This Row],[Bank Gems]] * 2</calculatedColumnFormula>
    </tableColumn>
    <tableColumn id="56" xr3:uid="{41D3199A-B537-41B8-A35D-AB3FAE3A7763}" name="Bank Lumber" dataDxfId="724"/>
    <tableColumn id="57" xr3:uid="{F8C6B652-BED5-46E0-B507-4A728112F421}" name="Bank Ore" dataDxfId="723"/>
    <tableColumn id="58" xr3:uid="{0A836235-2002-4186-985F-CF495776E28E}" name="Bank Gems" dataDxfId="722"/>
    <tableColumn id="59" xr3:uid="{56B680F7-B10A-487B-B563-4297DE674256}" name="Time (2)" dataDxfId="721">
      <calculatedColumnFormula>TblProd[[#This Row],[Time]]</calculatedColumnFormula>
    </tableColumn>
    <tableColumn id="60" xr3:uid="{B3E3CCBD-6079-4735-A75E-072E37E0325B}" name="Ok?" dataDxfId="72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19">
      <calculatedColumnFormula>TblProd[[#This Row],[Platinum]]</calculatedColumnFormula>
    </tableColumn>
    <tableColumn id="62" xr3:uid="{BAE994A1-A5C4-42FD-B88E-93A7F2337723}" name="Stats Food" dataDxfId="718">
      <calculatedColumnFormula>TblProd[[#This Row],[Food]]</calculatedColumnFormula>
    </tableColumn>
    <tableColumn id="63" xr3:uid="{8FF996E7-6950-42AE-80FE-25BD3D3ADB81}" name="Stats Lumber" dataDxfId="717">
      <calculatedColumnFormula>TblProd[[#This Row],[Lumber]]</calculatedColumnFormula>
    </tableColumn>
    <tableColumn id="64" xr3:uid="{4E3282B4-65CE-45FC-B881-93C3F98E36E0}" name="Stats Mana" dataDxfId="716">
      <calculatedColumnFormula>TblProd[[#This Row],[Mana]]</calculatedColumnFormula>
    </tableColumn>
    <tableColumn id="65" xr3:uid="{C1490C22-CEF7-430F-B6CC-F7FDA2F90C17}" name="Stats Ore" dataDxfId="71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2" dataDxfId="700" totalsRowDxfId="698" headerRowBorderDxfId="701" tableBorderDxfId="69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7" totalsRowDxfId="696">
      <calculatedColumnFormula>TblRezone[[#This Row],[Hour]]</calculatedColumnFormula>
    </tableColumn>
    <tableColumn id="1" xr3:uid="{16A4A80A-781E-4E74-BC12-3B194ED2F6BF}" name="Barren" dataDxfId="695" totalsRowDxfId="694">
      <calculatedColumnFormula>SUM(TblConstr[[#This Row],[Plain]:[Water]])</calculatedColumnFormula>
    </tableColumn>
    <tableColumn id="2" xr3:uid="{F83194BF-B786-4A33-B371-25BE7289AC68}" name="Buildings" dataDxfId="693" totalsRowDxfId="692">
      <calculatedColumnFormula>SUM(TblConstr[[#This Row],[Tot Hom]:[Tot Doc]])</calculatedColumnFormula>
    </tableColumn>
    <tableColumn id="3" xr3:uid="{343846C5-19E9-4357-B5DD-B105ACEC8C2C}" name="Incoming" dataDxfId="691" totalsRowDxfId="690"/>
    <tableColumn id="4" xr3:uid="{A20911DB-7155-4794-AD46-07AAD44BDAFE}" name="." dataDxfId="689" totalsRowDxfId="688"/>
    <tableColumn id="5" xr3:uid="{279706A5-BDE6-4F21-9D4E-93DD796722CB}" name="Land" dataDxfId="687" totalsRowDxfId="686">
      <calculatedColumnFormula>TblConstr[[#This Row],[Barren]]+TblConstr[[#This Row],[Buildings]]+TblConstr[[#This Row],[Incoming]]</calculatedColumnFormula>
    </tableColumn>
    <tableColumn id="6" xr3:uid="{8D16C913-6FBB-42B5-890E-7AA3F7D780F3}" name="Plain" dataDxfId="685" totalsRowDxfId="684">
      <calculatedColumnFormula>OFFSET(TblConstr[[#This Row],[Plain]],-1,0)+TblConstr[[#This Row],[Ch_Plain]]</calculatedColumnFormula>
    </tableColumn>
    <tableColumn id="7" xr3:uid="{ECABDC59-2CFA-4924-832F-64BD947684FE}" name="Forest" dataDxfId="683" totalsRowDxfId="682">
      <calculatedColumnFormula>OFFSET(TblConstr[[#This Row],[Forest]],-1,0)+TblConstr[[#This Row],[Ch_Forest]]</calculatedColumnFormula>
    </tableColumn>
    <tableColumn id="8" xr3:uid="{AD888BC9-7B2A-431B-912B-F76B183C4BC2}" name="Mountain" dataDxfId="681" totalsRowDxfId="680">
      <calculatedColumnFormula>OFFSET(TblConstr[[#This Row],[Mountain]],-1,0)+TblConstr[[#This Row],[Ch_Mountain]]</calculatedColumnFormula>
    </tableColumn>
    <tableColumn id="9" xr3:uid="{B9F107CC-9E87-47F0-9669-7B4E32869962}" name="Hill" dataDxfId="679" totalsRowDxfId="678">
      <calculatedColumnFormula>OFFSET(TblConstr[[#This Row],[Hill]],-1,0)+TblConstr[[#This Row],[Ch_Hill]]</calculatedColumnFormula>
    </tableColumn>
    <tableColumn id="10" xr3:uid="{8067675A-D7AC-461C-B5B4-B2FDA278D46E}" name="Swamp" dataDxfId="677" totalsRowDxfId="676">
      <calculatedColumnFormula>OFFSET(TblConstr[[#This Row],[Swamp]],-1,0)+TblConstr[[#This Row],[Ch_Swamp]]</calculatedColumnFormula>
    </tableColumn>
    <tableColumn id="11" xr3:uid="{F6E4B820-D719-41FF-A537-55FE6AFBAF0E}" name="Cavern" dataDxfId="675" totalsRowDxfId="674">
      <calculatedColumnFormula>OFFSET(TblConstr[[#This Row],[Cavern]],-1,0)+TblConstr[[#This Row],[Ch_Cavern]]</calculatedColumnFormula>
    </tableColumn>
    <tableColumn id="12" xr3:uid="{54552E9E-E771-4104-87F6-20952C6A2D90}" name="Water" dataDxfId="673" totalsRowDxfId="672">
      <calculatedColumnFormula>OFFSET(TblConstr[[#This Row],[Water]],-1,0)+TblConstr[[#This Row],[Ch_Water]]</calculatedColumnFormula>
    </tableColumn>
    <tableColumn id="112" xr3:uid="{68F0FBE6-EBED-4B66-81D6-A19DB934C48D}" name="Hour  " dataDxfId="671" totalsRowDxfId="670">
      <calculatedColumnFormula>TblRezone[[#This Row],[Hour]]</calculatedColumnFormula>
    </tableColumn>
    <tableColumn id="14" xr3:uid="{6A739C2B-FED1-46DE-A6EC-2761E132E225}" name="Hom" dataDxfId="669" totalsRowDxfId="668"/>
    <tableColumn id="15" xr3:uid="{E50EB7D2-A060-4B91-920B-B3335EF23400}" name="Alc" dataDxfId="667" totalsRowDxfId="666"/>
    <tableColumn id="16" xr3:uid="{E3F8F390-578A-46F4-8079-68503504AE5A}" name="Far" dataDxfId="665" totalsRowDxfId="664"/>
    <tableColumn id="17" xr3:uid="{CC502929-3E3E-483C-AA45-1E8DC6E6F788}" name="Smi" dataDxfId="663" totalsRowDxfId="662"/>
    <tableColumn id="18" xr3:uid="{2849017C-83D2-48CF-BAFC-E8180F6B87B3}" name="Mas" dataDxfId="661" totalsRowDxfId="660"/>
    <tableColumn id="19" xr3:uid="{902080F0-045E-460C-8A94-D28082F0684A}" name="Ly" dataDxfId="659" totalsRowDxfId="658"/>
    <tableColumn id="20" xr3:uid="{74F11359-7A83-40C9-8D72-4E7342A4C5F6}" name="Hav" dataDxfId="657" totalsRowDxfId="656"/>
    <tableColumn id="21" xr3:uid="{2F4CD982-1BA1-4887-BEEF-D1CEDDFDCD98}" name="OM" dataDxfId="655" totalsRowDxfId="654"/>
    <tableColumn id="22" xr3:uid="{8FB86139-1373-407A-B799-7C5D49EF3A26}" name="GN" dataDxfId="653" totalsRowDxfId="652"/>
    <tableColumn id="23" xr3:uid="{283576BE-DC2F-4C4A-B83A-40303ED03A64}" name="Fac" dataDxfId="651" totalsRowDxfId="650"/>
    <tableColumn id="24" xr3:uid="{5CFB0CBF-3773-41F6-9B86-E1678AA28900}" name="GT" dataDxfId="649" totalsRowDxfId="648"/>
    <tableColumn id="25" xr3:uid="{19E4F682-9015-4478-9312-A3022D1FEEE9}" name="Bar" dataDxfId="647" totalsRowDxfId="646"/>
    <tableColumn id="26" xr3:uid="{013252D4-D385-4331-9170-92B5C8BB4C64}" name="Shr" dataDxfId="645" totalsRowDxfId="644"/>
    <tableColumn id="27" xr3:uid="{D4B27941-E688-419F-8B6F-B73F6CF2AB5B}" name="Tow" dataDxfId="643" totalsRowDxfId="642"/>
    <tableColumn id="28" xr3:uid="{17047BB4-364B-45DB-830B-858C7BD30B39}" name="Tem" dataDxfId="641" totalsRowDxfId="640"/>
    <tableColumn id="29" xr3:uid="{8910E8E2-8D7F-45E2-8559-CB4F40D25EB8}" name="WG" dataDxfId="639" totalsRowDxfId="638"/>
    <tableColumn id="30" xr3:uid="{BDAAD77D-88DB-4E61-9C07-44CAE4913F4B}" name="DM" dataDxfId="637" totalsRowDxfId="636"/>
    <tableColumn id="31" xr3:uid="{BFDB5F50-9A23-4E21-AEF0-8F150174C5D9}" name="Sch" dataDxfId="635" totalsRowDxfId="634"/>
    <tableColumn id="32" xr3:uid="{F4596035-B7F8-4B94-9B36-37B190EBF2F5}" name="Doc" dataDxfId="633" totalsRowDxfId="632"/>
    <tableColumn id="33" xr3:uid="{B506678F-5C96-41A2-B16E-01903002457C}" name="time" dataDxfId="631" totalsRowDxfId="630">
      <calculatedColumnFormula>TblImps[[#This Row],[Time]]</calculatedColumnFormula>
    </tableColumn>
    <tableColumn id="34" xr3:uid="{BBF9E4A7-4AD1-4256-838E-84E222A5E5B5}" name="Facs -DB" dataDxfId="629" totalsRowDxfId="628" dataCellStyle="Percent">
      <calculatedColumnFormula>MIN(25%,(TblConstr[[#This Row],[Tot Fac]]+TblConstr[[#This Row],[Dest Fac]])/(TblConstr[[#This Row],[Land]]-TblExplore[[#This Row],[Land Bonus]]*20))</calculatedColumnFormula>
    </tableColumn>
    <tableColumn id="35" xr3:uid="{CE9651FB-E7AA-4AC3-9369-D03ACA26B669}" name="Facs DB" dataDxfId="627" totalsRowDxfId="626" dataCellStyle="Percent">
      <calculatedColumnFormula>MIN(25%,(TblConstr[[#This Row],[Tot Fac]]+TblConstr[[#This Row],[Dest Fac]])/TblConstr[[#This Row],[Land]])</calculatedColumnFormula>
    </tableColumn>
    <tableColumn id="36" xr3:uid="{09991F89-DEAA-4698-A25A-D13F6565EDD4}" name="Platinum" dataDxfId="625" totalsRowDxfId="624">
      <calculatedColumnFormula>TblProd[[#This Row],[Platinum]]</calculatedColumnFormula>
    </tableColumn>
    <tableColumn id="37" xr3:uid="{98B47891-EB31-4D7F-8AC4-80255A877681}" name="Lumber" dataDxfId="623" totalsRowDxfId="622">
      <calculatedColumnFormula>TblProd[[#This Row],[Lumber]]</calculatedColumnFormula>
    </tableColumn>
    <tableColumn id="38" xr3:uid="{4BCC987F-ABDB-4939-B66E-9E39DDB56076}" name="CPA Platinum -DB" dataDxfId="621" totalsRowDxfId="62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19" totalsRowDxfId="618">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7" totalsRowDxfId="61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5" totalsRowDxfId="614">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3" totalsRowDxfId="612">
      <calculatedColumnFormula>TblConstr[[#This Row],[build -db]]*TblConstr[[#This Row],[CPA Platinum -DB]] + TblConstr[[#This Row],[build db]]*TblConstr[[#This Row],[CPA Platinum DB]]</calculatedColumnFormula>
    </tableColumn>
    <tableColumn id="43" xr3:uid="{F2E3CBCF-A243-4043-87E8-17546293A159}" name="Total Lum Cost" dataDxfId="611" totalsRowDxfId="610">
      <calculatedColumnFormula>TblConstr[[#This Row],[build -db]]*TblConstr[[#This Row],[CPA Lumber -DB]]+TblConstr[[#This Row],[build db]]*TblConstr[[#This Row],[CPA Lumber DB]]</calculatedColumnFormula>
    </tableColumn>
    <tableColumn id="44" xr3:uid="{119F0A26-AFE5-4C99-86DF-E2019D697B1F}" name="build -db" dataDxfId="609" totalsRowDxfId="60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7" totalsRowDxfId="60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5" totalsRowDxfId="604"/>
    <tableColumn id="47" xr3:uid="{2AB27BA8-C2B6-44FC-89D1-B8C469C03A31}" name="RCPA Platinum " dataDxfId="603" totalsRowDxfId="602">
      <calculatedColumnFormula>ROUND((MAX(TblConstr[[#This Row],[Buildings]],250,0.75*TblConstr[[#This Row],[Land]])-250) * 1.53 + 850,0)</calculatedColumnFormula>
    </tableColumn>
    <tableColumn id="48" xr3:uid="{745E4D31-3689-4F62-A15B-2D5399E746CA}" name="RCPA Lumber" dataDxfId="601" totalsRowDxfId="600">
      <calculatedColumnFormula>ROUND((MAX(TblConstr[[#This Row],[Buildings]],250,0.75*TblConstr[[#This Row],[Land]])-250) * 0.35+87.5,0)</calculatedColumnFormula>
    </tableColumn>
    <tableColumn id="49" xr3:uid="{619C112A-EE5A-4710-AF52-5843FF4DB054}" name="…" dataDxfId="599" totalsRowDxfId="598"/>
    <tableColumn id="50" xr3:uid="{F2846ED2-FD2C-4B82-8D89-DEC4D6C89C45}" name="Tot Hom" dataDxfId="597" totalsRowDxfId="596">
      <calculatedColumnFormula array="1">IF(TblConstr[[#This Row],[Hour]:[Hour]]&gt;12,OFFSET(TblConstr[[#This Row],[Hom]],-12,0),0)+OFFSET(TblConstr[[#This Row],[Tot Hom]],-1,0)-TblConstr[[#This Row],[Dest Hom]]</calculatedColumnFormula>
    </tableColumn>
    <tableColumn id="51" xr3:uid="{3A820279-E5AD-460C-8EA2-56927C664532}" name="Tot Alc" dataDxfId="595" totalsRowDxfId="594">
      <calculatedColumnFormula array="1">IF(TblConstr[[#This Row],[Hour]:[Hour]]&gt;12,OFFSET(TblConstr[[#This Row],[Alc]],-12,0),0)+OFFSET(TblConstr[[#This Row],[Tot Alc]],-1,0)-TblConstr[[#This Row],[Dest Alc]]</calculatedColumnFormula>
    </tableColumn>
    <tableColumn id="52" xr3:uid="{2F201F1F-E604-470C-A21C-EF43882A5460}" name="Tot Farm" dataDxfId="593" totalsRowDxfId="592">
      <calculatedColumnFormula array="1">IF(TblConstr[[#This Row],[Hour]:[Hour]]&gt;12,OFFSET(TblConstr[[#This Row],[Far]],-12,0),0)+OFFSET(TblConstr[[#This Row],[Tot Farm]],-1,0)-TblConstr[[#This Row],[Dest Farm]]</calculatedColumnFormula>
    </tableColumn>
    <tableColumn id="53" xr3:uid="{CF25F1ED-4CEE-4702-9FD7-472555CAE1E7}" name="Tot Smi" dataDxfId="591" totalsRowDxfId="590">
      <calculatedColumnFormula array="1">IF(TblConstr[[#This Row],[Hour]:[Hour]]&gt;12,OFFSET(TblConstr[[#This Row],[Smi]],-12,0),0)+OFFSET(TblConstr[[#This Row],[Tot Smi]],-1,0)-TblConstr[[#This Row],[Dest Smi]]</calculatedColumnFormula>
    </tableColumn>
    <tableColumn id="54" xr3:uid="{AA2380E5-3483-49DB-91B7-F7447D6C17A7}" name="Tot Mas" dataDxfId="589" totalsRowDxfId="588">
      <calculatedColumnFormula array="1">IF(TblConstr[[#This Row],[Hour]:[Hour]]&gt;12,OFFSET(TblConstr[[#This Row],[Mas]],-12,0),0)+OFFSET(TblConstr[[#This Row],[Tot Mas]],-1,0)-TblConstr[[#This Row],[Dest Mas]]</calculatedColumnFormula>
    </tableColumn>
    <tableColumn id="55" xr3:uid="{9983477D-EC22-4053-88C9-D53436C89351}" name="Tot Ly" dataDxfId="587" totalsRowDxfId="586">
      <calculatedColumnFormula array="1">IF(TblConstr[[#This Row],[Hour]:[Hour]]&gt;12,OFFSET(TblConstr[[#This Row],[Ly]],-12,0),0)+OFFSET(TblConstr[[#This Row],[Tot Ly]],-1,0)-TblConstr[[#This Row],[Dest Ly]]</calculatedColumnFormula>
    </tableColumn>
    <tableColumn id="56" xr3:uid="{0A8A610F-D674-4772-9EB7-EC610164DF60}" name="Tot Hav" dataDxfId="585" totalsRowDxfId="584">
      <calculatedColumnFormula array="1">IF(TblConstr[[#This Row],[Hour]:[Hour]]&gt;12,OFFSET(TblConstr[[#This Row],[Hav]],-12,0),0)+OFFSET(TblConstr[[#This Row],[Tot Hav]],-1,0)-TblConstr[[#This Row],[Dest Hav]]</calculatedColumnFormula>
    </tableColumn>
    <tableColumn id="57" xr3:uid="{40570349-3AA5-42B4-9820-CC736C2D1B3D}" name="Tot OM" dataDxfId="583" totalsRowDxfId="582">
      <calculatedColumnFormula array="1">IF(TblConstr[[#This Row],[Hour]:[Hour]]&gt;12,OFFSET(TblConstr[[#This Row],[OM]],-12,0),0)+OFFSET(TblConstr[[#This Row],[Tot OM]],-1,0)-TblConstr[[#This Row],[Dest OM]]</calculatedColumnFormula>
    </tableColumn>
    <tableColumn id="58" xr3:uid="{D7C1895E-C93F-4CEE-BB20-88F13C3DA864}" name="Tot GN" dataDxfId="581" totalsRowDxfId="580">
      <calculatedColumnFormula array="1">IF(TblConstr[[#This Row],[Hour]:[Hour]]&gt;12,OFFSET(TblConstr[[#This Row],[GN]],-12,0),0)+OFFSET(TblConstr[[#This Row],[Tot GN]],-1,0)-TblConstr[[#This Row],[Dest GN]]</calculatedColumnFormula>
    </tableColumn>
    <tableColumn id="59" xr3:uid="{6C106580-CB33-4C2F-8B4D-856AC68AA85B}" name="Tot Fac" dataDxfId="579" totalsRowDxfId="578">
      <calculatedColumnFormula array="1">IF(TblConstr[[#This Row],[Hour]:[Hour]]&gt;12,OFFSET(TblConstr[[#This Row],[Fac]],-12,0),0)+OFFSET(TblConstr[[#This Row],[Tot Fac]],-1,0)-TblConstr[[#This Row],[Dest Fac]]</calculatedColumnFormula>
    </tableColumn>
    <tableColumn id="60" xr3:uid="{D3A39C76-EE6D-4C40-B64E-12EE496ACF75}" name="Tot GT" dataDxfId="577" totalsRowDxfId="576">
      <calculatedColumnFormula array="1">IF(TblConstr[[#This Row],[Hour]:[Hour]]&gt;12,OFFSET(TblConstr[[#This Row],[GT]],-12,0),0)+OFFSET(TblConstr[[#This Row],[Tot GT]],-1,0)-TblConstr[[#This Row],[Dest GT]]</calculatedColumnFormula>
    </tableColumn>
    <tableColumn id="61" xr3:uid="{3C88629E-DBB8-4626-8826-42DE21B8CCF3}" name="Tot Bar" dataDxfId="575" totalsRowDxfId="574">
      <calculatedColumnFormula array="1">IF(TblConstr[[#This Row],[Hour]:[Hour]]&gt;12,OFFSET(TblConstr[[#This Row],[Bar]],-12,0),0)+OFFSET(TblConstr[[#This Row],[Tot Bar]],-1,0)-TblConstr[[#This Row],[Dest Bar]]</calculatedColumnFormula>
    </tableColumn>
    <tableColumn id="62" xr3:uid="{9B339DEA-0599-4758-9D02-2BCE3EA7ACC3}" name="Tot Shr" dataDxfId="573" totalsRowDxfId="572">
      <calculatedColumnFormula array="1">IF(TblConstr[[#This Row],[Hour]:[Hour]]&gt;12,OFFSET(TblConstr[[#This Row],[Shr]],-12,0),0)+OFFSET(TblConstr[[#This Row],[Tot Shr]],-1,0)-TblConstr[[#This Row],[Dest Shr]]</calculatedColumnFormula>
    </tableColumn>
    <tableColumn id="63" xr3:uid="{BC8AAD30-881D-4FF0-9567-7FF1D9791913}" name="Tot Tow" dataDxfId="571" totalsRowDxfId="570">
      <calculatedColumnFormula array="1">IF(TblConstr[[#This Row],[Hour]:[Hour]]&gt;12,OFFSET(TblConstr[[#This Row],[Tow]],-12,0),0)+OFFSET(TblConstr[[#This Row],[Tot Tow]],-1,0)-TblConstr[[#This Row],[Dest Tow]]</calculatedColumnFormula>
    </tableColumn>
    <tableColumn id="64" xr3:uid="{59A3F80D-5052-4FDF-AF65-62DB182FD6A6}" name="Tot Tem" dataDxfId="569" totalsRowDxfId="568">
      <calculatedColumnFormula array="1">IF(TblConstr[[#This Row],[Hour]:[Hour]]&gt;12,OFFSET(TblConstr[[#This Row],[Tem]],-12,0),0)+OFFSET(TblConstr[[#This Row],[Tot Tem]],-1,0)-TblConstr[[#This Row],[Dest Tem]]</calculatedColumnFormula>
    </tableColumn>
    <tableColumn id="65" xr3:uid="{00A352BB-E75B-4E3F-AC3D-1D0DC0813148}" name="Tot WG" dataDxfId="567" totalsRowDxfId="566">
      <calculatedColumnFormula array="1">IF(TblConstr[[#This Row],[Hour]:[Hour]]&gt;12,OFFSET(TblConstr[[#This Row],[WG]],-12,0),0)+OFFSET(TblConstr[[#This Row],[Tot WG]],-1,0)-TblConstr[[#This Row],[Dest WG]]</calculatedColumnFormula>
    </tableColumn>
    <tableColumn id="66" xr3:uid="{AC79E3B7-8BF6-4AEF-AACC-9BCCADEEE9EC}" name="Tot DM" dataDxfId="565" totalsRowDxfId="564">
      <calculatedColumnFormula array="1">IF(TblConstr[[#This Row],[Hour]:[Hour]]&gt;12,OFFSET(TblConstr[[#This Row],[DM]],-12,0),0)+OFFSET(TblConstr[[#This Row],[Tot DM]],-1,0)-TblConstr[[#This Row],[Dest DM]]</calculatedColumnFormula>
    </tableColumn>
    <tableColumn id="67" xr3:uid="{0CFFF054-0F8D-4B14-9366-77ABD3382DE4}" name="Tot Sch" dataDxfId="563" totalsRowDxfId="562">
      <calculatedColumnFormula array="1">IF(TblConstr[[#This Row],[Hour]:[Hour]]&gt;12,OFFSET(TblConstr[[#This Row],[Sch]],-12,0),0)+OFFSET(TblConstr[[#This Row],[Tot Sch]],-1,0)-TblConstr[[#This Row],[Dest Sch]]</calculatedColumnFormula>
    </tableColumn>
    <tableColumn id="68" xr3:uid="{EEBD7864-CCF1-4E52-A4D7-93474D156483}" name="Tot Doc" dataDxfId="561" totalsRowDxfId="560">
      <calculatedColumnFormula array="1">IF(TblConstr[[#This Row],[Hour]:[Hour]]&gt;12,OFFSET(TblConstr[[#This Row],[Doc]],-12,0),0)+OFFSET(TblConstr[[#This Row],[Tot Doc]],-1,0)-TblConstr[[#This Row],[Dest Doc]]</calculatedColumnFormula>
    </tableColumn>
    <tableColumn id="69" xr3:uid="{9CB7D1EC-8231-4E29-AF89-78480EAACCBE}" name="…." dataDxfId="559" totalsRowDxfId="558"/>
    <tableColumn id="70" xr3:uid="{8AB60EC6-2503-4C64-93B5-EF0A15817646}" name="….." dataDxfId="557" totalsRowDxfId="556"/>
    <tableColumn id="71" xr3:uid="{E322C618-2AF7-4E39-8C00-05DB78D1E3E1}" name="Land (2)" dataDxfId="555" totalsRowDxfId="554">
      <calculatedColumnFormula>TblConstr[[#This Row],[Land]]</calculatedColumnFormula>
    </tableColumn>
    <tableColumn id="72" xr3:uid="{03634B5C-154E-4AC8-80E1-BA13BC9D96CD}" name="Time (2)" dataDxfId="553" totalsRowDxfId="552">
      <calculatedColumnFormula>TblImps[[#This Row],[Time]]</calculatedColumnFormula>
    </tableColumn>
    <tableColumn id="73" xr3:uid="{B2BF9056-6EBE-4C01-A8BD-B72B49E563E4}" name="…..." dataDxfId="551" totalsRowDxfId="550"/>
    <tableColumn id="74" xr3:uid="{E1DF0DF3-108E-4B1D-AD0D-B0438E0119B4}" name="Dest Hom" dataDxfId="549" totalsRowDxfId="548"/>
    <tableColumn id="75" xr3:uid="{E9A56C16-CD83-4CF4-801D-3F07F7F4410E}" name="Dest Alc" dataDxfId="547" totalsRowDxfId="546"/>
    <tableColumn id="76" xr3:uid="{83CFBDA2-FADE-4B08-B33E-9C2E9F9BF768}" name="Dest Farm" dataDxfId="545" totalsRowDxfId="544"/>
    <tableColumn id="77" xr3:uid="{19187257-0444-44F4-9D3D-6D0323F40019}" name="Dest Smi" dataDxfId="543" totalsRowDxfId="542"/>
    <tableColumn id="78" xr3:uid="{868AFE18-6FA1-48AB-ABF5-2F2AEFE5F988}" name="Dest Mas" dataDxfId="541" totalsRowDxfId="540"/>
    <tableColumn id="79" xr3:uid="{177B6B53-2F11-4209-8387-13A45749227F}" name="Dest Ly" dataDxfId="539" totalsRowDxfId="538"/>
    <tableColumn id="80" xr3:uid="{7546C506-76A9-4C40-A0E7-9A9D9E5AABE5}" name="Dest Hav" dataDxfId="537" totalsRowDxfId="536"/>
    <tableColumn id="81" xr3:uid="{ADDB86A6-E781-4DBE-8117-6F690916DDFA}" name="Dest OM" dataDxfId="535" totalsRowDxfId="534"/>
    <tableColumn id="82" xr3:uid="{B9BF98EC-18BF-465D-9531-8B38D89E91A0}" name="Dest GN" dataDxfId="533" totalsRowDxfId="532"/>
    <tableColumn id="83" xr3:uid="{E7A6D253-F3B2-42C8-99DD-B144C58FC0C5}" name="Dest Fac" dataDxfId="531" totalsRowDxfId="530"/>
    <tableColumn id="84" xr3:uid="{17104BBD-FC27-4D10-B29C-0273D3241FF4}" name="Dest GT" dataDxfId="529" totalsRowDxfId="528"/>
    <tableColumn id="85" xr3:uid="{99559D62-4D78-440A-98FE-DEBB129B435F}" name="Dest Bar" dataDxfId="527" totalsRowDxfId="526"/>
    <tableColumn id="86" xr3:uid="{9B2EEB8C-2FE8-47EE-A3E2-DC10DB45C7AB}" name="Dest Shr" dataDxfId="525" totalsRowDxfId="524"/>
    <tableColumn id="87" xr3:uid="{514D2AAA-E6E3-475E-9F65-8C732A78896D}" name="Dest Tow" dataDxfId="523" totalsRowDxfId="522"/>
    <tableColumn id="88" xr3:uid="{FAB7F148-62FD-4A01-9E52-E72AB5D98A80}" name="Dest Tem" dataDxfId="521" totalsRowDxfId="520"/>
    <tableColumn id="89" xr3:uid="{51F0AAF8-EA25-41BB-8274-29128D8E9309}" name="Dest WG" dataDxfId="519" totalsRowDxfId="518"/>
    <tableColumn id="90" xr3:uid="{B5DD0E4A-F9DA-46DF-AC1D-4C082F96D4FD}" name="Dest DM" dataDxfId="517" totalsRowDxfId="516"/>
    <tableColumn id="91" xr3:uid="{8374E536-FAFB-4695-B2E9-40E6A61A9D8E}" name="Dest Sch" dataDxfId="515" totalsRowDxfId="514"/>
    <tableColumn id="92" xr3:uid="{AB6E075B-E076-40E6-B2ED-7DBD5C2545B9}" name="Dest Doc" dataDxfId="513" totalsRowDxfId="512"/>
    <tableColumn id="93" xr3:uid="{A4B6EEF5-D4D4-4B9E-B020-F892CB1DC5F1}" name="…...." dataDxfId="511" totalsRowDxfId="510"/>
    <tableColumn id="94" xr3:uid="{A8785F66-A063-4182-BB5F-F2E489C44B8C}" name="Ch_Plain" dataDxfId="509" totalsRowDxfId="508">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7" totalsRowDxfId="506">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5" totalsRowDxfId="504">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3" totalsRowDxfId="502">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1" totalsRowDxfId="500">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499" totalsRowDxfId="498">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7" totalsRowDxfId="496">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5" totalsRowDxfId="494">
      <calculatedColumnFormula>IF(Explore!S4=1,20) - TblConstr[[#This Row],[Hom]] + TblConstr[[#This Row],[Dest Hom]]</calculatedColumnFormula>
    </tableColumn>
    <tableColumn id="102" xr3:uid="{A18B5339-7B5E-4FF1-B44C-54D91E2619B1}" name="…....." dataDxfId="493" totalsRowDxfId="492"/>
    <tableColumn id="103" xr3:uid="{4E3EEDB6-D8CB-4DA1-AC9F-29019C9A6FFC}" name="Total Plain" dataDxfId="491" totalsRowDxfId="490"/>
    <tableColumn id="104" xr3:uid="{669C7BA0-B3F2-47DA-B10D-81C2466FF6F3}" name="Total Forest" dataDxfId="489" totalsRowDxfId="488"/>
    <tableColumn id="105" xr3:uid="{B6EE778A-6E52-44FF-8691-B86F1650C2C2}" name="Total Mountain" dataDxfId="487" totalsRowDxfId="486"/>
    <tableColumn id="106" xr3:uid="{5FF89BD6-7921-4110-AD96-EA8B54555F1C}" name="Total Hill" dataDxfId="485" totalsRowDxfId="484"/>
    <tableColumn id="107" xr3:uid="{F920559E-5C73-4899-BC53-A9BA9E7DFC0C}" name="Total Swamp" dataDxfId="483" totalsRowDxfId="482"/>
    <tableColumn id="108" xr3:uid="{6462BCCF-F375-4DEC-B000-637E1187AA5E}" name="Total Cavern" dataDxfId="481" totalsRowDxfId="480"/>
    <tableColumn id="109" xr3:uid="{D966B8E0-E2CD-4374-AF05-B86C330B3BD4}" name="Total Water" dataDxfId="479" totalsRowDxfId="478"/>
    <tableColumn id="110" xr3:uid="{170A4E12-F563-448F-8964-EB5CA71BA3AF}" name="Homeland" dataDxfId="477" totalsRowDxfId="476">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5" totalsRowDxfId="474"/>
    <tableColumn id="114" xr3:uid="{EDC1B5E1-1E93-4946-BEC7-453EF5B18C9F}" name="Farms" dataDxfId="473" totalsRowDxfId="472">
      <calculatedColumnFormula>MAX(BA4-BA3,0)</calculatedColumnFormula>
    </tableColumn>
    <tableColumn id="115" xr3:uid="{1D02A65C-E8F6-4B66-A5EB-3699A9BE61C5}" name="Docks" totalsRowFunction="sum" dataDxfId="471" totalsRowDxfId="470">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1" dataDxfId="460" tableBorderDxfId="459">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8">
      <calculatedColumnFormula>TblRezone[[#This Row],[Hour]]</calculatedColumnFormula>
    </tableColumn>
    <tableColumn id="2" xr3:uid="{DFB120B6-BC70-4091-A005-99D4961CB538}" name="Land" dataDxfId="457">
      <calculatedColumnFormula>TblConstr[[#This Row],[Land]]</calculatedColumnFormula>
    </tableColumn>
    <tableColumn id="3" xr3:uid="{05C32193-1764-4A8E-B877-789E51BD1927}" name="." dataDxfId="456"/>
    <tableColumn id="4" xr3:uid="{2DBA3229-29BD-4F1F-B6CD-9E822C9071D7}" name="Plains" dataDxfId="455">
      <calculatedColumnFormula>TblConstr[[#This Row],[Plain]]</calculatedColumnFormula>
    </tableColumn>
    <tableColumn id="5" xr3:uid="{3D1FE633-D61E-4157-92AE-5E68F0C48770}" name="Forest" dataDxfId="454">
      <calculatedColumnFormula>TblConstr[[#This Row],[Forest]]</calculatedColumnFormula>
    </tableColumn>
    <tableColumn id="6" xr3:uid="{D9ABEDC6-9211-428A-B587-3CA9C3BF9744}" name="Mountn" dataDxfId="453">
      <calculatedColumnFormula>TblConstr[[#This Row],[Mountain]]</calculatedColumnFormula>
    </tableColumn>
    <tableColumn id="7" xr3:uid="{190BAA64-9D9E-4080-878D-BF035387620E}" name="Hills" dataDxfId="452">
      <calculatedColumnFormula>TblConstr[[#This Row],[Hill]]</calculatedColumnFormula>
    </tableColumn>
    <tableColumn id="8" xr3:uid="{812744CE-DEB7-4A8A-8374-CD5852E8C168}" name="Swamp" dataDxfId="451">
      <calculatedColumnFormula>TblConstr[[#This Row],[Swamp]]</calculatedColumnFormula>
    </tableColumn>
    <tableColumn id="9" xr3:uid="{96D79F63-015A-4655-975B-A1C99185A034}" name="Caverns" dataDxfId="450">
      <calculatedColumnFormula>TblConstr[[#This Row],[Cavern]]</calculatedColumnFormula>
    </tableColumn>
    <tableColumn id="10" xr3:uid="{607DA3E5-8D4A-44F4-A35C-DDAF32BE627C}" name="Water" dataDxfId="449">
      <calculatedColumnFormula>TblConstr[[#This Row],[Water]]</calculatedColumnFormula>
    </tableColumn>
    <tableColumn id="11" xr3:uid="{12EC2AC2-5FD3-4D82-8C37-DB70DCC56DC2}" name="Column2" dataDxfId="448"/>
    <tableColumn id="12" xr3:uid="{B171FE82-C8DE-44A1-89CE-409ED8DDD9D4}" name="Column3" dataDxfId="447"/>
    <tableColumn id="13" xr3:uid="{8C0085EE-E99F-4C98-9D66-144A50E3623C}" name="Column4" dataDxfId="446"/>
    <tableColumn id="14" xr3:uid="{5686D8FB-FF86-4148-AF9E-C03A97A84AF3}" name="Smithies" dataDxfId="445" dataCellStyle="Percent">
      <calculatedColumnFormula>TblMili[[#This Row],[Smithies]]</calculatedColumnFormula>
    </tableColumn>
    <tableColumn id="15" xr3:uid="{A0DC0A41-1987-4EE6-99BA-624DB6ACB9BF}" name="Employm." dataDxfId="444" dataCellStyle="Percent">
      <calculatedColumnFormula>TblPop[[#This Row],[Employment]]</calculatedColumnFormula>
    </tableColumn>
    <tableColumn id="16" xr3:uid="{7B85DEA6-C72D-4EAB-B18F-155B3A80E27B}" name="Popul." dataDxfId="443" dataCellStyle="Percent">
      <calculatedColumnFormula>TblImps[[#This Row],[Population]]</calculatedColumnFormula>
    </tableColumn>
    <tableColumn id="17" xr3:uid="{0BE33934-A790-4489-A3A2-E553E3C4AAEE}" name="Land (2)" dataDxfId="442">
      <calculatedColumnFormula>TblExplore[[#This Row],[Land]]</calculatedColumnFormula>
    </tableColumn>
    <tableColumn id="18" xr3:uid="{1EE849E8-6296-4479-BDA2-30E4622212E0}" name="Hour (2)" dataDxfId="441">
      <calculatedColumnFormula>TblExplore[[#This Row],[Hour]]</calculatedColumnFormula>
    </tableColumn>
    <tableColumn id="19" xr3:uid="{802EC67C-58E0-4E2B-9471-52B76B3F516A}" name="Land Bonus" dataDxfId="440"/>
    <tableColumn id="20" xr3:uid="{B1DC4E54-695A-4FE1-A303-67B047732E38}" name="Plains Explore" dataDxfId="439"/>
    <tableColumn id="21" xr3:uid="{28A63039-E9F4-4C91-BC61-38AFA90CBBA3}" name="Forest Explore" dataDxfId="438"/>
    <tableColumn id="22" xr3:uid="{52A3F218-67B7-4353-9DCD-90E402F80D3A}" name="Mountain Explore" dataDxfId="437"/>
    <tableColumn id="23" xr3:uid="{CADD78BB-1A84-4EF1-B568-74D7A7333BED}" name="Hill Explore" dataDxfId="436"/>
    <tableColumn id="24" xr3:uid="{86B12DCD-5E50-4631-800C-3D06D0C8407F}" name="Swamp Explore" dataDxfId="435"/>
    <tableColumn id="25" xr3:uid="{41A3F8D1-C19F-4B01-A125-BD6C5BE75F1D}" name="Cavern Explore" dataDxfId="434"/>
    <tableColumn id="26" xr3:uid="{DD83E77E-8C71-44A7-BF29-B8595544CC0D}" name="Water Explore" dataDxfId="433"/>
    <tableColumn id="27" xr3:uid="{6F68BDB2-663F-44CE-A108-1184CFBBBFB9}" name="Time" dataDxfId="432">
      <calculatedColumnFormula>TblImps[[#This Row],[Real time]]</calculatedColumnFormula>
    </tableColumn>
    <tableColumn id="28" xr3:uid="{0FBA88C1-4190-4A95-897B-20B88A072234}" name="Draftees" dataDxfId="431">
      <calculatedColumnFormula>TblMili[[#This Row],[Draftees]]</calculatedColumnFormula>
    </tableColumn>
    <tableColumn id="29" xr3:uid="{4EFD1992-02FD-4356-A327-EBEED01908DD}" name="Platinum" dataDxfId="430">
      <calculatedColumnFormula>TblProd[[#This Row],[Platinum]]</calculatedColumnFormula>
    </tableColumn>
    <tableColumn id="30" xr3:uid="{3D9A7B33-B273-4A01-8F7D-822B1BEB344B}" name=".." dataDxfId="429"/>
    <tableColumn id="31" xr3:uid="{EDB0F070-B31D-4B00-90A6-0A190E3CA80B}" name="Land-DB" dataDxfId="428">
      <calculatedColumnFormula>TblExplore[[#This Row],[Land]]-TblExplore[[#This Row],[Land Bonus]]*20</calculatedColumnFormula>
    </tableColumn>
    <tableColumn id="32" xr3:uid="{B94D1074-50E9-44F1-8957-6BE450DE4BF0}" name="Plat/acre" dataDxfId="427">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26">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5">
      <calculatedColumnFormula>SUM(TblExplore[[#This Row],[Plains Explore]:[Water Explore]])*TblExplore[[#This Row],[Plat/acre]]</calculatedColumnFormula>
    </tableColumn>
    <tableColumn id="35" xr3:uid="{61575F8F-5343-43C9-858D-AF8501368779}" name="Draftees (2)" dataDxfId="424">
      <calculatedColumnFormula>SUM(TblExplore[[#This Row],[Plains Explore]:[Water Explore]])*TblExplore[[#This Row],[Draftees/acre]]</calculatedColumnFormula>
    </tableColumn>
    <tableColumn id="36" xr3:uid="{BD4C2C0C-7F81-4BE8-9828-9CFCFFAFF394}" name="Max Explore" dataDxfId="423">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3" dataDxfId="412" tableBorderDxfId="411">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0">
      <calculatedColumnFormula>TblConstr[[#This Row],[Land]]</calculatedColumnFormula>
    </tableColumn>
    <tableColumn id="2" xr3:uid="{09D3C0EB-2481-406C-ABC2-3B9FE0683D68}" name="Plains" dataDxfId="409">
      <calculatedColumnFormula>TblConstr[[#This Row],[Plain]]</calculatedColumnFormula>
    </tableColumn>
    <tableColumn id="3" xr3:uid="{E95763D4-88E5-487A-9912-CB5FED512375}" name="Forest" dataDxfId="408">
      <calculatedColumnFormula>TblConstr[[#This Row],[Forest]]</calculatedColumnFormula>
    </tableColumn>
    <tableColumn id="4" xr3:uid="{62B2173B-885E-48E7-B615-089739267B8E}" name="Mountains" dataDxfId="407">
      <calculatedColumnFormula>TblConstr[[#This Row],[Mountain]]</calculatedColumnFormula>
    </tableColumn>
    <tableColumn id="5" xr3:uid="{4FA61465-41A2-4497-AB2D-7B63B7113E12}" name="Hills" dataDxfId="406">
      <calculatedColumnFormula>TblConstr[[#This Row],[Hill]]</calculatedColumnFormula>
    </tableColumn>
    <tableColumn id="6" xr3:uid="{FC27A0D5-6BB5-414B-8DEB-98AD07E7EBFF}" name="Swamp" dataDxfId="405">
      <calculatedColumnFormula>TblConstr[[#This Row],[Swamp]]</calculatedColumnFormula>
    </tableColumn>
    <tableColumn id="7" xr3:uid="{E95EDCE9-4D0A-4F4F-80D0-F52A495BDAE2}" name="Caverns" dataDxfId="404">
      <calculatedColumnFormula>TblConstr[[#This Row],[Cavern]]</calculatedColumnFormula>
    </tableColumn>
    <tableColumn id="8" xr3:uid="{4D162EFF-D831-41C8-9A17-B9113296E43B}" name="Water" dataDxfId="403">
      <calculatedColumnFormula>TblConstr[[#This Row],[Water]]</calculatedColumnFormula>
    </tableColumn>
    <tableColumn id="9" xr3:uid="{D55A4201-089D-415F-8D4D-3ECCCB36C63A}" name="." dataDxfId="402"/>
    <tableColumn id="10" xr3:uid="{DD5BAECA-959B-44B4-BFE4-04100EF42CEE}" name="Hour" dataDxfId="401">
      <calculatedColumnFormula>J3+1</calculatedColumnFormula>
    </tableColumn>
    <tableColumn id="11" xr3:uid="{BBC04AC2-481C-43B9-8F7E-DA11BD9865DF}" name="Time" dataDxfId="400">
      <calculatedColumnFormula>TblImps[[#This Row],[Real time]]</calculatedColumnFormula>
    </tableColumn>
    <tableColumn id="12" xr3:uid="{D6C776EF-706C-4E21-B5A7-00C9AD08F8F2}" name="Plains Rezone" dataDxfId="399"/>
    <tableColumn id="13" xr3:uid="{8517A176-425D-4D28-9953-4EC1AA93C82D}" name="Forest Rezone" dataDxfId="398"/>
    <tableColumn id="14" xr3:uid="{6C6986FB-4B34-4620-9F5C-E204CA007C29}" name="Mountain Rezone" dataDxfId="397"/>
    <tableColumn id="15" xr3:uid="{A238C8DA-37C8-4B93-BDB9-803627A51455}" name="Hill Rezone" dataDxfId="396"/>
    <tableColumn id="16" xr3:uid="{6F93D167-46BB-49F9-99E2-4FE4FA89F6F6}" name="Swamp Rezone" dataDxfId="395"/>
    <tableColumn id="17" xr3:uid="{2891557D-037E-43FE-B080-6B5406778FAE}" name="Cavern Rezone" dataDxfId="394"/>
    <tableColumn id="18" xr3:uid="{C6630C4B-97F3-4512-833F-587ADB90804D}" name="Water Rezone" dataDxfId="393"/>
    <tableColumn id="19" xr3:uid="{71938840-BA0F-4F0E-90C2-866B3EEED32E}" name="Total acres" dataDxfId="392">
      <calculatedColumnFormula>SUMIF(TblRezone[[#This Row],[Plains Rezone]:[Water Rezone]],"&gt;0")</calculatedColumnFormula>
    </tableColumn>
    <tableColumn id="20" xr3:uid="{A48C796B-764B-4744-95D2-0DB5292F5562}" name="Ok?" dataDxfId="391">
      <calculatedColumnFormula>IF(SUM(TblRezone[[#This Row],[Plains Rezone]:[Water Rezone]])=0,"Ok","Nope")</calculatedColumnFormula>
    </tableColumn>
    <tableColumn id="21" xr3:uid="{2EBFAAC1-440A-44F3-A930-C229C35B9BD3}" name=".." dataDxfId="390"/>
    <tableColumn id="22" xr3:uid="{2020F260-8DB5-44E6-A131-B44D79AF6B62}" name="Platinum" dataDxfId="389">
      <calculatedColumnFormula>TblProd[[#This Row],[Platinum]]</calculatedColumnFormula>
    </tableColumn>
    <tableColumn id="23" xr3:uid="{81A5A213-A750-4DD5-8456-6B104D493CA4}" name="…" dataDxfId="388"/>
    <tableColumn id="24" xr3:uid="{8EF28125-DA30-4482-ADE4-2B916A90CAD2}" name="Plat/acre" dataDxfId="387">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6">
      <calculatedColumnFormula>TblRezone[[#This Row],[Total acres]]*TblRezone[[#This Row],[Plat/acre]]</calculatedColumnFormula>
    </tableColumn>
    <tableColumn id="26" xr3:uid="{685D7DEA-DD3C-4385-BEC6-C5DBEEE6B44D}" name="…." dataDxfId="385"/>
    <tableColumn id="27" xr3:uid="{44BE000A-0846-46D4-B9B4-8728EC5881AB}" name="Plat/acre*" dataDxfId="384">
      <calculatedColumnFormula>250+0.6*(TblRezone[[#This Row],[Land]]-250)</calculatedColumnFormula>
    </tableColumn>
    <tableColumn id="28" xr3:uid="{3AFBA97F-9340-4669-BF68-67D7B351BBD4}" name="….." dataDxfId="383"/>
    <tableColumn id="29" xr3:uid="{D8C9DC04-80EE-49BF-BEDB-6FEC536A5F93}" name="Facs" dataDxfId="382">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4" dataDxfId="372" headerRowBorderDxfId="373" tableBorderDxfId="37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0">
      <calculatedColumnFormula>TblRezone[[#This Row],[Hour]]</calculatedColumnFormula>
    </tableColumn>
    <tableColumn id="2" xr3:uid="{EAC413AF-EC0E-4C34-B6C3-F5AE2181B0A0}" name="Military" dataDxfId="369">
      <calculatedColumnFormula>SUM(TblMili[[#This Row],[Unit 1]:[Archmages]])+SUM(TblMili[[#This Row],[Train Unit 1]:[Train Unit 4]])+TblMili[[#This Row],[Draftees]]</calculatedColumnFormula>
    </tableColumn>
    <tableColumn id="3" xr3:uid="{B9847F02-8883-462E-B245-62A25138A973}" name="Military%" dataDxfId="368">
      <calculatedColumnFormula>TblPop[[#This Row],[Military%]]</calculatedColumnFormula>
    </tableColumn>
    <tableColumn id="4" xr3:uid="{873B66D3-9A4C-4CF2-ADD1-BF3696F9A721}" name="." dataDxfId="367"/>
    <tableColumn id="5" xr3:uid="{FC5A3C7C-0387-4B98-9BB7-AC3A387EAFF0}" name="Unit 1" dataDxfId="366">
      <calculatedColumnFormula>OFFSET(TblMili[[#This Row],[Unit 1]],-1,0) - TblMili[[#This Row],[Release Unit 1]]</calculatedColumnFormula>
    </tableColumn>
    <tableColumn id="6" xr3:uid="{A8BE2C9D-1318-46BD-B50B-D87014E90395}" name="Unit 2" dataDxfId="365">
      <calculatedColumnFormula>OFFSET(TblMili[[#This Row],[Unit 2]],-1,0)-TblMili[[#This Row],[Release Unit 2]]</calculatedColumnFormula>
    </tableColumn>
    <tableColumn id="7" xr3:uid="{49487FD4-4EF4-4722-A4A4-FCC0DD98F9F2}" name="Unit 3" dataDxfId="364">
      <calculatedColumnFormula>OFFSET(TblMili[[#This Row],[Unit 3]],-1,0)-TblMili[[#This Row],[Release Unit 3]]</calculatedColumnFormula>
    </tableColumn>
    <tableColumn id="8" xr3:uid="{739E7790-2960-445C-A5B2-C6064A881CDF}" name="Unit 4" dataDxfId="363">
      <calculatedColumnFormula>OFFSET(TblMili[[#This Row],[Unit 4]],-1,0)-TblMili[[#This Row],[Release Unit 4]]</calculatedColumnFormula>
    </tableColumn>
    <tableColumn id="9" xr3:uid="{0DB25EC0-D296-415A-BF65-DA60D7174CD2}" name="Spies" dataDxfId="362">
      <calculatedColumnFormula>OFFSET(TblMili[[#This Row],[Spies]],-1,0)-TblMili[[#This Row],[Release Spies]]</calculatedColumnFormula>
    </tableColumn>
    <tableColumn id="10" xr3:uid="{1B32AEAE-0DB3-4DD4-8543-1BD37596FD6C}" name="Wizards" dataDxfId="361">
      <calculatedColumnFormula>OFFSET(TblMili[[#This Row],[Wizards]],-1,0)-TblMili[[#This Row],[Release Wizards]]-TblMili[[#This Row],[Train Arch]]</calculatedColumnFormula>
    </tableColumn>
    <tableColumn id="11" xr3:uid="{ED512AF5-16B2-421C-BF95-07157DB57B9D}" name="Archmages" dataDxfId="360">
      <calculatedColumnFormula>OFFSET(TblMili[[#This Row],[Archmages]],-1,0)-TblMili[[#This Row],[Release Arch]]</calculatedColumnFormula>
    </tableColumn>
    <tableColumn id="12" xr3:uid="{CADE9B79-5861-46C5-8C69-B19C0F0551CF}" name=".." dataDxfId="359"/>
    <tableColumn id="13" xr3:uid="{18901E43-A967-4D1C-A56F-B4449A6C28E5}" name="Networth" dataDxfId="358">
      <calculatedColumnFormula>TblProd[[#This Row],[Networth]]</calculatedColumnFormula>
    </tableColumn>
    <tableColumn id="14" xr3:uid="{2F50B0FF-1C90-493E-BE67-86AFE22B6059}" name="…" dataDxfId="357"/>
    <tableColumn id="15" xr3:uid="{800A8F5F-B777-4995-AD6F-4DF929E0A477}" name="Raw" dataDxfId="356">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4">
      <calculatedColumnFormula>TblMili[[#This Row],[Raw]]*(1+TblMili[[#This Row],[Mods_Off]])</calculatedColumnFormula>
    </tableColumn>
    <tableColumn id="18" xr3:uid="{49AD1BCC-C9BC-46CD-8B38-93838D61E9DD}" name="Non Draft" dataDxfId="353">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2">
      <calculatedColumnFormula>TblMili[[#This Row],[Non Draft]]+TblMili[[#This Row],[Draftees]]</calculatedColumnFormula>
    </tableColumn>
    <tableColumn id="20" xr3:uid="{C64B2C83-F9B3-427D-8326-C6954139623D}" name="Mods_Def" dataDxfId="351">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0" dataCellStyle="Comma">
      <calculatedColumnFormula>TblMili[[#This Row],[Non Draft]] * (1 + TblMili[[#This Row],[Mods_Def]])</calculatedColumnFormula>
    </tableColumn>
    <tableColumn id="22" xr3:uid="{EA8914C0-CD98-4E5C-A923-EA0F9E30F1EA}" name="Draft (mod)" dataDxfId="349">
      <calculatedColumnFormula>TblMili[[#This Row],[Draft]] * (1 + TblMili[[#This Row],[Mods_Def]])</calculatedColumnFormula>
    </tableColumn>
    <tableColumn id="23" xr3:uid="{EAC9356D-CE42-4256-BB93-BF208B480555}" name="Land" dataDxfId="348">
      <calculatedColumnFormula>TblConstr[[#This Row],[Land]]</calculatedColumnFormula>
    </tableColumn>
    <tableColumn id="24" xr3:uid="{D4A87242-2EDC-47D9-8CA4-84D822469E1B}" name="Set" dataDxfId="347"/>
    <tableColumn id="25" xr3:uid="{448088C9-E1C1-47E6-9443-BE83ECC5C2F2}" name="Draftrate" dataDxfId="346" dataCellStyle="Percent">
      <calculatedColumnFormula>IF(TblMili[[#This Row],[Set]]&lt;&gt;"",TblMili[[#This Row],[Set]],OFFSET(TblMili[[#This Row],[Draftrate]],-1,0))</calculatedColumnFormula>
    </tableColumn>
    <tableColumn id="26" xr3:uid="{EE8F6844-A68F-416E-B5A0-7B6FA4C5DE98}" name="Draftees" dataDxfId="345">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4"/>
    <tableColumn id="28" xr3:uid="{0B20A7CE-7BB6-4469-889B-DF744233C462}" name="Smithies" dataDxfId="343" dataCellStyle="Percent">
      <calculatedColumnFormula>(TblConstr[[#This Row],[Tot Smi]]+TblConstr[[#This Row],[Dest Smi]])/(TblConstr[[#This Row],[Land]]-TblExplore[[#This Row],[Land Bonus]]*20)</calculatedColumnFormula>
    </tableColumn>
    <tableColumn id="29" xr3:uid="{A03A8504-EBEF-4639-9EE4-238592848C94}" name="….." dataDxfId="342"/>
    <tableColumn id="30" xr3:uid="{4B521A36-EE77-42BE-850C-0D858F3717A6}" name="Hour (2)" dataDxfId="341">
      <calculatedColumnFormula>TblMili[[#This Row],[Hour]]</calculatedColumnFormula>
    </tableColumn>
    <tableColumn id="31" xr3:uid="{D44FE507-2C86-49D9-BC07-83C7B27BB255}" name="Time" dataDxfId="340">
      <calculatedColumnFormula>TblExplore[[#This Row],[Time]]</calculatedColumnFormula>
    </tableColumn>
    <tableColumn id="32" xr3:uid="{0DAD6AB9-2259-4821-8771-37863F1ED4CC}" name="Train Unit 1" dataDxfId="339"/>
    <tableColumn id="33" xr3:uid="{0E43B866-578B-4060-84D1-01656CB368A4}" name="Train Unit 2" dataDxfId="338"/>
    <tableColumn id="34" xr3:uid="{3AAC979B-4FF3-4EFF-8F6E-BD28BBE2B8BD}" name="Train Unit 3" dataDxfId="337"/>
    <tableColumn id="35" xr3:uid="{EC6B8083-BC72-4376-9760-2275CF62C1A6}" name="Train Unit 4" dataDxfId="336"/>
    <tableColumn id="36" xr3:uid="{DE15CA92-2C69-4205-88B3-DE37F5AAF9A6}" name="Train Spies" dataDxfId="335"/>
    <tableColumn id="37" xr3:uid="{97770C71-624D-4E73-A8AD-D79927F45908}" name="Train Wiz" dataDxfId="334"/>
    <tableColumn id="38" xr3:uid="{4E456233-AA67-4D90-9179-339EBD335F62}" name="Train Arch" dataDxfId="333"/>
    <tableColumn id="39" xr3:uid="{29C90460-5421-4EA7-A4CB-BDA1C40BF8A1}" name="…..." dataDxfId="332"/>
    <tableColumn id="40" xr3:uid="{2C04ED42-9AAF-4375-A8D4-18DA4B397FAA}" name="Platinum" dataDxfId="331">
      <calculatedColumnFormula>TblProd[[#This Row],[Platinum]]</calculatedColumnFormula>
    </tableColumn>
    <tableColumn id="41" xr3:uid="{122C6EDE-4C24-4A3C-9FA2-6A7942348604}" name="Secondary recource" dataDxfId="330">
      <calculatedColumnFormula>INDEX(TblProd[[#Headers],[Lumber]]:TblProd[[#This Row],[Ore]],COUNTA(TblProd[[#Headers],[Lumber]]:TblProd[[#This Row],[Lumber]]),MATCH(Military!$AO$2,TblProd[[#Headers],[Lumber]:[Ore]],0))</calculatedColumnFormula>
    </tableColumn>
    <tableColumn id="42" xr3:uid="{AD4D72D1-3860-48CA-B3DA-ADFB8307154A}" name="Plat Cost" dataDxfId="32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7">
      <calculatedColumnFormula>TblMili[[#This Row],[Hour]]</calculatedColumnFormula>
    </tableColumn>
    <tableColumn id="45" xr3:uid="{20B1F70F-03BF-43F5-9126-6B2FF45FE149}" name="Time " dataDxfId="326">
      <calculatedColumnFormula>TblMili[[#This Row],[Time]]</calculatedColumnFormula>
    </tableColumn>
    <tableColumn id="46" xr3:uid="{32831987-A30D-4329-BB1C-DB47E6B77B54}" name="Draftees22" dataDxfId="325">
      <calculatedColumnFormula>TblMili[[#This Row],[Draftees]]</calculatedColumnFormula>
    </tableColumn>
    <tableColumn id="47" xr3:uid="{7EBE7BE4-37D1-4B52-B049-F9BE4ABBBADC}" name="Release Draft" dataDxfId="324"/>
    <tableColumn id="48" xr3:uid="{C3BB0EE7-6180-4099-B663-EFA3F1503DB3}" name="Release Unit 1" dataDxfId="323"/>
    <tableColumn id="49" xr3:uid="{EDF7E463-807D-4CE2-B63E-18766260768C}" name="Release Unit 2" dataDxfId="322"/>
    <tableColumn id="50" xr3:uid="{A1BE9DD8-455A-4FAA-8154-5BB2D1A53261}" name="Release Unit 3" dataDxfId="321"/>
    <tableColumn id="51" xr3:uid="{4FE1D56E-EA47-4DF6-B5A4-E78C1D5F5774}" name="Release Unit 4" dataDxfId="320"/>
    <tableColumn id="52" xr3:uid="{F0F9CB78-BA40-4031-AC17-0AB88B159B60}" name="Release Spies" dataDxfId="319"/>
    <tableColumn id="53" xr3:uid="{3CC7AC8A-814F-42C4-B491-A6DFD7A4A93E}" name="Release Wizards" dataDxfId="318"/>
    <tableColumn id="54" xr3:uid="{BCB616C3-3465-4473-B27B-B25584160E71}" name="Release Arch" dataDxfId="317"/>
    <tableColumn id="55" xr3:uid="{6B6EC03F-2A6A-47EB-A7F1-0DFE335A330A}" name="Column31" dataDxfId="316"/>
    <tableColumn id="56" xr3:uid="{71F6F49D-CD22-4E5F-BBB5-61150307312C}" name="WG's" dataDxfId="315">
      <calculatedColumnFormula>TblConstr[[#This Row],[Tot WG]]/TblConstr[[#This Row],[Land]]</calculatedColumnFormula>
    </tableColumn>
    <tableColumn id="57" xr3:uid="{B8AC3F70-AED4-4E5E-9FFD-FF94CB39B791}" name="FH's" dataDxfId="314">
      <calculatedColumnFormula>TblConstr[[#This Row],[Tot Hav]]/TblConstr[[#This Row],[Land]]</calculatedColumnFormula>
    </tableColumn>
    <tableColumn id="58" xr3:uid="{140FE3B0-18E6-43AA-A625-E817354E2D53}" name="OP Plat" dataDxfId="313">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2">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1">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0">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09">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8">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7">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6">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5">
      <calculatedColumnFormula>ROUNDUP((1-MIN(ROUND(fh_spy_cost_red*TblMili[[#This Row],[FH''s]],4),fh_spy_cost_cap)+ tech_1_9*TblTech[[#This Row],[1-9]] + tech_9_1*TblTech[[#This Row],[9-1]])*spy_plat,0)</calculatedColumnFormula>
    </tableColumn>
    <tableColumn id="67" xr3:uid="{CDB40042-773A-4CE1-B670-B62BC884A947}" name="Wizzies cost" dataDxfId="304">
      <calculatedColumnFormula>ROUNDUP((1-MIN(ROUND(wg_wiz_cost_bonus*TblMili[[#This Row],[WG''s]],4),wg_wiz_cost_cap) + tech_1_9_2*TblTech[[#This Row],[1-9]] + tech_9_1_2*TblTech[[#This Row],[9-1]])*wizard_plat,0)</calculatedColumnFormula>
    </tableColumn>
    <tableColumn id="68" xr3:uid="{1053234A-AE18-4A82-94FC-D94692087DE3}" name="AMs cost" dataDxfId="303">
      <calculatedColumnFormula>ROUNDUP((1-MIN(ROUND(wg_wiz_cost_bonus*TblMili[[#This Row],[WG''s]],4),wg_wiz_cost_cap) + tech_1_9_2*TblTech[[#This Row],[1-9]] + tech_9_1_2*TblTech[[#This Row],[9-1]])*archmage_plat,0)</calculatedColumnFormula>
    </tableColumn>
    <tableColumn id="69" xr3:uid="{9D11DA92-CF6B-4838-B51B-494833977486}" name="…2" dataDxfId="302"/>
    <tableColumn id="70" xr3:uid="{1F713D65-CE26-4E75-AF9C-1E2610D02FB6}" name="Hill" dataDxfId="301">
      <calculatedColumnFormula>TblConstr[[#This Row],[Homeland]]/TblConstr[[#This Row],[Land]]</calculatedColumnFormula>
    </tableColumn>
    <tableColumn id="71" xr3:uid="{FBD620E0-8F97-4BED-916D-A8962B459E13}" name="WG" dataDxfId="300">
      <calculatedColumnFormula>TblMili[[#This Row],[WG''s]]</calculatedColumnFormula>
    </tableColumn>
    <tableColumn id="72" xr3:uid="{0F482B90-6164-42A0-AC1A-EB6CBE2239E0}" name="Mystic" dataDxfId="299">
      <calculatedColumnFormula>IF(mystic_cap="none",TblMili[[#This Row],[Hill]]/mystic_bonus,MIN(mystic_cap,TblMili[[#This Row],[Hill]]/mystic_bonus))</calculatedColumnFormula>
    </tableColumn>
    <tableColumn id="73" xr3:uid="{2FD25056-5068-463F-8553-3D2CFBDBD80D}" name="Druid (op)" dataDxfId="298">
      <calculatedColumnFormula>IF(druid_op_cap="none",TblMili[[#This Row],[Hill]]/druid_op_bonus,MIN(druid_op_cap,TblMili[[#This Row],[Hill]]/druid_op_bonus))</calculatedColumnFormula>
    </tableColumn>
    <tableColumn id="74" xr3:uid="{53018DF3-E735-41C7-A3D0-8E634866C57E}" name="Druid (dp)" dataDxfId="297">
      <calculatedColumnFormula>IF(druid_dp_cap="none",TblMili[[#This Row],[Hill]]/druid_dp_bonus,MIN(druid_dp_cap,TblMili[[#This Row],[Hill]]/druid_dp_bonus))</calculatedColumnFormula>
    </tableColumn>
    <tableColumn id="75" xr3:uid="{7F4EE74D-9905-4DF0-A5F6-DDC9D0115356}" name="Dryad" dataDxfId="296">
      <calculatedColumnFormula>MIN(dryad_cap,TblMili[[#This Row],[Hill]]/dryad_bonus)</calculatedColumnFormula>
    </tableColumn>
    <tableColumn id="76" xr3:uid="{E7F9826C-05CD-49D4-95DF-ECCD467D1341}" name="Rockapult" dataDxfId="295">
      <calculatedColumnFormula>MIN(rocka_cap,TblMili[[#This Row],[Hill]]/rocka_bonus)</calculatedColumnFormula>
    </tableColumn>
    <tableColumn id="77" xr3:uid="{A26FFF73-DC56-4E66-8A0E-51A9C837AE8D}" name="Adept" dataDxfId="294">
      <calculatedColumnFormula>MIN(adept_op_cap,TblMili[[#This Row],[WG]]/adept_op_bonus)</calculatedColumnFormula>
    </tableColumn>
    <tableColumn id="78" xr3:uid="{A5F9372F-5EBA-4E5A-AB3F-5A786DE5FEB0}" name="Column35" dataDxfId="293">
      <calculatedColumnFormula>MIN(adept_dp_cap,TblMili[[#This Row],[WG]]/adept_dp_bonus)</calculatedColumnFormula>
    </tableColumn>
    <tableColumn id="79" xr3:uid="{FF50DABE-A375-4222-848D-9C4D1D0FC999}" name="Beasts" dataDxfId="292">
      <calculatedColumnFormula>MIN(TblMili[[#This Row],[Unit 3]],TblMili[[#This Row],[Unit 4]])*2</calculatedColumnFormula>
    </tableColumn>
    <tableColumn id="80" xr3:uid="{FFCDA044-2FD9-4119-B82B-7914D887B7F4}" name="Overlords" dataDxfId="291">
      <calculatedColumnFormula>MIN(TblMili[[#This Row],[Unit 1]],TblMili[[#This Row],[Unit 4]])*2</calculatedColumnFormula>
    </tableColumn>
    <tableColumn id="81" xr3:uid="{00DE2C4D-2323-42A0-B749-2FB5F4E28DBF}" name="Frost Mage" dataDxfId="290">
      <calculatedColumnFormula>MIN(frost_mage_cap,TblMili[[#This Row],[Hill]]/frost_mage_bonus)</calculatedColumnFormula>
    </tableColumn>
    <tableColumn id="82" xr3:uid="{BB055F70-3593-48E8-A32F-2C3BC4E6D218}" name="Ice Elemental" dataDxfId="289">
      <calculatedColumnFormula>MIN(ice_elem_cap,TblMili[[#This Row],[Raw (2)]]*ice_elem_bonus)</calculatedColumnFormula>
    </tableColumn>
    <tableColumn id="83" xr3:uid="{1158BE59-7C9D-4D41-AE99-4249CB18E29F}" name="Orc" dataDxfId="288">
      <calculatedColumnFormula>MIN(bone_breaker_cap,250/bone_breaker_bonus)</calculatedColumnFormula>
    </tableColumn>
    <tableColumn id="84" xr3:uid="{76252BAC-90E5-49A7-B5F9-E399F71EA45D}" name="Nox" dataDxfId="287">
      <calculatedColumnFormula>MIN(nox_nightshade_cap,TblConstr[[#This Row],[Homeland]]/TblConstr[[#This Row],[Land]]/nox_nightshade_swamp_bonus)</calculatedColumnFormula>
    </tableColumn>
    <tableColumn id="85" xr3:uid="{1DFCAA2E-8651-447E-895D-82655A45DF53}" name="Column36" dataDxfId="286"/>
    <tableColumn id="86" xr3:uid="{2B117F31-500F-4EF5-A943-EA4E7192FD0F}" name="Column37" dataDxfId="285"/>
    <tableColumn id="87" xr3:uid="{F3D20B86-D78F-4794-87F9-C555822D3041}" name="Column38" dataDxfId="284"/>
    <tableColumn id="88" xr3:uid="{BDEF093C-2660-4215-8999-F98F4344DFB8}" name="Mystic bonus" dataDxfId="283">
      <calculatedColumnFormula>MIN(6,TblMili[[#This Row],[Mystic]]+Races!$F$19)*1.8 +  IF(TblMili[[#This Row],[Mystic]]+Races!$F$19&gt;6,(TblMili[[#This Row],[Mystic]]+Races!$F$19-6)*0.2,0) - Races!$I$19</calculatedColumnFormula>
    </tableColumn>
    <tableColumn id="89" xr3:uid="{46F4DC63-3122-4751-919D-25DE59A7EF66}" name="Druid bonus" dataDxfId="28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1">
      <calculatedColumnFormula>TblMili[[#This Row],[Mystic bonus]]*TblMili[[#This Row],[Unit 3]]+TblMili[[#This Row],[Druid bonus]]*TblMili[[#This Row],[Unit 4]]</calculatedColumnFormula>
    </tableColumn>
    <tableColumn id="91" xr3:uid="{4EE98187-D861-41F7-99BA-17048C4D8D34}" name="Dryad bonus" dataDxfId="280">
      <calculatedColumnFormula>MIN(6,TblMili[[#This Row],[Dryad]]+Races!$F$35)*1.8 +  IF(TblMili[[#This Row],[Dryad]]+Races!$F$35&gt;6,(TblMili[[#This Row],[Dryad]]+Races!$F$35-6)*0.2,0) - Races!$I$19</calculatedColumnFormula>
    </tableColumn>
    <tableColumn id="92" xr3:uid="{4D0FBA77-63EB-4AF7-AA3C-BF4D432786D2}" name="Sylvan bonus" dataDxfId="279">
      <calculatedColumnFormula>sylvan*(TblMili[[#This Row],[Mystic bonus]]*TblMili[[#This Row],[Unit 3]])</calculatedColumnFormula>
    </tableColumn>
    <tableColumn id="93" xr3:uid="{9CB7A2CE-8BEC-402B-B1F0-5A1153673E45}" name="Rockapult bonus" dataDxfId="27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7">
      <calculatedColumnFormula>gnome*(TblMili[[#This Row],[Rockapult bonus]]*TblMili[[#This Row],[Unit 3]])</calculatedColumnFormula>
    </tableColumn>
    <tableColumn id="95" xr3:uid="{A02C2188-BFCD-4178-8B64-B969D4D2D97B}" name="Adept bonus" dataDxfId="276">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5">
      <calculatedColumnFormula>dark_elf*(TblMili[[#This Row],[Adept bonus]]*TblMili[[#This Row],[Unit 3]])</calculatedColumnFormula>
    </tableColumn>
    <tableColumn id="97" xr3:uid="{19730E51-BC55-444F-8E03-4B3A51C0E3D8}" name="Frost Mage bonus" dataDxfId="27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2">
      <calculatedColumnFormula>TblMili[[#This Row],[Frost Mage bonus]]*TblMili[[#This Row],[Unit 3]]+TblMili[[#This Row],[Ice Elemental bonus]]*TblMili[[#This Row],[Unit 4]]</calculatedColumnFormula>
    </tableColumn>
    <tableColumn id="100" xr3:uid="{A2072E36-3982-4B78-93F1-3B2C7DD41EB6}" name="Column46" dataDxfId="271"/>
    <tableColumn id="101" xr3:uid="{AA2C19ED-CD7C-4497-8949-4735D8380A50}" name="Column47" dataDxfId="270"/>
    <tableColumn id="102" xr3:uid="{045A1C5D-FFD7-4F37-8C55-3E1C6325D69C}" name="Column48" dataDxfId="269"/>
    <tableColumn id="103" xr3:uid="{CA1D4487-36A8-42BE-AAE8-1C025B923059}" name="Networth (2)" dataDxfId="26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7"/>
    <tableColumn id="105" xr3:uid="{628D592A-8396-4FB0-BFC1-BC7CA81586EE}" name="Raw (2)" dataDxfId="266">
      <calculatedColumnFormula>(TblMili[[#This Row],[Wizards]]+2*TblMili[[#This Row],[Archmages]])/TblConstr[[#This Row],[Land]]</calculatedColumnFormula>
    </tableColumn>
    <tableColumn id="106" xr3:uid="{016BFDB0-CD57-41C0-AF17-CB540C2E962C}" name="Modded (2)" dataDxfId="26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6" dataDxfId="254" headerRowBorderDxfId="255" tableBorderDxfId="253">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2">
      <calculatedColumnFormula>TblRezone[[#This Row],[Hour]]</calculatedColumnFormula>
    </tableColumn>
    <tableColumn id="2" xr3:uid="{E160E2FF-C983-4A55-B03E-684BAA5D56D7}" name="Land" dataDxfId="251">
      <calculatedColumnFormula>TblConstr[[#This Row],[Land]]</calculatedColumnFormula>
    </tableColumn>
    <tableColumn id="3" xr3:uid="{CEA3931F-9B77-4317-A7C7-C5D0214A12BA}" name="Mana" dataDxfId="250">
      <calculatedColumnFormula>TblProd[[#This Row],[Mana]]</calculatedColumnFormula>
    </tableColumn>
    <tableColumn id="4" xr3:uid="{D383CA2D-65F3-4634-A1DD-E4ECA1CC96C8}" name="Wiz str" dataDxfId="24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8">
      <calculatedColumnFormula>OFFSET(TblMagic[[#This Row],[Time]],-1,0)+1/24</calculatedColumnFormula>
    </tableColumn>
    <tableColumn id="6" xr3:uid="{6625E0CA-37E1-457D-817F-784FA6A7A47B}" name="Pop" dataDxfId="247">
      <calculatedColumnFormula>TblImps[[#This Row],[Population]]</calculatedColumnFormula>
    </tableColumn>
    <tableColumn id="7" xr3:uid="{74B4A440-273D-4100-B1BC-91171D1D20B6}" name="Gaia's Watch" dataDxfId="246"/>
    <tableColumn id="8" xr3:uid="{43E4A01F-74F7-4C30-9D8A-3079A04763B9}" name="Mining Strength" dataDxfId="245"/>
    <tableColumn id="9" xr3:uid="{1A92950C-8F89-409E-9002-FCC57F75ADE0}" name="Ares Call" dataDxfId="244"/>
    <tableColumn id="10" xr3:uid="{A04C0737-02D0-4DAA-B9D7-324E3D59498C}" name="Midas Touch" dataDxfId="243"/>
    <tableColumn id="11" xr3:uid="{028D46F5-0AAD-49F8-AC48-D5E2C41FD4C2}" name="Harmony" dataDxfId="242"/>
    <tableColumn id="12" xr3:uid="{42548E68-C2D5-44CD-99FA-6AD40E64E185}" name="Miner's Sight" dataDxfId="241"/>
    <tableColumn id="13" xr3:uid="{D64F8C18-3DBE-4D7A-8AA3-C35E04DD6CAC}" name="Mechanical Genius" dataDxfId="240"/>
    <tableColumn id="14" xr3:uid="{0165862E-59ED-45FB-BD5A-0C7DCAA39217}" name="Frenzy" dataDxfId="239"/>
    <tableColumn id="15" xr3:uid="{762B30AD-670D-48C3-94F1-2BA1DC4089CC}" name="Killing Rage / Bloodrage" dataDxfId="238"/>
    <tableColumn id="16" xr3:uid="{0162EA56-857C-4157-A7AB-4D90C9EA47F1}" name="Gaia's Blessing" dataDxfId="237"/>
    <tableColumn id="17" xr3:uid="{6D83302D-974B-4742-8BDA-D99BB673F6D7}" name="Howling" dataDxfId="236"/>
    <tableColumn id="18" xr3:uid="{081EE08A-AA95-4648-9376-F68D04887352}" name="Blizzard" dataDxfId="235"/>
    <tableColumn id="19" xr3:uid="{3BCC0361-67FB-4576-8296-8E91F374A4A4}" name="Alchemists Flame" dataDxfId="234"/>
    <tableColumn id="20" xr3:uid="{CFB1AFFE-0570-4E81-B96B-5EE870CC5038}" name="Nightfall / Crusade" dataDxfId="233"/>
    <tableColumn id="21" xr3:uid="{4F53D2F5-E2E8-4AEE-975D-5B925FA589B0}" name="Useless spell" dataDxfId="232"/>
    <tableColumn id="22" xr3:uid="{E7040239-1040-4E8C-8EEB-3D517AC825BD}" name="." dataDxfId="231"/>
    <tableColumn id="23" xr3:uid="{8F45EE21-92D1-4622-B103-16B477DF630B}" name="Mana cost" dataDxfId="230">
      <calculatedColumnFormula>(MAX(1-wg_spell_cost_cap,1-wg_spell_cost_red*ROUND(TblConstr[[#This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calculatedColumnFormula>
    </tableColumn>
    <tableColumn id="24" xr3:uid="{E5989948-C7D1-4D66-B08C-D3D373071144}" name="Wiz str cost" dataDxfId="229">
      <calculatedColumnFormula>SUMIF(TblMagic[[#This Row],[Gaia''s Watch]:[Useless spell]],1)*0.05</calculatedColumnFormula>
    </tableColumn>
    <tableColumn id="25" xr3:uid="{2466DF86-89FE-4172-9850-F9FBAE56839D}" name=".." dataDxfId="228"/>
    <tableColumn id="26" xr3:uid="{F8559349-C288-4EC3-B38A-23771E549D1D}" name="Active Gaia's Watch" dataDxfId="227">
      <calculatedColumnFormula>IF(TblMagic[[#This Row],[Gaia''s Watch]],12,IF(OFFSET(TblMagic[[#This Row],[Active Gaia''s Watch]],-1,0)&gt;0,OFFSET(TblMagic[[#This Row],[Active Gaia''s Watch]],-1,0)-1,0))</calculatedColumnFormula>
    </tableColumn>
    <tableColumn id="27" xr3:uid="{00F45689-4686-422F-8E94-89C18992B261}" name="Active Mining Strength" dataDxfId="226">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5">
      <calculatedColumnFormula>IF(TblMagic[[#This Row],[Ares Call]],12,IF(OFFSET(TblMagic[[#This Row],[Active Ares Call]],-1,0)&gt;0,OFFSET(TblMagic[[#This Row],[Active Ares Call]],-1,0)-1,0))</calculatedColumnFormula>
    </tableColumn>
    <tableColumn id="29" xr3:uid="{BCC9ACB6-69AC-4DA1-B07D-F4802162CEF5}" name="Active Midas Touch" dataDxfId="224">
      <calculatedColumnFormula>IF(TblMagic[[#This Row],[Midas Touch]],12,IF(OFFSET(TblMagic[[#This Row],[Active Midas Touch]],-1,0)&gt;0,OFFSET(TblMagic[[#This Row],[Active Midas Touch]],-1,0)-1,0))</calculatedColumnFormula>
    </tableColumn>
    <tableColumn id="30" xr3:uid="{D13DA239-CC1B-41FD-A41B-68906B10F262}" name="Active Harmony" dataDxfId="223">
      <calculatedColumnFormula>IF(TblMagic[[#This Row],[Harmony]],12,IF(OFFSET(TblMagic[[#This Row],[Active Harmony]],-1,0)&gt;0,OFFSET(TblMagic[[#This Row],[Active Harmony]],-1,0)-1,0))</calculatedColumnFormula>
    </tableColumn>
    <tableColumn id="31" xr3:uid="{10D4FEA0-0AA8-4F31-8F5A-8576AE611BDA}" name="Active Miner's Sight" dataDxfId="222">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1">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0">
      <calculatedColumnFormula>IF(TblMagic[[#This Row],[Frenzy]],12,IF(OFFSET(TblMagic[[#This Row],[Active Frenzy]],-1,0)&gt;0,OFFSET(TblMagic[[#This Row],[Active Frenzy]],-1,0)-1,0))</calculatedColumnFormula>
    </tableColumn>
    <tableColumn id="34" xr3:uid="{3460E27B-FD4A-47FC-A87F-BAFED0FCC033}" name="Active Warsong / Killing Rage / Bloodrage" dataDxfId="219">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8">
      <calculatedColumnFormula>IF(TblMagic[[#This Row],[Gaia''s Blessing]],12,IF(OFFSET(TblMagic[[#This Row],[Active Gaia''s Blessing]],-1,0)&gt;0,OFFSET(TblMagic[[#This Row],[Active Gaia''s Blessing]],-1,0)-1,0))</calculatedColumnFormula>
    </tableColumn>
    <tableColumn id="36" xr3:uid="{DB2BE469-2BE3-4333-BFBC-C2857399E743}" name="Active Howling" dataDxfId="217">
      <calculatedColumnFormula>IF(TblMagic[[#This Row],[Howling]],12,IF(OFFSET(TblMagic[[#This Row],[Active Howling]],-1,0)&gt;0,OFFSET(TblMagic[[#This Row],[Active Howling]],-1,0)-1,0))</calculatedColumnFormula>
    </tableColumn>
    <tableColumn id="37" xr3:uid="{F5838FA3-8068-44AA-A6A2-758F46E5F78D}" name="Active Blizzard" dataDxfId="216">
      <calculatedColumnFormula>IF(TblMagic[[#This Row],[Blizzard]],12,IF(OFFSET(TblMagic[[#This Row],[Active Blizzard]],-1,0)&gt;0,OFFSET(TblMagic[[#This Row],[Active Blizzard]],-1,0)-1,0))</calculatedColumnFormula>
    </tableColumn>
    <tableColumn id="38" xr3:uid="{11215FCC-A994-4C4E-835C-F365C4B7BDF8}" name="Active Alchemists Flame" dataDxfId="215">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4">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3" dataDxfId="212">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1">
      <calculatedColumnFormula>TblRezone[[#This Row],[Hour]]</calculatedColumnFormula>
    </tableColumn>
    <tableColumn id="3" xr3:uid="{DA4A1ACF-68D6-4564-BB1C-C3C3172606A1}" name="Land" dataDxfId="210">
      <calculatedColumnFormula>TblExplore[[#This Row],[Land-DB]]</calculatedColumnFormula>
    </tableColumn>
    <tableColumn id="4" xr3:uid="{05D0DCAF-595D-47DB-9D6C-DB4A543CF655}" name="Techpoints" dataDxfId="209">
      <calculatedColumnFormula>TblProd[[#This Row],[Techpoints]]</calculatedColumnFormula>
    </tableColumn>
    <tableColumn id="5" xr3:uid="{B8D24105-AE76-4A7C-9D26-589CB9891ED4}" name="Cost" dataDxfId="208">
      <calculatedColumnFormula>TblProd[[#This Row],[Required]]</calculatedColumnFormula>
    </tableColumn>
    <tableColumn id="93" xr3:uid="{2ABEB4AB-3FE9-4283-8DD1-DADEE729E1F4}" name="." dataDxfId="207"/>
    <tableColumn id="9" xr3:uid="{94ADF196-65A4-42D5-B9F1-902A2448736A}" name="Activate @ hour" dataDxfId="206"/>
    <tableColumn id="10" xr3:uid="{41EC03BC-D935-4DB1-9358-D7E68CB11DA3}" name="Number" dataDxfId="205"/>
    <tableColumn id="19" xr3:uid="{8781F361-D9CA-4DDC-83D1-8F9FCDC61FD4}" name="Tech name" dataDxfId="204"/>
    <tableColumn id="11" xr3:uid="{ED497BC4-A3FE-4968-980C-41E3E397E8F1}" name="Gains" dataDxfId="203"/>
    <tableColumn id="20" xr3:uid="{B66F94F3-B0AC-4CC0-9E7C-4CF7E4C92EEE}" name=".." dataDxfId="202"/>
    <tableColumn id="21" xr3:uid="{4775993E-7C72-4134-8A78-3FB7DCE45728}" name="…" dataDxfId="201">
      <calculatedColumnFormula>IF(TblTech[[#This Row],[Sum of tech]]&lt;&gt;OFFSET(TblTech[[#This Row],[Sum of tech]],-1,0),1,0)</calculatedColumnFormula>
    </tableColumn>
    <tableColumn id="22" xr3:uid="{DFF59F63-FD6B-45DE-9EEF-3899A7D747EF}" name="Sum of tech" dataDxfId="200">
      <calculatedColumnFormula>COUNTIF(TblTech[[#This Row],[1-1]:[11-1]],1)</calculatedColumnFormula>
    </tableColumn>
    <tableColumn id="23" xr3:uid="{26B2ED42-21EF-41D3-8431-65B8DCB84C2C}" name="1-1" dataDxfId="199">
      <calculatedColumnFormula array="1">IF(AND(M$2&lt;&gt;0,TblTech[[#This Row],[Hour]:[Hour]]&gt;=M$2),1,0)</calculatedColumnFormula>
    </tableColumn>
    <tableColumn id="24" xr3:uid="{50258140-FB02-4B3A-8985-9EF35792D437}" name="1-2" dataDxfId="198">
      <calculatedColumnFormula array="1">IF(AND(N$2&lt;&gt;0,TblTech[[#This Row],[Hour]:[Hour]]&gt;=N$2),1,0)</calculatedColumnFormula>
    </tableColumn>
    <tableColumn id="25" xr3:uid="{7124BFDC-5B72-4806-BD66-A9B40B96E890}" name="1-3" dataDxfId="197">
      <calculatedColumnFormula array="1">IF(AND(O$2&lt;&gt;0,TblTech[[#This Row],[Hour]:[Hour]]&gt;=O$2),1,0)</calculatedColumnFormula>
    </tableColumn>
    <tableColumn id="26" xr3:uid="{7F0A139B-B30E-4409-9274-8016025EA227}" name="1-4" dataDxfId="196">
      <calculatedColumnFormula array="1">IF(AND(P$2&lt;&gt;0,TblTech[[#This Row],[Hour]:[Hour]]&gt;=P$2),1,0)</calculatedColumnFormula>
    </tableColumn>
    <tableColumn id="27" xr3:uid="{29B9EAE2-227D-4807-9E41-445565CAAFF7}" name="1-5" dataDxfId="195">
      <calculatedColumnFormula array="1">IF(AND(Q$2&lt;&gt;0,TblTech[[#This Row],[Hour]:[Hour]]&gt;=Q$2),1,0)</calculatedColumnFormula>
    </tableColumn>
    <tableColumn id="28" xr3:uid="{43587F1E-C217-44F9-817A-0114F7F48D02}" name="1-6" dataDxfId="194">
      <calculatedColumnFormula array="1">IF(AND(R$2&lt;&gt;0,TblTech[[#This Row],[Hour]:[Hour]]&gt;=R$2),1,0)</calculatedColumnFormula>
    </tableColumn>
    <tableColumn id="29" xr3:uid="{0524F9E6-09EC-4986-B7A6-35B925952E60}" name="1-7" dataDxfId="193">
      <calculatedColumnFormula array="1">IF(AND(S$2&lt;&gt;0,TblTech[[#This Row],[Hour]:[Hour]]&gt;=S$2),1,0)</calculatedColumnFormula>
    </tableColumn>
    <tableColumn id="30" xr3:uid="{188B6808-99A1-4A91-A689-87097F62C1C1}" name="1-8" dataDxfId="192">
      <calculatedColumnFormula array="1">IF(AND(T$2&lt;&gt;0,TblTech[[#This Row],[Hour]:[Hour]]&gt;=T$2),1,0)</calculatedColumnFormula>
    </tableColumn>
    <tableColumn id="31" xr3:uid="{DC02C18F-47C9-4A23-8F34-9E02A677D29B}" name="1-9" dataDxfId="191">
      <calculatedColumnFormula array="1">IF(AND(U$2&lt;&gt;0,TblTech[[#This Row],[Hour]:[Hour]]&gt;=U$2),1,0)</calculatedColumnFormula>
    </tableColumn>
    <tableColumn id="32" xr3:uid="{21B6A564-7028-4932-914B-F32A59CAEC67}" name="1-10" dataDxfId="190">
      <calculatedColumnFormula array="1">IF(AND(V$2&lt;&gt;0,TblTech[[#This Row],[Hour]:[Hour]]&gt;=V$2),1,0)</calculatedColumnFormula>
    </tableColumn>
    <tableColumn id="33" xr3:uid="{BE08B152-511E-4680-AD58-AFCC2777EE65}" name="1-11" dataDxfId="189">
      <calculatedColumnFormula array="1">IF(AND(W$2&lt;&gt;0,TblTech[[#This Row],[Hour]:[Hour]]&gt;=W$2),1,0)</calculatedColumnFormula>
    </tableColumn>
    <tableColumn id="34" xr3:uid="{F0B67B28-DF8B-4FF4-BE8F-BD953642450D}" name="2-1" dataDxfId="188">
      <calculatedColumnFormula array="1">IF(AND(X$2&lt;&gt;0,TblTech[[#This Row],[Hour]:[Hour]]&gt;=X$2),1,0)</calculatedColumnFormula>
    </tableColumn>
    <tableColumn id="35" xr3:uid="{E1C38FB5-1814-43BE-8628-9E331159B491}" name="2-2" dataDxfId="187">
      <calculatedColumnFormula array="1">IF(AND(Y$2&lt;&gt;0,TblTech[[#This Row],[Hour]:[Hour]]&gt;=Y$2),1,0)</calculatedColumnFormula>
    </tableColumn>
    <tableColumn id="36" xr3:uid="{8EEFA1A3-F668-44A9-99D5-F625CDEC0846}" name="2-3" dataDxfId="186">
      <calculatedColumnFormula array="1">IF(AND(Z$2&lt;&gt;0,TblTech[[#This Row],[Hour]:[Hour]]&gt;=Z$2),1,0)</calculatedColumnFormula>
    </tableColumn>
    <tableColumn id="37" xr3:uid="{8B9C353C-5141-4E70-88A8-3C0ADC0F65A2}" name="2-4" dataDxfId="185">
      <calculatedColumnFormula array="1">IF(AND(AA$2&lt;&gt;0,TblTech[[#This Row],[Hour]:[Hour]]&gt;=AA$2),1,0)</calculatedColumnFormula>
    </tableColumn>
    <tableColumn id="38" xr3:uid="{4F9949FA-D32C-43B0-A632-BDA246027740}" name="2-5" dataDxfId="184">
      <calculatedColumnFormula array="1">IF(AND(AB$2&lt;&gt;0,TblTech[[#This Row],[Hour]:[Hour]]&gt;=AB$2),1,0)</calculatedColumnFormula>
    </tableColumn>
    <tableColumn id="39" xr3:uid="{E35ABE45-7462-4288-879B-43C24510B588}" name="2-6" dataDxfId="183">
      <calculatedColumnFormula array="1">IF(AND(AC$2&lt;&gt;0,TblTech[[#This Row],[Hour]:[Hour]]&gt;=AC$2),1,0)</calculatedColumnFormula>
    </tableColumn>
    <tableColumn id="40" xr3:uid="{B02ACA29-3024-4B8E-B2F0-E65F48E762BF}" name="2-7" dataDxfId="182">
      <calculatedColumnFormula array="1">IF(AND(AD$2&lt;&gt;0,TblTech[[#This Row],[Hour]:[Hour]]&gt;=AD$2),1,0)</calculatedColumnFormula>
    </tableColumn>
    <tableColumn id="41" xr3:uid="{34022863-F0D7-473E-B433-052438597C70}" name="2-8" dataDxfId="181">
      <calculatedColumnFormula array="1">IF(AND(AE$2&lt;&gt;0,TblTech[[#This Row],[Hour]:[Hour]]&gt;=AE$2),1,0)</calculatedColumnFormula>
    </tableColumn>
    <tableColumn id="42" xr3:uid="{4264B147-345F-4187-898B-976D4720C3B2}" name="2-9" dataDxfId="180">
      <calculatedColumnFormula array="1">IF(AND(AF$2&lt;&gt;0,TblTech[[#This Row],[Hour]:[Hour]]&gt;=AF$2),1,0)</calculatedColumnFormula>
    </tableColumn>
    <tableColumn id="43" xr3:uid="{040A812F-9A82-4FA5-96D4-BB0CE9B1567D}" name="2-10" dataDxfId="179">
      <calculatedColumnFormula array="1">IF(AND(AG$2&lt;&gt;0,TblTech[[#This Row],[Hour]:[Hour]]&gt;=AG$2),1,0)</calculatedColumnFormula>
    </tableColumn>
    <tableColumn id="44" xr3:uid="{65E9F477-8A73-4C7D-9453-E8F8A13C4220}" name="3-1" dataDxfId="178">
      <calculatedColumnFormula array="1">IF(AND(AH$2&lt;&gt;0,TblTech[[#This Row],[Hour]:[Hour]]&gt;=AH$2),1,0)</calculatedColumnFormula>
    </tableColumn>
    <tableColumn id="45" xr3:uid="{86A8FA88-B983-4431-9D5A-9A068F2DE89C}" name="3-2" dataDxfId="177">
      <calculatedColumnFormula array="1">IF(AND(AI$2&lt;&gt;0,TblTech[[#This Row],[Hour]:[Hour]]&gt;=AI$2),1,0)</calculatedColumnFormula>
    </tableColumn>
    <tableColumn id="46" xr3:uid="{B4D6E3D7-41BB-4A05-98AF-36C706567C66}" name="3-3" dataDxfId="176">
      <calculatedColumnFormula array="1">IF(AND(AJ$2&lt;&gt;0,TblTech[[#This Row],[Hour]:[Hour]]&gt;=AJ$2),1,0)</calculatedColumnFormula>
    </tableColumn>
    <tableColumn id="47" xr3:uid="{A65655BF-F389-46E7-B712-282C9B16E721}" name="3-4" dataDxfId="175">
      <calculatedColumnFormula array="1">IF(AND(AK$2&lt;&gt;0,TblTech[[#This Row],[Hour]:[Hour]]&gt;=AK$2),1,0)</calculatedColumnFormula>
    </tableColumn>
    <tableColumn id="48" xr3:uid="{6AC53AFF-C5BC-4C6E-A226-AD750DEF26F0}" name="3-5" dataDxfId="174">
      <calculatedColumnFormula array="1">IF(AND(AL$2&lt;&gt;0,TblTech[[#This Row],[Hour]:[Hour]]&gt;=AL$2),1,0)</calculatedColumnFormula>
    </tableColumn>
    <tableColumn id="49" xr3:uid="{517C8F30-6F70-4A9F-930D-87F70A281D06}" name="3-6" dataDxfId="173">
      <calculatedColumnFormula array="1">IF(AND(AM$2&lt;&gt;0,TblTech[[#This Row],[Hour]:[Hour]]&gt;=AM$2),1,0)</calculatedColumnFormula>
    </tableColumn>
    <tableColumn id="50" xr3:uid="{3B9D0CD9-1DC1-4BF8-84D6-0C15DCE53BA3}" name="3-7" dataDxfId="172">
      <calculatedColumnFormula array="1">IF(AND(AN$2&lt;&gt;0,TblTech[[#This Row],[Hour]:[Hour]]&gt;=AN$2),1,0)</calculatedColumnFormula>
    </tableColumn>
    <tableColumn id="51" xr3:uid="{BF773A1C-6C94-4253-89D5-6B882BDABD54}" name="3-8" dataDxfId="171">
      <calculatedColumnFormula array="1">IF(AND(AO$2&lt;&gt;0,TblTech[[#This Row],[Hour]:[Hour]]&gt;=AO$2),1,0)</calculatedColumnFormula>
    </tableColumn>
    <tableColumn id="52" xr3:uid="{D719799C-D81A-4575-B1F1-9835FB72D924}" name="3-9" dataDxfId="170">
      <calculatedColumnFormula array="1">IF(AND(AP$2&lt;&gt;0,TblTech[[#This Row],[Hour]:[Hour]]&gt;=AP$2),1,0)</calculatedColumnFormula>
    </tableColumn>
    <tableColumn id="53" xr3:uid="{81CD67AD-C2F6-496B-991C-75EACF4860E0}" name="4-1" dataDxfId="169">
      <calculatedColumnFormula array="1">IF(AND(AQ$2&lt;&gt;0,TblTech[[#This Row],[Hour]:[Hour]]&gt;=AQ$2),1,0)</calculatedColumnFormula>
    </tableColumn>
    <tableColumn id="54" xr3:uid="{3255B3D4-FF8E-4B91-8A83-C128D00B29D0}" name="4-2" dataDxfId="168">
      <calculatedColumnFormula array="1">IF(AND(AR$2&lt;&gt;0,TblTech[[#This Row],[Hour]:[Hour]]&gt;=AR$2),1,0)</calculatedColumnFormula>
    </tableColumn>
    <tableColumn id="55" xr3:uid="{E9B22F56-FCCE-4890-8FF4-FF6D8C0863D0}" name="4-3" dataDxfId="167">
      <calculatedColumnFormula array="1">IF(AND(AS$2&lt;&gt;0,TblTech[[#This Row],[Hour]:[Hour]]&gt;=AS$2),1,0)</calculatedColumnFormula>
    </tableColumn>
    <tableColumn id="56" xr3:uid="{1C0A6BE0-6DBC-40E6-B512-F921E4637B0B}" name="4-4" dataDxfId="166">
      <calculatedColumnFormula array="1">IF(AND(AT$2&lt;&gt;0,TblTech[[#This Row],[Hour]:[Hour]]&gt;=AT$2),1,0)</calculatedColumnFormula>
    </tableColumn>
    <tableColumn id="57" xr3:uid="{5DAC0420-BB86-481B-957A-78DB826A7E20}" name="4-5" dataDxfId="165">
      <calculatedColumnFormula array="1">IF(AND(AU$2&lt;&gt;0,TblTech[[#This Row],[Hour]:[Hour]]&gt;=AU$2),1,0)</calculatedColumnFormula>
    </tableColumn>
    <tableColumn id="58" xr3:uid="{2442830B-618D-4A03-A6E6-23EC65BAB59B}" name="4-6" dataDxfId="164">
      <calculatedColumnFormula array="1">IF(AND(AV$2&lt;&gt;0,TblTech[[#This Row],[Hour]:[Hour]]&gt;=AV$2),1,0)</calculatedColumnFormula>
    </tableColumn>
    <tableColumn id="59" xr3:uid="{8AB48F18-B215-484F-9058-BE5431D00ED5}" name="4-7" dataDxfId="163">
      <calculatedColumnFormula array="1">IF(AND(AW$2&lt;&gt;0,TblTech[[#This Row],[Hour]:[Hour]]&gt;=AW$2),1,0)</calculatedColumnFormula>
    </tableColumn>
    <tableColumn id="60" xr3:uid="{3B7FB99A-0607-4DBC-A93C-47B6B21464A5}" name="4-8" dataDxfId="162">
      <calculatedColumnFormula array="1">IF(AND(AX$2&lt;&gt;0,TblTech[[#This Row],[Hour]:[Hour]]&gt;=AX$2),1,0)</calculatedColumnFormula>
    </tableColumn>
    <tableColumn id="61" xr3:uid="{CFAAB1A4-4760-4FF3-BF0E-D276BAEF346A}" name="5-1" dataDxfId="161">
      <calculatedColumnFormula array="1">IF(AND(AY$2&lt;&gt;0,TblTech[[#This Row],[Hour]:[Hour]]&gt;=AY$2),1,0)</calculatedColumnFormula>
    </tableColumn>
    <tableColumn id="62" xr3:uid="{E5F62076-AF81-4EE1-A6D2-C4FBF4181C93}" name="5-2" dataDxfId="160">
      <calculatedColumnFormula array="1">IF(AND(AZ$2&lt;&gt;0,TblTech[[#This Row],[Hour]:[Hour]]&gt;=AZ$2),1,0)</calculatedColumnFormula>
    </tableColumn>
    <tableColumn id="63" xr3:uid="{EE3346E8-7A22-4F0A-94B7-B36570A0B72E}" name="5-3" dataDxfId="159">
      <calculatedColumnFormula array="1">IF(AND(BA$2&lt;&gt;0,TblTech[[#This Row],[Hour]:[Hour]]&gt;=BA$2),1,0)</calculatedColumnFormula>
    </tableColumn>
    <tableColumn id="64" xr3:uid="{19F3E157-570E-4E1E-BCC2-3EF92D7B8A8B}" name="5-4" dataDxfId="158">
      <calculatedColumnFormula array="1">IF(AND(BB$2&lt;&gt;0,TblTech[[#This Row],[Hour]:[Hour]]&gt;=BB$2),1,0)</calculatedColumnFormula>
    </tableColumn>
    <tableColumn id="65" xr3:uid="{A59D5D3A-678C-49C4-A3B5-D86FF0C14500}" name="5-5" dataDxfId="157">
      <calculatedColumnFormula array="1">IF(AND(BC$2&lt;&gt;0,TblTech[[#This Row],[Hour]:[Hour]]&gt;=BC$2),1,0)</calculatedColumnFormula>
    </tableColumn>
    <tableColumn id="66" xr3:uid="{3EBEC9F5-18F1-461D-AF3F-E66DA870B9ED}" name="5-6" dataDxfId="156">
      <calculatedColumnFormula array="1">IF(AND(BD$2&lt;&gt;0,TblTech[[#This Row],[Hour]:[Hour]]&gt;=BD$2),1,0)</calculatedColumnFormula>
    </tableColumn>
    <tableColumn id="67" xr3:uid="{20985549-198B-4F2A-AF78-070BD8A22298}" name="5-7" dataDxfId="155">
      <calculatedColumnFormula array="1">IF(AND(BE$2&lt;&gt;0,TblTech[[#This Row],[Hour]:[Hour]]&gt;=BE$2),1,0)</calculatedColumnFormula>
    </tableColumn>
    <tableColumn id="68" xr3:uid="{F4DDB15D-3A5D-449E-8491-EA836A4AB090}" name="6-1" dataDxfId="154">
      <calculatedColumnFormula array="1">IF(AND(BF$2&lt;&gt;0,TblTech[[#This Row],[Hour]:[Hour]]&gt;=BF$2),1,0)</calculatedColumnFormula>
    </tableColumn>
    <tableColumn id="69" xr3:uid="{CC7E2300-DCD5-46C6-AD93-8F283F035DAF}" name="6-2" dataDxfId="153">
      <calculatedColumnFormula array="1">IF(AND(BG$2&lt;&gt;0,TblTech[[#This Row],[Hour]:[Hour]]&gt;=BG$2),1,0)</calculatedColumnFormula>
    </tableColumn>
    <tableColumn id="70" xr3:uid="{0DC5B532-84DD-40E3-9A96-3B7ED120C52C}" name="6-3" dataDxfId="152">
      <calculatedColumnFormula array="1">IF(AND(BH$2&lt;&gt;0,TblTech[[#This Row],[Hour]:[Hour]]&gt;=BH$2),1,0)</calculatedColumnFormula>
    </tableColumn>
    <tableColumn id="71" xr3:uid="{DBF8F56A-2B38-47BE-86BB-D34F12B071FA}" name="6-4" dataDxfId="151">
      <calculatedColumnFormula array="1">IF(AND(BI$2&lt;&gt;0,TblTech[[#This Row],[Hour]:[Hour]]&gt;=BI$2),1,0)</calculatedColumnFormula>
    </tableColumn>
    <tableColumn id="72" xr3:uid="{8A63D20A-B735-48C5-9D04-93C0E6922380}" name="6-5" dataDxfId="150">
      <calculatedColumnFormula array="1">IF(AND(BJ$2&lt;&gt;0,TblTech[[#This Row],[Hour]:[Hour]]&gt;=BJ$2),1,0)</calculatedColumnFormula>
    </tableColumn>
    <tableColumn id="73" xr3:uid="{40ABCA6E-09C4-437C-8184-D2AA8A46BADC}" name="6-6" dataDxfId="149">
      <calculatedColumnFormula array="1">IF(AND(BK$2&lt;&gt;0,TblTech[[#This Row],[Hour]:[Hour]]&gt;=BK$2),1,0)</calculatedColumnFormula>
    </tableColumn>
    <tableColumn id="74" xr3:uid="{304D27FC-5054-456F-9FA0-3E170324E735}" name="7-1" dataDxfId="148">
      <calculatedColumnFormula array="1">IF(AND(BL$2&lt;&gt;0,TblTech[[#This Row],[Hour]:[Hour]]&gt;=BL$2),1,0)</calculatedColumnFormula>
    </tableColumn>
    <tableColumn id="75" xr3:uid="{F53A9B26-BE5F-4442-9E77-570EB38C7B2D}" name="7-2" dataDxfId="147">
      <calculatedColumnFormula array="1">IF(AND(BM$2&lt;&gt;0,TblTech[[#This Row],[Hour]:[Hour]]&gt;=BM$2),1,0)</calculatedColumnFormula>
    </tableColumn>
    <tableColumn id="76" xr3:uid="{5A1C0BCB-6C77-48A3-8B36-DA0838BEFD4F}" name="7-3" dataDxfId="146">
      <calculatedColumnFormula array="1">IF(AND(BN$2&lt;&gt;0,TblTech[[#This Row],[Hour]:[Hour]]&gt;=BN$2),1,0)</calculatedColumnFormula>
    </tableColumn>
    <tableColumn id="77" xr3:uid="{96D50B4B-A1C4-4AE1-87EE-409B3128CB4D}" name="7-4" dataDxfId="145">
      <calculatedColumnFormula array="1">IF(AND(BO$2&lt;&gt;0,TblTech[[#This Row],[Hour]:[Hour]]&gt;=BO$2),1,0)</calculatedColumnFormula>
    </tableColumn>
    <tableColumn id="78" xr3:uid="{64A36F5D-65DB-44C8-84EC-A1A1FFF2B3AB}" name="7-5" dataDxfId="144">
      <calculatedColumnFormula array="1">IF(AND(BP$2&lt;&gt;0,TblTech[[#This Row],[Hour]:[Hour]]&gt;=BP$2),1,0)</calculatedColumnFormula>
    </tableColumn>
    <tableColumn id="79" xr3:uid="{73D8C7B5-D3FC-4DB3-BB3C-6A056F59A2A0}" name="8-1" dataDxfId="143">
      <calculatedColumnFormula array="1">IF(AND(BQ$2&lt;&gt;0,TblTech[[#This Row],[Hour]:[Hour]]&gt;=BQ$2),1,0)</calculatedColumnFormula>
    </tableColumn>
    <tableColumn id="80" xr3:uid="{8C8F01C9-13ED-4ABA-B4ED-5D892B20A077}" name="8-2" dataDxfId="142">
      <calculatedColumnFormula array="1">IF(AND(BR$2&lt;&gt;0,TblTech[[#This Row],[Hour]:[Hour]]&gt;=BR$2),1,0)</calculatedColumnFormula>
    </tableColumn>
    <tableColumn id="81" xr3:uid="{954DF58F-2216-42C3-A4F3-4A1B568C8A7F}" name="8-3" dataDxfId="141">
      <calculatedColumnFormula array="1">IF(AND(BS$2&lt;&gt;0,TblTech[[#This Row],[Hour]:[Hour]]&gt;=BS$2),1,0)</calculatedColumnFormula>
    </tableColumn>
    <tableColumn id="82" xr3:uid="{941FAEC7-7D7C-4C75-9F8E-BB3469E2F29F}" name="8-4" dataDxfId="140">
      <calculatedColumnFormula array="1">IF(AND(BT$2&lt;&gt;0,TblTech[[#This Row],[Hour]:[Hour]]&gt;=BT$2),1,0)</calculatedColumnFormula>
    </tableColumn>
    <tableColumn id="83" xr3:uid="{27C9395E-8B81-4CBA-8523-A330679CAE04}" name="9-1" dataDxfId="139">
      <calculatedColumnFormula array="1">IF(AND(BU$2&lt;&gt;0,TblTech[[#This Row],[Hour]:[Hour]]&gt;=BU$2),1,0)</calculatedColumnFormula>
    </tableColumn>
    <tableColumn id="84" xr3:uid="{90667EBE-7747-4976-9947-BD9386AEC90C}" name="9-2" dataDxfId="138">
      <calculatedColumnFormula array="1">IF(AND(BV$2&lt;&gt;0,TblTech[[#This Row],[Hour]:[Hour]]&gt;=BV$2),1,0)</calculatedColumnFormula>
    </tableColumn>
    <tableColumn id="85" xr3:uid="{8AA93356-F62A-4D0B-B2F8-5CADB2567ECF}" name="9-3" dataDxfId="137">
      <calculatedColumnFormula array="1">IF(AND(BW$2&lt;&gt;0,TblTech[[#This Row],[Hour]:[Hour]]&gt;=BW$2),1,0)</calculatedColumnFormula>
    </tableColumn>
    <tableColumn id="86" xr3:uid="{C66AB8D9-7BBC-415A-8732-B5DF0FF2495D}" name="10-1" dataDxfId="136">
      <calculatedColumnFormula array="1">IF(AND(BX$2&lt;&gt;0,TblTech[[#This Row],[Hour]:[Hour]]&gt;=BX$2),1,0)</calculatedColumnFormula>
    </tableColumn>
    <tableColumn id="87" xr3:uid="{13FA2B9A-3F31-4A51-9E2B-753CC6C8AA88}" name="10-2" dataDxfId="135">
      <calculatedColumnFormula array="1">IF(AND(BY$2&lt;&gt;0,TblTech[[#This Row],[Hour]:[Hour]]&gt;=BY$2),1,0)</calculatedColumnFormula>
    </tableColumn>
    <tableColumn id="88" xr3:uid="{D4F65702-E3D7-4783-B103-20F8DD7E4532}" name="11-1" dataDxfId="134">
      <calculatedColumnFormula array="1">IF(AND(BZ$2&lt;&gt;0,TblTech[[#This Row],[Hour]:[Hour]]&gt;=BZ$2),1,0)</calculatedColumnFormula>
    </tableColumn>
    <tableColumn id="89" xr3:uid="{0428044E-0525-4B76-80C9-2D449BDFDA1D}" name="Tech" dataDxfId="133">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1" dataDxfId="119" headerRowBorderDxfId="120" tableBorderDxfId="118">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7">
      <calculatedColumnFormula>TblConstr[[#This Row],[Land]]</calculatedColumnFormula>
    </tableColumn>
    <tableColumn id="2" xr3:uid="{AF6EC8F3-9D95-46FD-B967-FAAF3638AE73}" name="." dataDxfId="116"/>
    <tableColumn id="3" xr3:uid="{FF282ACC-05AC-4142-89E7-09EE52E6FD72}" name="Platinum" dataDxfId="115">
      <calculatedColumnFormula>TblProd[[#This Row],[Platinum]]</calculatedColumnFormula>
    </tableColumn>
    <tableColumn id="4" xr3:uid="{F2178B14-2531-41FE-8DC7-F919571A183A}" name="Lumber" dataDxfId="114">
      <calculatedColumnFormula>TblProd[[#This Row],[Lumber]]</calculatedColumnFormula>
    </tableColumn>
    <tableColumn id="5" xr3:uid="{E437C993-EDEE-4BB3-942B-73180B524B81}" name="Ore" dataDxfId="113">
      <calculatedColumnFormula>TblProd[[#This Row],[Ore]]</calculatedColumnFormula>
    </tableColumn>
    <tableColumn id="6" xr3:uid="{C515063B-AE7C-4BAF-93AB-7443CE68AC54}" name="Gems" dataDxfId="112">
      <calculatedColumnFormula>TblProd[[#This Row],[Gems]]</calculatedColumnFormula>
    </tableColumn>
    <tableColumn id="7" xr3:uid="{935F3905-1AC4-42EE-8A78-476F2F815DFD}" name=".." dataDxfId="111"/>
    <tableColumn id="8" xr3:uid="{A8E01FC0-2F13-4C73-B50D-1FA1083B0FFA}" name="Drafees" dataDxfId="110">
      <calculatedColumnFormula>TblMili[[#This Row],[Draftees]]</calculatedColumnFormula>
    </tableColumn>
    <tableColumn id="9" xr3:uid="{FF70B178-883B-4FA3-B446-2BB364451655}" name="Employed" dataDxfId="109" dataCellStyle="Percent">
      <calculatedColumnFormula>TblPop[[#This Row],[Employment]]</calculatedColumnFormula>
    </tableColumn>
    <tableColumn id="10" xr3:uid="{8AB351E3-8FED-4F8D-951B-AA2D279B0091}" name="Population" dataDxfId="108" dataCellStyle="Percent">
      <calculatedColumnFormula>TblPop[[#This Row],[Total]]/TblPop[[#This Row],[Net max]]</calculatedColumnFormula>
    </tableColumn>
    <tableColumn id="11" xr3:uid="{3D13675F-4203-4882-AC02-B7629E90679D}" name="Hour" dataDxfId="107" dataCellStyle="Percent">
      <calculatedColumnFormula>TblRezone[[#This Row],[Hour]]</calculatedColumnFormula>
    </tableColumn>
    <tableColumn id="12" xr3:uid="{50E3FF0B-DB5B-4715-971A-2D8F804DD3F4}" name="Time" dataDxfId="106" dataCellStyle="Percent">
      <calculatedColumnFormula>TblImps[[#This Row],[Real time]]</calculatedColumnFormula>
    </tableColumn>
    <tableColumn id="13" xr3:uid="{33373A28-E349-4A6C-946C-A172D9829897}" name="Login" dataDxfId="105">
      <calculatedColumnFormula>IF(ISERROR(TblImps[[#This Row],[algorithm]]),0,TblImps[[#This Row],[algorithm]]*1)</calculatedColumnFormula>
    </tableColumn>
    <tableColumn id="14" xr3:uid="{820813AE-0D29-4E3D-B99A-7C5B810B4DA6}" name="Land (3)" dataDxfId="104">
      <calculatedColumnFormula>TblImps[[#This Row],[Land]]</calculatedColumnFormula>
    </tableColumn>
    <tableColumn id="15" xr3:uid="{D8234223-045A-48CE-8E60-8B1B718D1273}" name="Resource" dataDxfId="103"/>
    <tableColumn id="16" xr3:uid="{9AB57DEC-DF25-44AD-97D1-1EF820C63FF2}" name="Amount" dataDxfId="102"/>
    <tableColumn id="17" xr3:uid="{1ECA1762-52EB-4370-862C-42E5B7F71087}" name="Part" dataDxfId="101"/>
    <tableColumn id="18" xr3:uid="{45AD7F60-4F2F-47B2-8046-04C9C5A445EE}" name="Resource 2" dataDxfId="100"/>
    <tableColumn id="19" xr3:uid="{1D8720C7-5940-4FF1-AF3B-FB70E475E9BA}" name="Amount 2" dataDxfId="99"/>
    <tableColumn id="20" xr3:uid="{1AF884E5-0A32-404F-8142-8BDFCA31C5EF}" name="Part 2" dataDxfId="98"/>
    <tableColumn id="21" xr3:uid="{FFCC36EF-B2F1-46BE-827C-260D53435D8F}" name="Resource 3" dataDxfId="97"/>
    <tableColumn id="22" xr3:uid="{AAD98AF1-A248-4594-A8A2-ADB665DABE8F}" name="Amount 3" dataDxfId="96"/>
    <tableColumn id="23" xr3:uid="{5BDF5795-C792-45A5-AC6D-35BE17C06BBC}" name="Part 3" dataDxfId="95"/>
    <tableColumn id="24" xr3:uid="{AB1402EA-4B4E-4F7F-B76D-14CCFC4BF881}" name="…" dataDxfId="94"/>
    <tableColumn id="25" xr3:uid="{C82B3C56-E90F-4536-A41D-465C61544B49}" name="Science" dataDxfId="93">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2">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1">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0">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89">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8">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7"/>
    <tableColumn id="32" xr3:uid="{C7C4061A-6DA9-4687-A437-B442C90A5089}" name="Σ Science" dataDxfId="86">
      <calculatedColumnFormula>(1+Overview!$I$28)*SUM(TblImps[[#This Row],[P2]:[G2]])+OFFSET(TblImps[[#This Row],[Σ Science]],-1,0)</calculatedColumnFormula>
    </tableColumn>
    <tableColumn id="33" xr3:uid="{87424BBC-4CC9-4173-85AC-5C6A6ECFFB84}" name="Σ Keep" dataDxfId="85">
      <calculatedColumnFormula>(1+Overview!$I$28)*SUM(TblImps[[#This Row],[P3]:[G3]])+OFFSET(TblImps[[#This Row],[Σ Keep]],-1,0)</calculatedColumnFormula>
    </tableColumn>
    <tableColumn id="34" xr3:uid="{3DB81FE6-4CBC-4F36-973D-C8F8D1BD09A1}" name="Σ Towers" dataDxfId="84">
      <calculatedColumnFormula>(1+Overview!$I$28 + tech_7_1*TblTech[[#This Row],[7-1]])*SUM(TblImps[[#This Row],[P4]:[G4]])+OFFSET(TblImps[[#This Row],[Σ Towers]],-1,0)</calculatedColumnFormula>
    </tableColumn>
    <tableColumn id="35" xr3:uid="{485A62F9-7EE3-40A9-BDA7-9F3E4E3EC0E1}" name="Σ Forges" dataDxfId="83">
      <calculatedColumnFormula>(1+Overview!$I$28)*SUM(TblImps[[#This Row],[P5]:[G5]])+OFFSET(TblImps[[#This Row],[Σ Forges]],-1,0)</calculatedColumnFormula>
    </tableColumn>
    <tableColumn id="36" xr3:uid="{CEDFD8F7-5AA6-4236-AE0F-14B6F23AE524}" name="Σ Walls" dataDxfId="82">
      <calculatedColumnFormula>(1+Overview!$I$28)*SUM(TblImps[[#This Row],[P6]:[G6]])+OFFSET(TblImps[[#This Row],[Σ Walls]],-1,0)</calculatedColumnFormula>
    </tableColumn>
    <tableColumn id="37" xr3:uid="{1C140D1F-1021-4314-82BD-7176A05B078C}" name="Σ Irrigation" dataDxfId="81">
      <calculatedColumnFormula>(1+Overview!$I$28 + tech_7_1*TblTech[[#This Row],[7-1]])*SUM(TblImps[[#This Row],[P7]:[G7]])+OFFSET(TblImps[[#This Row],[Σ Irrigation]],-1,0)</calculatedColumnFormula>
    </tableColumn>
    <tableColumn id="38" xr3:uid="{808772B5-D74B-4C2E-9369-56BA268972E4}" name="….." dataDxfId="80"/>
    <tableColumn id="39" xr3:uid="{A732ACBF-AEA8-4BC8-8A5C-C0F5525B84B4}" name="P1" dataDxfId="79">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8">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7">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6">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5"/>
    <tableColumn id="44" xr3:uid="{B4E4C91D-5302-4D99-9223-7DC08C0F56E2}" name="P2" dataDxfId="74">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3">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2">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1">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0"/>
    <tableColumn id="49" xr3:uid="{2713D17E-C072-4464-ACFB-1E3B4E4768C8}" name="P3" dataDxfId="69">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8">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7">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6">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5"/>
    <tableColumn id="54" xr3:uid="{60744F8B-EA90-4F3F-908D-1DBF81E4FBBC}" name="P4" dataDxfId="64">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3">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2">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1">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0"/>
    <tableColumn id="59" xr3:uid="{7CAD4FEB-38C3-4ECC-9BB4-566F90D38057}" name="P5" dataDxfId="59">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8">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7">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6">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5"/>
    <tableColumn id="64" xr3:uid="{74BD3EE9-84CB-4606-9851-F46947A6E124}" name="P6" dataDxfId="54">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3">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2">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1">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0"/>
    <tableColumn id="69" xr3:uid="{C84893E8-5E85-463B-9E51-879ADAA64B83}" name="P7" dataDxfId="49">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8">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7">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6">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5"/>
    <tableColumn id="74" xr3:uid="{5E81B67E-95F1-40DA-AE37-BCD09DA9E039}" name="algorithm" dataDxfId="44">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3">
      <calculatedColumnFormula>TblImps[[#This Row],[Login]]</calculatedColumnFormula>
    </tableColumn>
    <tableColumn id="76" xr3:uid="{373275D8-3CBB-4F26-950F-26616E92A24E}" name="….........." dataDxfId="42"/>
    <tableColumn id="77" xr3:uid="{E49F0585-8289-43E9-991C-7685E6B37B5A}" name="Real time" dataDxfId="41">
      <calculatedColumnFormula>OFFSET(TblImps[[#This Row],[Real time]],-1,0)+1/24</calculatedColumnFormula>
    </tableColumn>
    <tableColumn id="78" xr3:uid="{9298E765-5AD3-4871-BC34-97C5588F3D7E}" name="Servertime" dataDxfId="40">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39" dataDxfId="38">
  <autoFilter ref="B2:E23" xr:uid="{D5B14ACA-C49B-4874-B495-C20CC986FF5C}"/>
  <tableColumns count="4">
    <tableColumn id="1" xr3:uid="{FDF1E222-5EC6-4F67-8D2F-219358D518C5}" name="Stats" dataDxfId="37"/>
    <tableColumn id="9" xr3:uid="{92C958C2-2DCD-4CDD-88AA-98294134A916}" name="Abbr" dataDxfId="36"/>
    <tableColumn id="2" xr3:uid="{1E0B1FDB-30FB-48CA-BD3D-8DF2FCB4975C}" name="Number" dataDxfId="35">
      <calculatedColumnFormula>_xlfn.IFNA(INDEX(TblConstr[],MATCH(Log!$I$28,TblConstr[Hour],0),MATCH(TblStats[[#This Row],[Abbr]],TblConstr[#Headers],0)),0)</calculatedColumnFormula>
    </tableColumn>
    <tableColumn id="3" xr3:uid="{ADBF0C8B-030F-4EBA-8274-EAA1CE134BB1}" name="Percent" dataDxfId="34"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32" dataDxfId="31" tableBorderDxfId="30">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29"/>
    <tableColumn id="2" xr3:uid="{00000000-0010-0000-0100-000002000000}" name="Alignment" dataDxfId="28"/>
    <tableColumn id="3" xr3:uid="{00000000-0010-0000-0100-000003000000}" name="Homeland_Type" dataDxfId="27"/>
    <tableColumn id="4" xr3:uid="{00000000-0010-0000-0100-000004000000}" name="Unitname" dataDxfId="26"/>
    <tableColumn id="5" xr3:uid="{00000000-0010-0000-0100-000005000000}" name="OffensePwr" dataDxfId="25"/>
    <tableColumn id="6" xr3:uid="{00000000-0010-0000-0100-000006000000}" name="DefensePwr" dataDxfId="24"/>
    <tableColumn id="7" xr3:uid="{00000000-0010-0000-0100-000007000000}" name="Platcost" dataDxfId="23"/>
    <tableColumn id="8" xr3:uid="{00000000-0010-0000-0100-000008000000}" name="Orecost" dataDxfId="22"/>
    <tableColumn id="9" xr3:uid="{00000000-0010-0000-0100-000009000000}" name="Networth" dataDxfId="21"/>
    <tableColumn id="12" xr3:uid="{00000000-0010-0000-0100-00000C000000}" name="Max population" dataDxfId="20"/>
    <tableColumn id="13" xr3:uid="{00000000-0010-0000-0100-00000D000000}" name="Pop growth" dataDxfId="19"/>
    <tableColumn id="14" xr3:uid="{00000000-0010-0000-0100-00000E000000}" name="Platinum prod" dataDxfId="18"/>
    <tableColumn id="15" xr3:uid="{00000000-0010-0000-0100-00000F000000}" name="Food prod" dataDxfId="17"/>
    <tableColumn id="16" xr3:uid="{00000000-0010-0000-0100-000010000000}" name="Lumber prod" dataDxfId="16"/>
    <tableColumn id="17" xr3:uid="{00000000-0010-0000-0100-000011000000}" name="Mana prod" dataDxfId="15"/>
    <tableColumn id="18" xr3:uid="{00000000-0010-0000-0100-000012000000}" name="Ore prod" dataDxfId="14"/>
    <tableColumn id="19" xr3:uid="{00000000-0010-0000-0100-000013000000}" name="Gem prod" dataDxfId="13"/>
    <tableColumn id="20" xr3:uid="{00000000-0010-0000-0100-000014000000}" name="Food cons" dataDxfId="12"/>
    <tableColumn id="21" xr3:uid="{00000000-0010-0000-0100-000015000000}" name="Defense" dataDxfId="11"/>
    <tableColumn id="22" xr3:uid="{00000000-0010-0000-0100-000016000000}" name="Offense" dataDxfId="10"/>
    <tableColumn id="23" xr3:uid="{00000000-0010-0000-0100-000017000000}" name="Spy strength" dataDxfId="9"/>
    <tableColumn id="24" xr3:uid="{00000000-0010-0000-0100-000018000000}" name="Wizard strength" dataDxfId="8"/>
    <tableColumn id="25" xr3:uid="{00000000-0010-0000-0100-000019000000}" name="Invest bonus" dataDxfId="7"/>
    <tableColumn id="26" xr3:uid="{00000000-0010-0000-0100-00001A000000}" name="Rezone Cost" dataDxfId="6" dataCellStyle="Percent"/>
    <tableColumn id="27" xr3:uid="{00000000-0010-0000-0100-00001B000000}" name="Construction Cost" dataDxfId="5"/>
    <tableColumn id="28" xr3:uid="{00000000-0010-0000-0100-00001C000000}" name="Research"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6" t="s">
        <v>463</v>
      </c>
      <c r="B1" s="556"/>
      <c r="C1" s="556"/>
      <c r="D1" s="556"/>
      <c r="E1" s="556"/>
      <c r="F1" s="556"/>
      <c r="G1" s="556"/>
      <c r="H1" s="556"/>
      <c r="I1" s="556"/>
      <c r="J1" s="556"/>
      <c r="K1" s="556"/>
      <c r="L1" s="557"/>
      <c r="M1" s="564" t="s">
        <v>1083</v>
      </c>
      <c r="N1" s="565"/>
      <c r="O1" s="566"/>
    </row>
    <row r="2" spans="1:15" s="48" customFormat="1" ht="12.75" customHeight="1" x14ac:dyDescent="0.2">
      <c r="A2" s="550" t="s">
        <v>1081</v>
      </c>
      <c r="B2" s="551"/>
      <c r="C2" s="551"/>
      <c r="D2" s="551"/>
      <c r="E2" s="551"/>
      <c r="F2" s="551"/>
      <c r="G2" s="551"/>
      <c r="H2" s="551"/>
      <c r="I2" s="551"/>
      <c r="J2" s="551"/>
      <c r="K2" s="551"/>
      <c r="L2" s="552"/>
      <c r="M2" s="537" t="s">
        <v>1082</v>
      </c>
      <c r="N2" s="538"/>
      <c r="O2" s="539"/>
    </row>
    <row r="3" spans="1:15" s="48" customFormat="1" x14ac:dyDescent="0.2">
      <c r="A3" s="550"/>
      <c r="B3" s="551"/>
      <c r="C3" s="551"/>
      <c r="D3" s="551"/>
      <c r="E3" s="551"/>
      <c r="F3" s="551"/>
      <c r="G3" s="551"/>
      <c r="H3" s="551"/>
      <c r="I3" s="551"/>
      <c r="J3" s="551"/>
      <c r="K3" s="551"/>
      <c r="L3" s="552"/>
      <c r="M3" s="537"/>
      <c r="N3" s="538"/>
      <c r="O3" s="539"/>
    </row>
    <row r="4" spans="1:15" s="48" customFormat="1" x14ac:dyDescent="0.2">
      <c r="A4" s="550"/>
      <c r="B4" s="551"/>
      <c r="C4" s="551"/>
      <c r="D4" s="551"/>
      <c r="E4" s="551"/>
      <c r="F4" s="551"/>
      <c r="G4" s="551"/>
      <c r="H4" s="551"/>
      <c r="I4" s="551"/>
      <c r="J4" s="551"/>
      <c r="K4" s="551"/>
      <c r="L4" s="552"/>
      <c r="M4" s="537"/>
      <c r="N4" s="538"/>
      <c r="O4" s="539"/>
    </row>
    <row r="5" spans="1:15" s="48" customFormat="1" x14ac:dyDescent="0.2">
      <c r="A5" s="550"/>
      <c r="B5" s="551"/>
      <c r="C5" s="551"/>
      <c r="D5" s="551"/>
      <c r="E5" s="551"/>
      <c r="F5" s="551"/>
      <c r="G5" s="551"/>
      <c r="H5" s="551"/>
      <c r="I5" s="551"/>
      <c r="J5" s="551"/>
      <c r="K5" s="551"/>
      <c r="L5" s="552"/>
      <c r="M5" s="537"/>
      <c r="N5" s="538"/>
      <c r="O5" s="539"/>
    </row>
    <row r="6" spans="1:15" s="48" customFormat="1" x14ac:dyDescent="0.2">
      <c r="A6" s="550"/>
      <c r="B6" s="551"/>
      <c r="C6" s="551"/>
      <c r="D6" s="551"/>
      <c r="E6" s="551"/>
      <c r="F6" s="551"/>
      <c r="G6" s="551"/>
      <c r="H6" s="551"/>
      <c r="I6" s="551"/>
      <c r="J6" s="551"/>
      <c r="K6" s="551"/>
      <c r="L6" s="552"/>
      <c r="M6" s="537"/>
      <c r="N6" s="538"/>
      <c r="O6" s="539"/>
    </row>
    <row r="7" spans="1:15" s="48" customFormat="1" ht="13.5" thickBot="1" x14ac:dyDescent="0.25">
      <c r="A7" s="553"/>
      <c r="B7" s="554"/>
      <c r="C7" s="554"/>
      <c r="D7" s="554"/>
      <c r="E7" s="554"/>
      <c r="F7" s="554"/>
      <c r="G7" s="554"/>
      <c r="H7" s="554"/>
      <c r="I7" s="554"/>
      <c r="J7" s="554"/>
      <c r="K7" s="554"/>
      <c r="L7" s="555"/>
      <c r="M7" s="537"/>
      <c r="N7" s="538"/>
      <c r="O7" s="539"/>
    </row>
    <row r="8" spans="1:15" s="48" customFormat="1" ht="15.75" x14ac:dyDescent="0.2">
      <c r="A8" s="558" t="s">
        <v>462</v>
      </c>
      <c r="B8" s="559"/>
      <c r="C8" s="559"/>
      <c r="D8" s="559"/>
      <c r="E8" s="559"/>
      <c r="F8" s="559"/>
      <c r="G8" s="559"/>
      <c r="H8" s="559"/>
      <c r="I8" s="560"/>
      <c r="J8" s="567" t="s">
        <v>1108</v>
      </c>
      <c r="K8" s="568"/>
      <c r="L8" s="569"/>
      <c r="M8" s="540"/>
      <c r="N8" s="541"/>
      <c r="O8" s="542"/>
    </row>
    <row r="9" spans="1:15" s="48" customFormat="1" ht="12.75" customHeight="1" x14ac:dyDescent="0.2">
      <c r="A9" s="561" t="s">
        <v>1080</v>
      </c>
      <c r="B9" s="562"/>
      <c r="C9" s="562"/>
      <c r="D9" s="562"/>
      <c r="E9" s="562"/>
      <c r="F9" s="562"/>
      <c r="G9" s="562"/>
      <c r="H9" s="562"/>
      <c r="I9" s="562"/>
      <c r="J9" s="570"/>
      <c r="K9" s="571"/>
      <c r="L9" s="572"/>
      <c r="M9" s="540"/>
      <c r="N9" s="541"/>
      <c r="O9" s="542"/>
    </row>
    <row r="10" spans="1:15" s="48" customFormat="1" ht="12.75" customHeight="1" x14ac:dyDescent="0.2">
      <c r="A10" s="561"/>
      <c r="B10" s="562"/>
      <c r="C10" s="562"/>
      <c r="D10" s="562"/>
      <c r="E10" s="562"/>
      <c r="F10" s="562"/>
      <c r="G10" s="562"/>
      <c r="H10" s="562"/>
      <c r="I10" s="562"/>
      <c r="J10" s="570"/>
      <c r="K10" s="571"/>
      <c r="L10" s="572"/>
      <c r="M10" s="540"/>
      <c r="N10" s="541"/>
      <c r="O10" s="542"/>
    </row>
    <row r="11" spans="1:15" s="48" customFormat="1" ht="12.75" customHeight="1" x14ac:dyDescent="0.2">
      <c r="A11" s="561"/>
      <c r="B11" s="562"/>
      <c r="C11" s="562"/>
      <c r="D11" s="562"/>
      <c r="E11" s="562"/>
      <c r="F11" s="562"/>
      <c r="G11" s="562"/>
      <c r="H11" s="562"/>
      <c r="I11" s="562"/>
      <c r="J11" s="570"/>
      <c r="K11" s="571"/>
      <c r="L11" s="572"/>
      <c r="M11" s="540"/>
      <c r="N11" s="541"/>
      <c r="O11" s="542"/>
    </row>
    <row r="12" spans="1:15" s="48" customFormat="1" ht="28.5" customHeight="1" thickBot="1" x14ac:dyDescent="0.25">
      <c r="A12" s="561"/>
      <c r="B12" s="562"/>
      <c r="C12" s="562"/>
      <c r="D12" s="562"/>
      <c r="E12" s="562"/>
      <c r="F12" s="562"/>
      <c r="G12" s="562"/>
      <c r="H12" s="562"/>
      <c r="I12" s="562"/>
      <c r="J12" s="573"/>
      <c r="K12" s="574"/>
      <c r="L12" s="575"/>
      <c r="M12" s="543"/>
      <c r="N12" s="544"/>
      <c r="O12" s="545"/>
    </row>
    <row r="13" spans="1:15" s="48" customFormat="1" ht="25.5" customHeight="1" thickBot="1" x14ac:dyDescent="0.25">
      <c r="A13" s="546" t="s">
        <v>268</v>
      </c>
      <c r="B13" s="547"/>
      <c r="C13" s="548"/>
      <c r="D13" s="548"/>
      <c r="E13" s="548"/>
      <c r="F13" s="548"/>
      <c r="G13" s="548"/>
      <c r="H13" s="548"/>
      <c r="I13" s="548"/>
      <c r="J13" s="548"/>
      <c r="K13" s="548"/>
      <c r="L13" s="548"/>
      <c r="M13" s="548"/>
      <c r="N13" s="548"/>
      <c r="O13" s="548"/>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44343</v>
      </c>
      <c r="D15" s="59" t="s">
        <v>335</v>
      </c>
      <c r="E15" s="60">
        <f>B15+(1+B16-1)/24+B18-0/24</f>
        <v>44343</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44326.417484606478</v>
      </c>
      <c r="H16" s="59" t="s">
        <v>105</v>
      </c>
      <c r="I16" s="61">
        <f>INDEX(TblRaces[[Max population]:[Research]],MATCH(race,TblRaces[Race],0),MATCH(Table4[[#This Row],[Race Bonuses]],TblRaces[[#Headers],[Max population]:[Research]],0))</f>
        <v>0</v>
      </c>
      <c r="K16" s="549" t="s">
        <v>464</v>
      </c>
      <c r="L16" s="563"/>
      <c r="M16" s="563"/>
      <c r="N16" s="563"/>
      <c r="O16" s="63"/>
    </row>
    <row r="17" spans="1:15" s="48" customFormat="1" ht="12.75" customHeight="1" thickBot="1" x14ac:dyDescent="0.25">
      <c r="A17" s="49" t="s">
        <v>332</v>
      </c>
      <c r="B17" s="64">
        <f ca="1">TODAY()</f>
        <v>44326</v>
      </c>
      <c r="C17" s="65"/>
      <c r="D17" s="66" t="s">
        <v>327</v>
      </c>
      <c r="E17" s="67">
        <f>0+Log!P16</f>
        <v>0</v>
      </c>
      <c r="F17" s="68"/>
      <c r="G17" s="68"/>
      <c r="H17" s="59" t="s">
        <v>172</v>
      </c>
      <c r="I17" s="61">
        <f>INDEX(TblRaces[[Max population]:[Research]],MATCH(race,TblRaces[Race],0),MATCH(Table4[[#This Row],[Race Bonuses]],TblRaces[[#Headers],[Max population]:[Research]],0))</f>
        <v>0</v>
      </c>
      <c r="J17" s="55"/>
      <c r="K17" s="563"/>
      <c r="L17" s="563"/>
      <c r="M17" s="563"/>
      <c r="N17" s="563"/>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63"/>
      <c r="L18" s="563"/>
      <c r="M18" s="563"/>
      <c r="N18" s="563"/>
      <c r="O18" s="63"/>
    </row>
    <row r="19" spans="1:15" s="48" customFormat="1" x14ac:dyDescent="0.2">
      <c r="H19" s="59" t="s">
        <v>108</v>
      </c>
      <c r="I19" s="61">
        <f>INDEX(TblRaces[[Max population]:[Research]],MATCH(race,TblRaces[Race],0),MATCH(Table4[[#This Row],[Race Bonuses]],TblRaces[[#Headers],[Max population]:[Research]],0))</f>
        <v>0</v>
      </c>
      <c r="J19" s="55"/>
      <c r="K19" s="563"/>
      <c r="L19" s="563"/>
      <c r="M19" s="563"/>
      <c r="N19" s="563"/>
      <c r="O19" s="70"/>
    </row>
    <row r="20" spans="1:15" s="48" customFormat="1" x14ac:dyDescent="0.2">
      <c r="H20" s="59" t="s">
        <v>109</v>
      </c>
      <c r="I20" s="61">
        <f>INDEX(TblRaces[[Max population]:[Research]],MATCH(race,TblRaces[Race],0),MATCH(Table4[[#This Row],[Race Bonuses]],TblRaces[[#Headers],[Max population]:[Research]],0))</f>
        <v>0</v>
      </c>
      <c r="J20" s="55"/>
      <c r="K20" s="563"/>
      <c r="L20" s="563"/>
      <c r="M20" s="563"/>
      <c r="N20" s="563"/>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63"/>
      <c r="L21" s="563"/>
      <c r="M21" s="563"/>
      <c r="N21" s="563"/>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49"/>
      <c r="L23" s="549"/>
      <c r="M23" s="549"/>
      <c r="N23" s="549"/>
      <c r="O23" s="70"/>
    </row>
    <row r="24" spans="1:15" s="48" customFormat="1" x14ac:dyDescent="0.2">
      <c r="A24" s="76" t="str">
        <f>INDEX(TblRaces[],MATCH(race,TblRaces[Race],0)+2,4)</f>
        <v>Knight</v>
      </c>
      <c r="B24" s="74">
        <f ca="1">_xlfn.IFNA(INDEX(TblRaces[],MATCH(TblUnits[[#This Row],[Unit Names]],TblRaces[Unitname],0),5),"")+E79*C79</f>
        <v>2</v>
      </c>
      <c r="C24" s="74">
        <f ca="1">_xlfn.IFNA(INDEX(TblRaces[],MATCH(TblUnits[[#This Row],[Unit Names]],TblRaces[Unitname],0),6),"")+E82*D82+E84*D84+E80*D80+E79*D79+E78*D78+E77*D77+E75*D75</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49"/>
      <c r="L24" s="549"/>
      <c r="M24" s="549"/>
      <c r="N24" s="549"/>
      <c r="O24" s="70"/>
    </row>
    <row r="25" spans="1:15" s="48" customFormat="1" x14ac:dyDescent="0.2">
      <c r="A25" s="76" t="str">
        <f>INDEX(TblRaces[],MATCH(race,TblRaces[Race],0)+3,4)</f>
        <v>Cavalry</v>
      </c>
      <c r="B25" s="74">
        <f ca="1">_xlfn.IFNA(INDEX(TblRaces[],MATCH(TblUnits[[#This Row],[Unit Names]],TblRaces[Unitname],0),5),"")+E75*C76+E80*C81+E83*C83</f>
        <v>6</v>
      </c>
      <c r="C25" s="74">
        <f ca="1">_xlfn.IFNA(INDEX(TblRaces[],MATCH(TblUnits[[#This Row],[Unit Names]],TblRaces[Unitname],0),6),"")+E75*D76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49"/>
      <c r="L25" s="549"/>
      <c r="M25" s="549"/>
      <c r="N25" s="549"/>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49"/>
      <c r="L26" s="549"/>
      <c r="M26" s="549"/>
      <c r="N26" s="549"/>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49"/>
      <c r="L27" s="549"/>
      <c r="M27" s="549"/>
      <c r="N27" s="549"/>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34" t="s">
        <v>389</v>
      </c>
      <c r="B32" s="535"/>
      <c r="C32" s="535"/>
      <c r="D32" s="535"/>
      <c r="E32" s="535"/>
      <c r="F32" s="535"/>
      <c r="G32" s="535"/>
      <c r="H32" s="535"/>
      <c r="I32" s="535"/>
      <c r="J32" s="536"/>
      <c r="K32" s="536"/>
      <c r="L32" s="536"/>
      <c r="M32" s="536"/>
      <c r="N32" s="536"/>
      <c r="O32" s="536"/>
    </row>
    <row r="33" spans="1:15" x14ac:dyDescent="0.2">
      <c r="A33" s="90" t="s">
        <v>22</v>
      </c>
      <c r="B33" s="91" t="s">
        <v>366</v>
      </c>
      <c r="C33" s="92" t="s">
        <v>31</v>
      </c>
      <c r="D33" s="93" t="s">
        <v>218</v>
      </c>
      <c r="E33" s="94" t="s">
        <v>1052</v>
      </c>
      <c r="F33" s="92" t="s">
        <v>32</v>
      </c>
      <c r="G33" s="93" t="s">
        <v>1050</v>
      </c>
      <c r="H33" s="93" t="s">
        <v>1051</v>
      </c>
      <c r="I33" s="95" t="s">
        <v>801</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79" t="s">
        <v>441</v>
      </c>
      <c r="L35" s="580"/>
      <c r="M35" s="580"/>
      <c r="N35" s="580"/>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80"/>
      <c r="L36" s="580"/>
      <c r="M36" s="580"/>
      <c r="N36" s="580"/>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80"/>
      <c r="L37" s="580"/>
      <c r="M37" s="580"/>
      <c r="N37" s="580"/>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49" t="s">
        <v>461</v>
      </c>
      <c r="L38" s="583"/>
      <c r="M38" s="583"/>
      <c r="N38" s="583"/>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83"/>
      <c r="L39" s="583"/>
      <c r="M39" s="583"/>
      <c r="N39" s="583"/>
      <c r="O39" s="57"/>
    </row>
    <row r="40" spans="1:15" x14ac:dyDescent="0.2">
      <c r="A40" s="123" t="s">
        <v>24</v>
      </c>
      <c r="B40" s="124">
        <f ca="1">F40</f>
        <v>646</v>
      </c>
      <c r="C40" s="125"/>
      <c r="D40" s="59"/>
      <c r="E40" s="126"/>
      <c r="F40" s="113">
        <f ca="1">Military!Z76</f>
        <v>646</v>
      </c>
      <c r="G40" s="127"/>
      <c r="H40" s="113">
        <f ca="1">F40*(1+$G$35)</f>
        <v>646</v>
      </c>
      <c r="I40" s="108" t="s">
        <v>432</v>
      </c>
      <c r="J40" s="48"/>
      <c r="K40" s="581" t="s">
        <v>459</v>
      </c>
      <c r="L40" s="582"/>
      <c r="M40" s="582"/>
      <c r="N40" s="582"/>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82"/>
      <c r="L41" s="582"/>
      <c r="M41" s="582"/>
      <c r="N41" s="582"/>
      <c r="O41" s="57"/>
    </row>
    <row r="42" spans="1:15" ht="13.5" thickTop="1" x14ac:dyDescent="0.2">
      <c r="B42" s="59"/>
      <c r="C42" s="125"/>
      <c r="D42" s="59"/>
      <c r="E42" s="126"/>
      <c r="F42" s="121">
        <f ca="1">F40+F39+F41</f>
        <v>1096</v>
      </c>
      <c r="G42" s="49"/>
      <c r="H42" s="120">
        <f ca="1">H40+H39+H41</f>
        <v>1096</v>
      </c>
      <c r="I42" s="108"/>
      <c r="J42" s="48"/>
      <c r="K42" s="535"/>
      <c r="L42" s="535"/>
      <c r="M42" s="535"/>
      <c r="N42" s="535"/>
      <c r="O42" s="57"/>
    </row>
    <row r="43" spans="1:15" x14ac:dyDescent="0.2">
      <c r="A43" s="52"/>
      <c r="B43" s="48"/>
      <c r="C43" s="52"/>
      <c r="D43" s="578"/>
      <c r="E43" s="578"/>
      <c r="F43" s="578"/>
      <c r="G43" s="578"/>
      <c r="H43" s="578"/>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1053</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11</v>
      </c>
      <c r="F47" s="144">
        <f ca="1">E47/$E$46</f>
        <v>4.3999999999999997E-2</v>
      </c>
      <c r="G47" s="48"/>
      <c r="H47" s="49" t="s">
        <v>261</v>
      </c>
      <c r="I47" s="145">
        <f ca="1">C39/E46</f>
        <v>0</v>
      </c>
      <c r="J47" s="145">
        <f ca="1">E39/E46</f>
        <v>0</v>
      </c>
      <c r="K47" s="48"/>
      <c r="L47" s="48"/>
      <c r="M47" s="48"/>
      <c r="N47" s="48"/>
      <c r="O47" s="57"/>
    </row>
    <row r="48" spans="1:15" x14ac:dyDescent="0.2">
      <c r="A48" s="130" t="s">
        <v>279</v>
      </c>
      <c r="B48" s="525">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26">
        <f>SUM(Imps!M4:'Imps'!M76)</f>
        <v>1</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I50*(1+I26+Constants!O56*Techs!AL76)</f>
        <v>0.1</v>
      </c>
      <c r="K50" s="48"/>
      <c r="L50" s="48"/>
      <c r="M50" s="48"/>
      <c r="N50" s="48"/>
      <c r="O50" s="57"/>
    </row>
    <row r="51" spans="1:15" x14ac:dyDescent="0.2">
      <c r="A51" s="147" t="s">
        <v>1</v>
      </c>
      <c r="B51" s="522">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23">
        <f ca="1">Population!C76</f>
        <v>1537</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24">
        <f ca="1">B40</f>
        <v>646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23">
        <f ca="1">Production!G76</f>
        <v>6455</v>
      </c>
      <c r="C54" s="52"/>
      <c r="D54" s="142" t="str">
        <f>Construction!BF3</f>
        <v>Tot OM</v>
      </c>
      <c r="E54" s="49">
        <f ca="1">Construction!BF76</f>
        <v>0</v>
      </c>
      <c r="F54" s="144">
        <f t="shared" ca="1" si="0"/>
        <v>0</v>
      </c>
      <c r="G54" s="48"/>
      <c r="H54" s="150">
        <v>61</v>
      </c>
      <c r="I54" s="74">
        <f ca="1">Production!H64</f>
        <v>429773</v>
      </c>
      <c r="J54" s="74">
        <f ca="1">Production!H64+SUM(Military!AP4:AP64)</f>
        <v>429773</v>
      </c>
      <c r="K54" s="151"/>
      <c r="L54" s="48"/>
      <c r="M54" s="48"/>
      <c r="N54" s="48"/>
      <c r="O54" s="57"/>
    </row>
    <row r="55" spans="1:15" x14ac:dyDescent="0.2">
      <c r="A55" s="149" t="s">
        <v>278</v>
      </c>
      <c r="B55" s="524">
        <f ca="1">H39</f>
        <v>450</v>
      </c>
      <c r="C55" s="52"/>
      <c r="D55" s="142" t="str">
        <f>Construction!BG3</f>
        <v>Tot GN</v>
      </c>
      <c r="E55" s="49">
        <f ca="1">Construction!BG76</f>
        <v>0</v>
      </c>
      <c r="F55" s="144">
        <f t="shared" ca="1" si="0"/>
        <v>0</v>
      </c>
      <c r="G55" s="48"/>
      <c r="H55" s="150">
        <v>64</v>
      </c>
      <c r="I55" s="74">
        <f ca="1">Production!H67</f>
        <v>446270</v>
      </c>
      <c r="J55" s="74">
        <f ca="1">Production!H67+SUM(Military!AP5:AP67)</f>
        <v>446270</v>
      </c>
      <c r="K55" s="152"/>
      <c r="L55" s="48"/>
      <c r="M55" s="48"/>
      <c r="N55" s="48"/>
      <c r="O55" s="57"/>
    </row>
    <row r="56" spans="1:15" x14ac:dyDescent="0.2">
      <c r="A56" s="148" t="s">
        <v>277</v>
      </c>
      <c r="B56" s="523">
        <f ca="1">E39</f>
        <v>0</v>
      </c>
      <c r="C56" s="52"/>
      <c r="D56" s="142" t="str">
        <f>Construction!BJ3</f>
        <v>Tot Bar</v>
      </c>
      <c r="E56" s="49">
        <f ca="1">Construction!BJ76</f>
        <v>0</v>
      </c>
      <c r="F56" s="144">
        <f t="shared" ca="1" si="0"/>
        <v>0</v>
      </c>
      <c r="G56" s="48"/>
      <c r="H56" s="150" t="s">
        <v>241</v>
      </c>
      <c r="I56" s="74">
        <f ca="1">Production!H76</f>
        <v>495761</v>
      </c>
      <c r="J56" s="74">
        <f ca="1">Production!H76+SUM(Military!AP4:AP76)</f>
        <v>495761</v>
      </c>
      <c r="K56" s="152"/>
      <c r="L56" s="48"/>
      <c r="M56" s="48"/>
      <c r="N56" s="48"/>
      <c r="O56" s="57"/>
    </row>
    <row r="57" spans="1:15" x14ac:dyDescent="0.2">
      <c r="A57" s="149" t="s">
        <v>6</v>
      </c>
      <c r="B57" s="524">
        <f ca="1">Production!S76</f>
        <v>5499</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23">
        <f ca="1">Production!H$76</f>
        <v>495761</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24">
        <f ca="1">Production!I$76</f>
        <v>110443</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23">
        <f ca="1">Production!J$76</f>
        <v>58736</v>
      </c>
      <c r="C60" s="52"/>
      <c r="D60" s="142" t="str">
        <f>Construction!BL3</f>
        <v>Tot Tow</v>
      </c>
      <c r="E60" s="49">
        <f ca="1">Construction!BL76</f>
        <v>0</v>
      </c>
      <c r="F60" s="144">
        <f t="shared" ca="1" si="0"/>
        <v>0</v>
      </c>
      <c r="G60" s="48"/>
      <c r="H60" s="49" t="s">
        <v>290</v>
      </c>
      <c r="I60" s="113">
        <f ca="1">SUM(Construction!AQ4:AQ76)</f>
        <v>850</v>
      </c>
      <c r="J60" s="153">
        <f ca="1">IFERROR(Table18[[#This Row],[Amount]]/Table18[[#Totals],[Amount]],0)</f>
        <v>1</v>
      </c>
      <c r="K60" s="48"/>
      <c r="L60" s="48"/>
      <c r="M60" s="48"/>
      <c r="N60" s="48"/>
      <c r="O60" s="57"/>
    </row>
    <row r="61" spans="1:15" x14ac:dyDescent="0.2">
      <c r="A61" s="149" t="s">
        <v>12</v>
      </c>
      <c r="B61" s="524">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23">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24">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23">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24">
        <f>SUM(Explore!T65:Z76)+SUM(Explore!S77:S87)*15</f>
        <v>0</v>
      </c>
      <c r="C65" s="48"/>
      <c r="D65" s="477" t="str">
        <f>Construction!BQ3</f>
        <v>Tot Doc</v>
      </c>
      <c r="E65" s="155">
        <f ca="1">Construction!BQ76</f>
        <v>0</v>
      </c>
      <c r="F65" s="157">
        <f t="shared" ca="1" si="0"/>
        <v>0</v>
      </c>
      <c r="G65" s="48"/>
      <c r="H65" s="97" t="s">
        <v>198</v>
      </c>
      <c r="I65" s="154">
        <f ca="1">SUBTOTAL(109,Table18[Amount])</f>
        <v>850</v>
      </c>
      <c r="J65" s="423">
        <f>1</f>
        <v>1</v>
      </c>
      <c r="K65" s="48"/>
      <c r="L65" s="48"/>
      <c r="M65" s="48"/>
      <c r="N65" s="48"/>
      <c r="O65" s="57"/>
    </row>
    <row r="66" spans="1:15" x14ac:dyDescent="0.2">
      <c r="A66" s="148" t="s">
        <v>287</v>
      </c>
      <c r="B66" s="523">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159</v>
      </c>
      <c r="F67" s="160">
        <f ca="1">E67/E46</f>
        <v>0.63600000000000001</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76" t="s">
        <v>299</v>
      </c>
      <c r="B72" s="577"/>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IF(Constants!F111="none",$F$66/Constants!C111,MIN(Constants!F111,$F$66/Constants!C111))</f>
        <v>2.1999999999999997</v>
      </c>
      <c r="E75" s="161" t="b">
        <f>$B$14=A75</f>
        <v>0</v>
      </c>
      <c r="O75" s="49"/>
    </row>
    <row r="76" spans="1:15" x14ac:dyDescent="0.2">
      <c r="A76" s="161"/>
      <c r="B76" s="161" t="s">
        <v>128</v>
      </c>
      <c r="C76" s="165">
        <f ca="1">IF(Constants!F112="none",$F$66/Constants!C112,MIN(Constants!F112,$F$66/Constants!C112))</f>
        <v>2.1999999999999997</v>
      </c>
      <c r="D76" s="165">
        <f ca="1">IF(Constants!F113="none",$F$66/Constants!C113,MIN(Constants!F113,$F$66/Constants!C113))</f>
        <v>2.1999999999999997</v>
      </c>
      <c r="E76" s="161"/>
      <c r="O76" s="49"/>
    </row>
    <row r="77" spans="1:15" x14ac:dyDescent="0.2">
      <c r="A77" s="161" t="s">
        <v>96</v>
      </c>
      <c r="B77" s="161" t="s">
        <v>143</v>
      </c>
      <c r="C77" s="165"/>
      <c r="D77" s="165">
        <f ca="1">MIN(Constants!F114,$F$66/Constants!C114)</f>
        <v>2.1999999999999997</v>
      </c>
      <c r="E77" s="161" t="b">
        <f>$B$14=A77</f>
        <v>0</v>
      </c>
      <c r="O77" s="49"/>
    </row>
    <row r="78" spans="1:15" x14ac:dyDescent="0.2">
      <c r="A78" s="161" t="s">
        <v>94</v>
      </c>
      <c r="B78" s="161" t="s">
        <v>135</v>
      </c>
      <c r="C78" s="165"/>
      <c r="D78" s="165">
        <f ca="1">MIN(Constants!F115,$F$66/Constants!C115)</f>
        <v>2</v>
      </c>
      <c r="E78" s="161" t="b">
        <f>$B$14=A78</f>
        <v>0</v>
      </c>
      <c r="O78" s="49"/>
    </row>
    <row r="79" spans="1:15" x14ac:dyDescent="0.2">
      <c r="A79" s="161" t="s">
        <v>99</v>
      </c>
      <c r="B79" s="161" t="s">
        <v>151</v>
      </c>
      <c r="C79" s="165">
        <f ca="1">MIN(Constants!F116,F62/Constants!C116)</f>
        <v>0</v>
      </c>
      <c r="D79" s="165">
        <f ca="1">MIN(Constants!F117,F62/Constants!C117)</f>
        <v>0</v>
      </c>
      <c r="E79" s="161" t="b">
        <f>$B$14=A79</f>
        <v>0</v>
      </c>
      <c r="O79" s="49"/>
    </row>
    <row r="80" spans="1:15" x14ac:dyDescent="0.2">
      <c r="A80" s="161" t="s">
        <v>341</v>
      </c>
      <c r="B80" s="161" t="s">
        <v>344</v>
      </c>
      <c r="C80" s="161"/>
      <c r="D80" s="165">
        <f ca="1">MIN(Constants!F118,F66/Constants!C118)</f>
        <v>2.1999999999999997</v>
      </c>
      <c r="E80" s="161" t="b">
        <f>$B$14=A80</f>
        <v>0</v>
      </c>
      <c r="O80" s="49"/>
    </row>
    <row r="81" spans="1:15" x14ac:dyDescent="0.2">
      <c r="A81" s="161"/>
      <c r="B81" s="161" t="s">
        <v>345</v>
      </c>
      <c r="C81" s="161">
        <f ca="1">MIN(Constants!F119,I50*Constants!C119)</f>
        <v>0.1</v>
      </c>
      <c r="D81" s="161"/>
      <c r="E81" s="161"/>
      <c r="O81" s="49"/>
    </row>
    <row r="82" spans="1:15" x14ac:dyDescent="0.2">
      <c r="A82" s="161" t="s">
        <v>147</v>
      </c>
      <c r="B82" s="161" t="s">
        <v>387</v>
      </c>
      <c r="C82" s="161"/>
      <c r="D82" s="165">
        <f>MIN(Constants!F120,250/Constants!C120)</f>
        <v>0</v>
      </c>
      <c r="E82" s="161" t="b">
        <f>$B$14=A82</f>
        <v>0</v>
      </c>
      <c r="O82" s="49"/>
    </row>
    <row r="83" spans="1:15" x14ac:dyDescent="0.2">
      <c r="A83" s="166" t="s">
        <v>147</v>
      </c>
      <c r="B83" s="161" t="s">
        <v>369</v>
      </c>
      <c r="C83" s="167">
        <f>MIN(bone_breaker_cap,250/bone_breaker_bonus)</f>
        <v>0.4</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72:B72"/>
    <mergeCell ref="D43:H43"/>
    <mergeCell ref="K35:N37"/>
    <mergeCell ref="K40:N42"/>
    <mergeCell ref="K38:N39"/>
    <mergeCell ref="A1:L1"/>
    <mergeCell ref="A8:I8"/>
    <mergeCell ref="A9:I12"/>
    <mergeCell ref="K16:N21"/>
    <mergeCell ref="M1:O1"/>
    <mergeCell ref="J8:L12"/>
    <mergeCell ref="A32:O32"/>
    <mergeCell ref="M2:O12"/>
    <mergeCell ref="A13:O13"/>
    <mergeCell ref="K23:N27"/>
    <mergeCell ref="A2:L7"/>
  </mergeCells>
  <phoneticPr fontId="0" type="noConversion"/>
  <conditionalFormatting sqref="D43">
    <cfRule type="expression" dxfId="923" priority="1" stopIfTrue="1">
      <formula>$D$43&lt;&gt;""</formula>
    </cfRule>
  </conditionalFormatting>
  <conditionalFormatting sqref="E18">
    <cfRule type="cellIs" dxfId="922" priority="2" stopIfTrue="1" operator="equal">
      <formula>"""Yes"""</formula>
    </cfRule>
    <cfRule type="expression" dxfId="921" priority="3" stopIfTrue="1">
      <formula>ISERROR(E18)</formula>
    </cfRule>
  </conditionalFormatting>
  <conditionalFormatting sqref="E17">
    <cfRule type="cellIs" dxfId="920"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5" t="s">
        <v>23</v>
      </c>
      <c r="D1" s="585"/>
      <c r="E1" s="585"/>
      <c r="F1" s="585"/>
      <c r="G1" s="585"/>
      <c r="H1" s="585"/>
      <c r="I1" s="585"/>
      <c r="J1" s="174"/>
      <c r="K1" s="174"/>
      <c r="L1" s="585" t="s">
        <v>22</v>
      </c>
      <c r="M1" s="585"/>
      <c r="N1" s="585"/>
      <c r="O1" s="585"/>
      <c r="P1" s="585"/>
      <c r="Q1" s="585"/>
      <c r="R1" s="585"/>
      <c r="S1" s="585"/>
      <c r="U1" s="585" t="s">
        <v>175</v>
      </c>
      <c r="V1" s="586"/>
      <c r="W1" s="585" t="s">
        <v>179</v>
      </c>
      <c r="X1" s="585"/>
      <c r="Y1" s="585"/>
      <c r="Z1" s="585"/>
      <c r="AA1" s="585" t="s">
        <v>184</v>
      </c>
      <c r="AB1" s="586"/>
      <c r="AC1" s="586"/>
      <c r="AD1" s="586"/>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1054</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1071</v>
      </c>
      <c r="AA3" s="176" t="s">
        <v>804</v>
      </c>
      <c r="AB3" s="176" t="s">
        <v>179</v>
      </c>
      <c r="AC3" s="176" t="s">
        <v>183</v>
      </c>
    </row>
    <row r="4" spans="1:30" x14ac:dyDescent="0.2">
      <c r="A4" s="178">
        <f>TblRezone[[#This Row],[Hour]]</f>
        <v>1</v>
      </c>
      <c r="B4" s="179">
        <f>TblImps[[#This Row],[Time]]</f>
        <v>44343</v>
      </c>
      <c r="C4" s="500">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Arch]]),(barracks_size + tech_8_3*TblTech[[#This Row],[8-3]])*TblConstr[[#This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Row],[Peasants]]*Constants!$B$52,0), 0)</f>
        <v>13</v>
      </c>
      <c r="AA4" s="184"/>
      <c r="AB4" s="185">
        <f ca="1">Overview!$I$16 + IF(Magic!AD4&gt;0,Constants!$F$76)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44343.041666666664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Arch]]),(barracks_size + tech_8_3*TblTech[[#This Row],[8-3]])*TblConstr[[#This Row],[Tot Bar]])</f>
        <v>2368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Row],[Peasants]]*Constants!$B$52,0), 0)</f>
        <v>13</v>
      </c>
      <c r="AA5" s="184"/>
      <c r="AB5" s="185">
        <f ca="1">Overview!$I$16 + IF(Magic!AD5&gt;0,Constants!$F$76)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44343.083333333328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Arch]]),(barracks_size + tech_8_3*TblTech[[#This Row],[8-3]])*TblConstr[[#This Row],[Tot Bar]])</f>
        <v>2368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Row],[Peasants]]*Constants!$B$52,0), 0)</f>
        <v>14</v>
      </c>
      <c r="AA6" s="184"/>
      <c r="AB6" s="185">
        <f ca="1">Overview!$I$16 + IF(Magic!AD6&gt;0,Constants!$F$76)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44343.124999999993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Arch]]),(barracks_size + tech_8_3*TblTech[[#This Row],[8-3]])*TblConstr[[#This Row],[Tot Bar]])</f>
        <v>2368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Row],[Peasants]]*Constants!$B$52,0), 0)</f>
        <v>14</v>
      </c>
      <c r="AA7" s="184"/>
      <c r="AB7" s="185">
        <f ca="1">Overview!$I$16 + IF(Magic!AD7&gt;0,Constants!$F$76)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44343.166666666657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Arch]]),(barracks_size + tech_8_3*TblTech[[#This Row],[8-3]])*TblConstr[[#This Row],[Tot Bar]])</f>
        <v>2368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Row],[Peasants]]*Constants!$B$52,0), 0)</f>
        <v>14</v>
      </c>
      <c r="AA8" s="184"/>
      <c r="AB8" s="185">
        <f ca="1">Overview!$I$16 + IF(Magic!AD8&gt;0,Constants!$F$76)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44343.208333333321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Arch]]),(barracks_size + tech_8_3*TblTech[[#This Row],[8-3]])*TblConstr[[#This Row],[Tot Bar]])</f>
        <v>2368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Row],[Peasants]]*Constants!$B$52,0), 0)</f>
        <v>14</v>
      </c>
      <c r="AA9" s="184"/>
      <c r="AB9" s="185">
        <f ca="1">Overview!$I$16 + IF(Magic!AD9&gt;0,Constants!$F$76)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44343.249999999985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Arch]]),(barracks_size + tech_8_3*TblTech[[#This Row],[8-3]])*TblConstr[[#This Row],[Tot Bar]])</f>
        <v>2368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Row],[Peasants]]*Constants!$B$52,0), 0)</f>
        <v>15</v>
      </c>
      <c r="AA10" s="184"/>
      <c r="AB10" s="185">
        <f ca="1">Overview!$I$16 + IF(Magic!AD10&gt;0,Constants!$F$76)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44343.29166666665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Arch]]),(barracks_size + tech_8_3*TblTech[[#This Row],[8-3]])*TblConstr[[#This Row],[Tot Bar]])</f>
        <v>2368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Row],[Peasants]]*Constants!$B$52,0), 0)</f>
        <v>15</v>
      </c>
      <c r="AA11" s="184"/>
      <c r="AB11" s="185">
        <f ca="1">Overview!$I$16 + IF(Magic!AD11&gt;0,Constants!$F$76)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44343.333333333314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Arch]]),(barracks_size + tech_8_3*TblTech[[#This Row],[8-3]])*TblConstr[[#This Row],[Tot Bar]])</f>
        <v>2368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Row],[Peasants]]*Constants!$B$52,0), 0)</f>
        <v>15</v>
      </c>
      <c r="AA12" s="184"/>
      <c r="AB12" s="185">
        <f ca="1">Overview!$I$16 + IF(Magic!AD12&gt;0,Constants!$F$76)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44343.374999999978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Arch]]),(barracks_size + tech_8_3*TblTech[[#This Row],[8-3]])*TblConstr[[#This Row],[Tot Bar]])</f>
        <v>2368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Row],[Peasants]]*Constants!$B$52,0), 0)</f>
        <v>15</v>
      </c>
      <c r="AA13" s="184"/>
      <c r="AB13" s="185">
        <f ca="1">Overview!$I$16 + IF(Magic!AD13&gt;0,Constants!$F$76)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44343.416666666642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Arch]]),(barracks_size + tech_8_3*TblTech[[#This Row],[8-3]])*TblConstr[[#This Row],[Tot Bar]])</f>
        <v>2368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Row],[Peasants]]*Constants!$B$52,0), 0)</f>
        <v>16</v>
      </c>
      <c r="AA14" s="184"/>
      <c r="AB14" s="185">
        <f ca="1">Overview!$I$16 + IF(Magic!AD14&gt;0,Constants!$F$76)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44343.458333333307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Arch]]),(barracks_size + tech_8_3*TblTech[[#This Row],[8-3]])*TblConstr[[#This Row],[Tot Bar]])</f>
        <v>2368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2310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Row],[Peasants]]*Constants!$B$52,0), 0)</f>
        <v>16</v>
      </c>
      <c r="AA15" s="184"/>
      <c r="AB15" s="185">
        <f ca="1">Overview!$I$16 + IF(Magic!AD15&gt;0,Constants!$F$76)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44343.499999999971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Arch]]),(barracks_size + tech_8_3*TblTech[[#This Row],[8-3]])*TblConstr[[#This Row],[Tot Bar]])</f>
        <v>2383</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Row],[Peasants]]*Constants!$B$52,0), 0)</f>
        <v>16</v>
      </c>
      <c r="AA16" s="184"/>
      <c r="AB16" s="185">
        <f ca="1">Overview!$I$16 + IF(Magic!AD16&gt;0,Constants!$F$76)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44343.541666666635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Arch]]),(barracks_size + tech_8_3*TblTech[[#This Row],[8-3]])*TblConstr[[#This Row],[Tot Bar]])</f>
        <v>2383</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Row],[Peasants]]*Constants!$B$52,0), 0)</f>
        <v>17</v>
      </c>
      <c r="AA17" s="184"/>
      <c r="AB17" s="185">
        <f ca="1">Overview!$I$16 + IF(Magic!AD17&gt;0,Constants!$F$76)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44343.583333333299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Arch]]),(barracks_size + tech_8_3*TblTech[[#This Row],[8-3]])*TblConstr[[#This Row],[Tot Bar]])</f>
        <v>2383</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Row],[Peasants]]*Constants!$B$52,0), 0)</f>
        <v>17</v>
      </c>
      <c r="AA18" s="184"/>
      <c r="AB18" s="185">
        <f ca="1">Overview!$I$16 + IF(Magic!AD18&gt;0,Constants!$F$76)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44343.624999999964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Arch]]),(barracks_size + tech_8_3*TblTech[[#This Row],[8-3]])*TblConstr[[#This Row],[Tot Bar]])</f>
        <v>2383</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Row],[Peasants]]*Constants!$B$52,0), 0)</f>
        <v>17</v>
      </c>
      <c r="AA19" s="184"/>
      <c r="AB19" s="185">
        <f ca="1">Overview!$I$16 + IF(Magic!AD19&gt;0,Constants!$F$76)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44343.666666666628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Arch]]),(barracks_size + tech_8_3*TblTech[[#This Row],[8-3]])*TblConstr[[#This Row],[Tot Bar]])</f>
        <v>2383</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0" s="124">
        <f ca="1">MAX(-5%*TblPop[[#This Row],[Peasants]]-TblPop[[#This Row],[Draft Growth]],MIN(OFFSET(TblPop[[#This Row],[Net max]],1,0)-TblPop[[#This Row],[Peasants]]-TblPop[[#This Row],[Military]]-TblPop[[#This Row],[Draft Growth]],TblPop[[#This Row],[Modded Birth]]-TblPop[[#This Row],[Draft Growth]]))</f>
        <v>35</v>
      </c>
      <c r="X20" s="124">
        <f ca="1">ROUND(TblPop[[#This Row],[Raw Birth]]*(1+TblPop[[#This Row],[Growth]]),0)</f>
        <v>53</v>
      </c>
      <c r="Y20" s="124">
        <f ca="1">(TblPop[[#This Row],[Peasants]]-TblPop[[#This Row],[Draft Growth]])*raw_pop_growth</f>
        <v>52.8</v>
      </c>
      <c r="Z20" s="124">
        <f ca="1">IF(TblPop[[#This Row],[Military%]]&lt;TblMili[[#This Row],[Draftrate]],ROUND(TblPop[[#This Row],[Peasants]]*Constants!$B$52,0), 0)</f>
        <v>18</v>
      </c>
      <c r="AA20" s="184"/>
      <c r="AB20" s="185">
        <f ca="1">Overview!$I$16 + IF(Magic!AD20&gt;0,Constants!$F$76)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44343.708333333292</v>
      </c>
      <c r="C21" s="124">
        <f ca="1">OFFSET(TblPop[[#This Row],[Peasants]],-1,0)+OFFSET(TblPop[[#This Row],[Net Peasant]],-1,0)+TblMili[[#This Row],[Release Draft]]</f>
        <v>1813</v>
      </c>
      <c r="D21" s="124">
        <f ca="1">TblMili[[#This Row],[Military]]</f>
        <v>559</v>
      </c>
      <c r="E21" s="124">
        <f ca="1">TblMili[[#This Row],[Draftees]]</f>
        <v>359</v>
      </c>
      <c r="F21" s="124">
        <f ca="1">TblPop[[#This Row],[Peasants]]+TblPop[[#This Row],[Military]]</f>
        <v>2372</v>
      </c>
      <c r="G21" s="180">
        <f ca="1">TblPop[[#This Row],[Military]]/TblPop[[#This Row],[Total]]</f>
        <v>0.23566610455311973</v>
      </c>
      <c r="H21" s="181">
        <f ca="1">MIN(TblPop[[#This Row],[Peasants]],TblPop[[#This Row],[Jobs]])</f>
        <v>1600</v>
      </c>
      <c r="I21" s="180">
        <f ca="1">MIN(OFFSET(TblPop[[#This Row],[Jobs]],1,0)/TblPop[[#This Row],[Peasants]],1)</f>
        <v>0.88251516822945397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Arch]]),(barracks_size + tech_8_3*TblTech[[#This Row],[8-3]])*TblConstr[[#This Row],[Tot Bar]])</f>
        <v>2383</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1" s="124">
        <f ca="1">MAX(-5%*TblPop[[#This Row],[Peasants]]-TblPop[[#This Row],[Draft Growth]],MIN(OFFSET(TblPop[[#This Row],[Net max]],1,0)-TblPop[[#This Row],[Peasants]]-TblPop[[#This Row],[Military]]-TblPop[[#This Row],[Draft Growth]],TblPop[[#This Row],[Modded Birth]]-TblPop[[#This Row],[Draft Growth]]))</f>
        <v>-7</v>
      </c>
      <c r="X21" s="124">
        <f ca="1">ROUND(TblPop[[#This Row],[Raw Birth]]*(1+TblPop[[#This Row],[Growth]]),0)</f>
        <v>54</v>
      </c>
      <c r="Y21" s="124">
        <f ca="1">(TblPop[[#This Row],[Peasants]]-TblPop[[#This Row],[Draft Growth]])*raw_pop_growth</f>
        <v>53.85</v>
      </c>
      <c r="Z21" s="124">
        <f ca="1">IF(TblPop[[#This Row],[Military%]]&lt;TblMili[[#This Row],[Draftrate]],ROUND(TblPop[[#This Row],[Peasants]]*Constants!$B$52,0), 0)</f>
        <v>18</v>
      </c>
      <c r="AA21" s="184"/>
      <c r="AB21" s="185">
        <f ca="1">Overview!$I$16 + IF(Magic!AD21&gt;0,Constants!$F$76)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44343.749999999956</v>
      </c>
      <c r="C22" s="124">
        <f ca="1">OFFSET(TblPop[[#This Row],[Peasants]],-1,0)+OFFSET(TblPop[[#This Row],[Net Peasant]],-1,0)+TblMili[[#This Row],[Release Draft]]</f>
        <v>1806</v>
      </c>
      <c r="D22" s="124">
        <f ca="1">TblMili[[#This Row],[Military]]</f>
        <v>577</v>
      </c>
      <c r="E22" s="124">
        <f ca="1">TblMili[[#This Row],[Draftees]]</f>
        <v>377</v>
      </c>
      <c r="F22" s="124">
        <f ca="1">TblPop[[#This Row],[Peasants]]+TblPop[[#This Row],[Military]]</f>
        <v>2383</v>
      </c>
      <c r="G22" s="180">
        <f ca="1">TblPop[[#This Row],[Military]]/TblPop[[#This Row],[Total]]</f>
        <v>0.24213176668065464</v>
      </c>
      <c r="H22" s="181">
        <f ca="1">MIN(TblPop[[#This Row],[Peasants]],TblPop[[#This Row],[Jobs]])</f>
        <v>1600</v>
      </c>
      <c r="I22" s="180">
        <f ca="1">MIN(OFFSET(TblPop[[#This Row],[Jobs]],1,0)/TblPop[[#This Row],[Peasants]],1)</f>
        <v>0.88593576965669985</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Arch]]),(barracks_size + tech_8_3*TblTech[[#This Row],[8-3]])*TblConstr[[#This Row],[Tot Bar]])</f>
        <v>2383</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54</v>
      </c>
      <c r="Y22" s="124">
        <f ca="1">(TblPop[[#This Row],[Peasants]]-TblPop[[#This Row],[Draft Growth]])*raw_pop_growth</f>
        <v>53.64</v>
      </c>
      <c r="Z22" s="124">
        <f ca="1">IF(TblPop[[#This Row],[Military%]]&lt;TblMili[[#This Row],[Draftrate]],ROUND(TblPop[[#This Row],[Peasants]]*Constants!$B$52,0), 0)</f>
        <v>18</v>
      </c>
      <c r="AA22" s="184"/>
      <c r="AB22" s="185">
        <f ca="1">Overview!$I$16 + IF(Magic!AD22&gt;0,Constants!$F$76)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44343.791666666621</v>
      </c>
      <c r="C23" s="124">
        <f ca="1">OFFSET(TblPop[[#This Row],[Peasants]],-1,0)+OFFSET(TblPop[[#This Row],[Net Peasant]],-1,0)+TblMili[[#This Row],[Release Draft]]</f>
        <v>1788</v>
      </c>
      <c r="D23" s="124">
        <f ca="1">TblMili[[#This Row],[Military]]</f>
        <v>595</v>
      </c>
      <c r="E23" s="124">
        <f ca="1">TblMili[[#This Row],[Draftees]]</f>
        <v>395</v>
      </c>
      <c r="F23" s="124">
        <f ca="1">TblPop[[#This Row],[Peasants]]+TblPop[[#This Row],[Military]]</f>
        <v>2383</v>
      </c>
      <c r="G23" s="180">
        <f ca="1">TblPop[[#This Row],[Military]]/TblPop[[#This Row],[Total]]</f>
        <v>0.24968527066722618</v>
      </c>
      <c r="H23" s="181">
        <f ca="1">MIN(TblPop[[#This Row],[Peasants]],TblPop[[#This Row],[Jobs]])</f>
        <v>1600</v>
      </c>
      <c r="I23" s="180">
        <f ca="1">MIN(OFFSET(TblPop[[#This Row],[Jobs]],1,0)/TblPop[[#This Row],[Peasants]],1)</f>
        <v>0.89485458612975388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Arch]]),(barracks_size + tech_8_3*TblTech[[#This Row],[8-3]])*TblConstr[[#This Row],[Tot Bar]])</f>
        <v>2383</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53</v>
      </c>
      <c r="Y23" s="124">
        <f ca="1">(TblPop[[#This Row],[Peasants]]-TblPop[[#This Row],[Draft Growth]])*raw_pop_growth</f>
        <v>53.1</v>
      </c>
      <c r="Z23" s="124">
        <f ca="1">IF(TblPop[[#This Row],[Military%]]&lt;TblMili[[#This Row],[Draftrate]],ROUND(TblPop[[#This Row],[Peasants]]*Constants!$B$52,0), 0)</f>
        <v>18</v>
      </c>
      <c r="AA23" s="184"/>
      <c r="AB23" s="185">
        <f ca="1">Overview!$I$16 + IF(Magic!AD23&gt;0,Constants!$F$76)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44343.833333333285</v>
      </c>
      <c r="C24" s="124">
        <f ca="1">OFFSET(TblPop[[#This Row],[Peasants]],-1,0)+OFFSET(TblPop[[#This Row],[Net Peasant]],-1,0)+TblMili[[#This Row],[Release Draft]]</f>
        <v>1770</v>
      </c>
      <c r="D24" s="124">
        <f ca="1">TblMili[[#This Row],[Military]]</f>
        <v>613</v>
      </c>
      <c r="E24" s="124">
        <f ca="1">TblMili[[#This Row],[Draftees]]</f>
        <v>413</v>
      </c>
      <c r="F24" s="124">
        <f ca="1">TblPop[[#This Row],[Peasants]]+TblPop[[#This Row],[Military]]</f>
        <v>2383</v>
      </c>
      <c r="G24" s="180">
        <f ca="1">TblPop[[#This Row],[Military]]/TblPop[[#This Row],[Total]]</f>
        <v>0.25723877465379774</v>
      </c>
      <c r="H24" s="181">
        <f ca="1">MIN(TblPop[[#This Row],[Peasants]],TblPop[[#This Row],[Jobs]])</f>
        <v>1600</v>
      </c>
      <c r="I24" s="180">
        <f ca="1">MIN(OFFSET(TblPop[[#This Row],[Jobs]],1,0)/TblPop[[#This Row],[Peasants]],1)</f>
        <v>0.903954802259887</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Arch]]),(barracks_size + tech_8_3*TblTech[[#This Row],[8-3]])*TblConstr[[#This Row],[Tot Bar]])</f>
        <v>2383</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4" s="124">
        <f ca="1">MAX(-5%*TblPop[[#This Row],[Peasants]]-TblPop[[#This Row],[Draft Growth]],MIN(OFFSET(TblPop[[#This Row],[Net max]],1,0)-TblPop[[#This Row],[Peasants]]-TblPop[[#This Row],[Military]]-TblPop[[#This Row],[Draft Growth]],TblPop[[#This Row],[Modded Birth]]-TblPop[[#This Row],[Draft Growth]]))</f>
        <v>-18</v>
      </c>
      <c r="X24" s="124">
        <f ca="1">ROUND(TblPop[[#This Row],[Raw Birth]]*(1+TblPop[[#This Row],[Growth]]),0)</f>
        <v>53</v>
      </c>
      <c r="Y24" s="124">
        <f ca="1">(TblPop[[#This Row],[Peasants]]-TblPop[[#This Row],[Draft Growth]])*raw_pop_growth</f>
        <v>52.559999999999995</v>
      </c>
      <c r="Z24" s="124">
        <f ca="1">IF(TblPop[[#This Row],[Military%]]&lt;TblMili[[#This Row],[Draftrate]],ROUND(TblPop[[#This Row],[Peasants]]*Constants!$B$52,0), 0)</f>
        <v>18</v>
      </c>
      <c r="AA24" s="184"/>
      <c r="AB24" s="185">
        <f ca="1">Overview!$I$16 + IF(Magic!AD24&gt;0,Constants!$F$76)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44343.874999999949</v>
      </c>
      <c r="C25" s="124">
        <f ca="1">OFFSET(TblPop[[#This Row],[Peasants]],-1,0)+OFFSET(TblPop[[#This Row],[Net Peasant]],-1,0)+TblMili[[#This Row],[Release Draft]]</f>
        <v>1752</v>
      </c>
      <c r="D25" s="124">
        <f ca="1">TblMili[[#This Row],[Military]]</f>
        <v>631</v>
      </c>
      <c r="E25" s="124">
        <f ca="1">TblMili[[#This Row],[Draftees]]</f>
        <v>431</v>
      </c>
      <c r="F25" s="124">
        <f ca="1">TblPop[[#This Row],[Peasants]]+TblPop[[#This Row],[Military]]</f>
        <v>2383</v>
      </c>
      <c r="G25" s="180">
        <f ca="1">TblPop[[#This Row],[Military]]/TblPop[[#This Row],[Total]]</f>
        <v>0.26479227864036931</v>
      </c>
      <c r="H25" s="181">
        <f ca="1">MIN(TblPop[[#This Row],[Peasants]],TblPop[[#This Row],[Jobs]])</f>
        <v>1600</v>
      </c>
      <c r="I25" s="180">
        <f ca="1">MIN(OFFSET(TblPop[[#This Row],[Jobs]],1,0)/TblPop[[#This Row],[Peasants]],1)</f>
        <v>0.91324200913242004</v>
      </c>
      <c r="J25" s="181">
        <f ca="1">SUM(TblConstr[[#This Row],[Tot Alc]:[Tot GT]],TblConstr[[#This Row],[Tot Shr]:[Tot Doc]],TblConstr[[#This Row],[Dest Alc]:[Dest GT]],TblConstr[[#This Row],[Dest Shr]:[Dest Doc]])*building_employment</f>
        <v>1600</v>
      </c>
      <c r="K25" s="182"/>
      <c r="L25" s="183">
        <f ca="1">TblPop[[#This Row],[Draftees]]</f>
        <v>431</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Arch]]),(barracks_size + tech_8_3*TblTech[[#This Row],[8-3]])*TblConstr[[#This Row],[Tot Bar]])</f>
        <v>2383</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5" s="124">
        <f ca="1">MAX(-5%*TblPop[[#This Row],[Peasants]]-TblPop[[#This Row],[Draft Growth]],MIN(OFFSET(TblPop[[#This Row],[Net max]],1,0)-TblPop[[#This Row],[Peasants]]-TblPop[[#This Row],[Military]]-TblPop[[#This Row],[Draft Growth]],TblPop[[#This Row],[Modded Birth]]-TblPop[[#This Row],[Draft Growth]]))</f>
        <v>-18</v>
      </c>
      <c r="X25" s="124">
        <f ca="1">ROUND(TblPop[[#This Row],[Raw Birth]]*(1+TblPop[[#This Row],[Growth]]),0)</f>
        <v>52</v>
      </c>
      <c r="Y25" s="124">
        <f ca="1">(TblPop[[#This Row],[Peasants]]-TblPop[[#This Row],[Draft Growth]])*raw_pop_growth</f>
        <v>52.019999999999996</v>
      </c>
      <c r="Z25" s="124">
        <f ca="1">IF(TblPop[[#This Row],[Military%]]&lt;TblMili[[#This Row],[Draftrate]],ROUND(TblPop[[#This Row],[Peasants]]*Constants!$B$52,0), 0)</f>
        <v>18</v>
      </c>
      <c r="AA25" s="184"/>
      <c r="AB25" s="185">
        <f ca="1">Overview!$I$16 + IF(Magic!AD25&gt;0,Constants!$F$76)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44343.916666666613</v>
      </c>
      <c r="C26" s="124">
        <f ca="1">OFFSET(TblPop[[#This Row],[Peasants]],-1,0)+OFFSET(TblPop[[#This Row],[Net Peasant]],-1,0)+TblMili[[#This Row],[Release Draft]]</f>
        <v>1734</v>
      </c>
      <c r="D26" s="124">
        <f ca="1">TblMili[[#This Row],[Military]]</f>
        <v>649</v>
      </c>
      <c r="E26" s="124">
        <f ca="1">TblMili[[#This Row],[Draftees]]</f>
        <v>449</v>
      </c>
      <c r="F26" s="124">
        <f ca="1">TblPop[[#This Row],[Peasants]]+TblPop[[#This Row],[Military]]</f>
        <v>2383</v>
      </c>
      <c r="G26" s="180">
        <f ca="1">TblPop[[#This Row],[Military]]/TblPop[[#This Row],[Total]]</f>
        <v>0.27234578262694081</v>
      </c>
      <c r="H26" s="181">
        <f ca="1">MIN(TblPop[[#This Row],[Peasants]],TblPop[[#This Row],[Jobs]])</f>
        <v>1600</v>
      </c>
      <c r="I26" s="180">
        <f ca="1">MIN(OFFSET(TblPop[[#This Row],[Jobs]],1,0)/TblPop[[#This Row],[Peasants]],1)</f>
        <v>0.92272202998846597</v>
      </c>
      <c r="J26" s="181">
        <f ca="1">SUM(TblConstr[[#This Row],[Tot Alc]:[Tot GT]],TblConstr[[#This Row],[Tot Shr]:[Tot Doc]],TblConstr[[#This Row],[Dest Alc]:[Dest GT]],TblConstr[[#This Row],[Dest Shr]:[Dest Doc]])*building_employment</f>
        <v>1600</v>
      </c>
      <c r="K26" s="182"/>
      <c r="L26" s="183">
        <f ca="1">TblPop[[#This Row],[Draftees]]</f>
        <v>449</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Arch]]),(barracks_size + tech_8_3*TblTech[[#This Row],[8-3]])*TblConstr[[#This Row],[Tot Bar]])</f>
        <v>2383</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52</v>
      </c>
      <c r="Y26" s="124">
        <f ca="1">(TblPop[[#This Row],[Peasants]]-TblPop[[#This Row],[Draft Growth]])*raw_pop_growth</f>
        <v>51.51</v>
      </c>
      <c r="Z26" s="124">
        <f ca="1">IF(TblPop[[#This Row],[Military%]]&lt;TblMili[[#This Row],[Draftrate]],ROUND(TblPop[[#This Row],[Peasants]]*Constants!$B$52,0), 0)</f>
        <v>17</v>
      </c>
      <c r="AA26" s="184"/>
      <c r="AB26" s="185">
        <f ca="1">Overview!$I$16 + IF(Magic!AD26&gt;0,Constants!$F$76)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44343.958333333278</v>
      </c>
      <c r="C27" s="124">
        <f ca="1">OFFSET(TblPop[[#This Row],[Peasants]],-1,0)+OFFSET(TblPop[[#This Row],[Net Peasant]],-1,0)+TblMili[[#This Row],[Release Draft]]</f>
        <v>1717</v>
      </c>
      <c r="D27" s="124">
        <f ca="1">TblMili[[#This Row],[Military]]</f>
        <v>666</v>
      </c>
      <c r="E27" s="124">
        <f ca="1">TblMili[[#This Row],[Draftees]]</f>
        <v>466</v>
      </c>
      <c r="F27" s="124">
        <f ca="1">TblPop[[#This Row],[Peasants]]+TblPop[[#This Row],[Military]]</f>
        <v>2383</v>
      </c>
      <c r="G27" s="180">
        <f ca="1">TblPop[[#This Row],[Military]]/TblPop[[#This Row],[Total]]</f>
        <v>0.2794796475031473</v>
      </c>
      <c r="H27" s="181">
        <f ca="1">MIN(TblPop[[#This Row],[Peasants]],TblPop[[#This Row],[Jobs]])</f>
        <v>1600</v>
      </c>
      <c r="I27" s="180">
        <f ca="1">MIN(OFFSET(TblPop[[#This Row],[Jobs]],1,0)/TblPop[[#This Row],[Peasants]],1)</f>
        <v>0.93185789167152011</v>
      </c>
      <c r="J27" s="181">
        <f ca="1">SUM(TblConstr[[#This Row],[Tot Alc]:[Tot GT]],TblConstr[[#This Row],[Tot Shr]:[Tot Doc]],TblConstr[[#This Row],[Dest Alc]:[Dest GT]],TblConstr[[#This Row],[Dest Shr]:[Dest Doc]])*building_employment</f>
        <v>1600</v>
      </c>
      <c r="K27" s="182"/>
      <c r="L27" s="183">
        <f ca="1">TblPop[[#This Row],[Draftees]]</f>
        <v>466</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Arch]]),(barracks_size + tech_8_3*TblTech[[#This Row],[8-3]])*TblConstr[[#This Row],[Tot Bar]])</f>
        <v>2383</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51</v>
      </c>
      <c r="Y27" s="124">
        <f ca="1">(TblPop[[#This Row],[Peasants]]-TblPop[[#This Row],[Draft Growth]])*raw_pop_growth</f>
        <v>51</v>
      </c>
      <c r="Z27" s="124">
        <f ca="1">IF(TblPop[[#This Row],[Military%]]&lt;TblMili[[#This Row],[Draftrate]],ROUND(TblPop[[#This Row],[Peasants]]*Constants!$B$52,0), 0)</f>
        <v>17</v>
      </c>
      <c r="AA27" s="184"/>
      <c r="AB27" s="185">
        <f ca="1">Overview!$I$16 + IF(Magic!AD27&gt;0,Constants!$F$76)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44343.999999999942</v>
      </c>
      <c r="C28" s="124">
        <f ca="1">OFFSET(TblPop[[#This Row],[Peasants]],-1,0)+OFFSET(TblPop[[#This Row],[Net Peasant]],-1,0)+TblMili[[#This Row],[Release Draft]]</f>
        <v>1700</v>
      </c>
      <c r="D28" s="124">
        <f ca="1">TblMili[[#This Row],[Military]]</f>
        <v>683</v>
      </c>
      <c r="E28" s="124">
        <f ca="1">TblMili[[#This Row],[Draftees]]</f>
        <v>483</v>
      </c>
      <c r="F28" s="124">
        <f ca="1">TblPop[[#This Row],[Peasants]]+TblPop[[#This Row],[Military]]</f>
        <v>2383</v>
      </c>
      <c r="G28" s="180">
        <f ca="1">TblPop[[#This Row],[Military]]/TblPop[[#This Row],[Total]]</f>
        <v>0.28661351237935373</v>
      </c>
      <c r="H28" s="181">
        <f ca="1">MIN(TblPop[[#This Row],[Peasants]],TblPop[[#This Row],[Jobs]])</f>
        <v>1600</v>
      </c>
      <c r="I28" s="180">
        <f ca="1">MIN(OFFSET(TblPop[[#This Row],[Jobs]],1,0)/TblPop[[#This Row],[Peasants]],1)</f>
        <v>0.94117647058823528</v>
      </c>
      <c r="J28" s="181">
        <f ca="1">SUM(TblConstr[[#This Row],[Tot Alc]:[Tot GT]],TblConstr[[#This Row],[Tot Shr]:[Tot Doc]],TblConstr[[#This Row],[Dest Alc]:[Dest GT]],TblConstr[[#This Row],[Dest Shr]:[Dest Doc]])*building_employment</f>
        <v>1600</v>
      </c>
      <c r="K28" s="182"/>
      <c r="L28" s="183">
        <f ca="1">TblPop[[#This Row],[Draftees]]</f>
        <v>483</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Arch]]),(barracks_size + tech_8_3*TblTech[[#This Row],[8-3]])*TblConstr[[#This Row],[Tot Bar]])</f>
        <v>2383</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50.489999999999995</v>
      </c>
      <c r="Z28" s="124">
        <f ca="1">IF(TblPop[[#This Row],[Military%]]&lt;TblMili[[#This Row],[Draftrate]],ROUND(TblPop[[#This Row],[Peasants]]*Constants!$B$52,0), 0)</f>
        <v>17</v>
      </c>
      <c r="AA28" s="184"/>
      <c r="AB28" s="185">
        <f ca="1">Overview!$I$16 + IF(Magic!AD28&gt;0,Constants!$F$76)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44344.041666666606</v>
      </c>
      <c r="C29" s="124">
        <f ca="1">OFFSET(TblPop[[#This Row],[Peasants]],-1,0)+OFFSET(TblPop[[#This Row],[Net Peasant]],-1,0)+TblMili[[#This Row],[Release Draft]]</f>
        <v>1683</v>
      </c>
      <c r="D29" s="124">
        <f ca="1">TblMili[[#This Row],[Military]]</f>
        <v>700</v>
      </c>
      <c r="E29" s="124">
        <f ca="1">TblMili[[#This Row],[Draftees]]</f>
        <v>500</v>
      </c>
      <c r="F29" s="124">
        <f ca="1">TblPop[[#This Row],[Peasants]]+TblPop[[#This Row],[Military]]</f>
        <v>2383</v>
      </c>
      <c r="G29" s="180">
        <f ca="1">TblPop[[#This Row],[Military]]/TblPop[[#This Row],[Total]]</f>
        <v>0.29374737725556022</v>
      </c>
      <c r="H29" s="181">
        <f ca="1">MIN(TblPop[[#This Row],[Peasants]],TblPop[[#This Row],[Jobs]])</f>
        <v>1600</v>
      </c>
      <c r="I29" s="180">
        <f ca="1">MIN(OFFSET(TblPop[[#This Row],[Jobs]],1,0)/TblPop[[#This Row],[Peasants]],1)</f>
        <v>0.95068330362448006</v>
      </c>
      <c r="J29" s="181">
        <f ca="1">SUM(TblConstr[[#This Row],[Tot Alc]:[Tot GT]],TblConstr[[#This Row],[Tot Shr]:[Tot Doc]],TblConstr[[#This Row],[Dest Alc]:[Dest GT]],TblConstr[[#This Row],[Dest Shr]:[Dest Doc]])*building_employment</f>
        <v>1600</v>
      </c>
      <c r="K29" s="182"/>
      <c r="L29" s="183">
        <f ca="1">TblPop[[#This Row],[Draftees]]</f>
        <v>500</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Arch]]),(barracks_size + tech_8_3*TblTech[[#This Row],[8-3]])*TblConstr[[#This Row],[Tot Bar]])</f>
        <v>2383</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50</v>
      </c>
      <c r="Y29" s="124">
        <f ca="1">(TblPop[[#This Row],[Peasants]]-TblPop[[#This Row],[Draft Growth]])*raw_pop_growth</f>
        <v>49.98</v>
      </c>
      <c r="Z29" s="124">
        <f ca="1">IF(TblPop[[#This Row],[Military%]]&lt;TblMili[[#This Row],[Draftrate]],ROUND(TblPop[[#This Row],[Peasants]]*Constants!$B$52,0), 0)</f>
        <v>17</v>
      </c>
      <c r="AA29" s="184"/>
      <c r="AB29" s="185">
        <f ca="1">Overview!$I$16 + IF(Magic!AD29&gt;0,Constants!$F$76)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44344.08333333327</v>
      </c>
      <c r="C30" s="124">
        <f ca="1">OFFSET(TblPop[[#This Row],[Peasants]],-1,0)+OFFSET(TblPop[[#This Row],[Net Peasant]],-1,0)+TblMili[[#This Row],[Release Draft]]</f>
        <v>1666</v>
      </c>
      <c r="D30" s="124">
        <f ca="1">TblMili[[#This Row],[Military]]</f>
        <v>717</v>
      </c>
      <c r="E30" s="124">
        <f ca="1">TblMili[[#This Row],[Draftees]]</f>
        <v>517</v>
      </c>
      <c r="F30" s="124">
        <f ca="1">TblPop[[#This Row],[Peasants]]+TblPop[[#This Row],[Military]]</f>
        <v>2383</v>
      </c>
      <c r="G30" s="180">
        <f ca="1">TblPop[[#This Row],[Military]]/TblPop[[#This Row],[Total]]</f>
        <v>0.3008812421317667</v>
      </c>
      <c r="H30" s="181">
        <f ca="1">MIN(TblPop[[#This Row],[Peasants]],TblPop[[#This Row],[Jobs]])</f>
        <v>1600</v>
      </c>
      <c r="I30" s="180">
        <f ca="1">MIN(OFFSET(TblPop[[#This Row],[Jobs]],1,0)/TblPop[[#This Row],[Peasants]],1)</f>
        <v>0.96038415366146457</v>
      </c>
      <c r="J30" s="181">
        <f ca="1">SUM(TblConstr[[#This Row],[Tot Alc]:[Tot GT]],TblConstr[[#This Row],[Tot Shr]:[Tot Doc]],TblConstr[[#This Row],[Dest Alc]:[Dest GT]],TblConstr[[#This Row],[Dest Shr]:[Dest Doc]])*building_employment</f>
        <v>1600</v>
      </c>
      <c r="K30" s="182"/>
      <c r="L30" s="183">
        <f ca="1">TblPop[[#This Row],[Draftees]]</f>
        <v>517</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Arch]]),(barracks_size + tech_8_3*TblTech[[#This Row],[8-3]])*TblConstr[[#This Row],[Tot Bar]])</f>
        <v>2383</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0" s="124">
        <f ca="1">MAX(-5%*TblPop[[#This Row],[Peasants]]-TblPop[[#This Row],[Draft Growth]],MIN(OFFSET(TblPop[[#This Row],[Net max]],1,0)-TblPop[[#This Row],[Peasants]]-TblPop[[#This Row],[Military]]-TblPop[[#This Row],[Draft Growth]],TblPop[[#This Row],[Modded Birth]]-TblPop[[#This Row],[Draft Growth]]))</f>
        <v>-17</v>
      </c>
      <c r="X30" s="124">
        <f ca="1">ROUND(TblPop[[#This Row],[Raw Birth]]*(1+TblPop[[#This Row],[Growth]]),0)</f>
        <v>49</v>
      </c>
      <c r="Y30" s="124">
        <f ca="1">(TblPop[[#This Row],[Peasants]]-TblPop[[#This Row],[Draft Growth]])*raw_pop_growth</f>
        <v>49.47</v>
      </c>
      <c r="Z30" s="124">
        <f ca="1">IF(TblPop[[#This Row],[Military%]]&lt;TblMili[[#This Row],[Draftrate]],ROUND(TblPop[[#This Row],[Peasants]]*Constants!$B$52,0), 0)</f>
        <v>17</v>
      </c>
      <c r="AA30" s="184"/>
      <c r="AB30" s="185">
        <f ca="1">Overview!$I$16 + IF(Magic!AD30&gt;0,Constants!$F$76)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44344.124999999935</v>
      </c>
      <c r="C31" s="124">
        <f ca="1">OFFSET(TblPop[[#This Row],[Peasants]],-1,0)+OFFSET(TblPop[[#This Row],[Net Peasant]],-1,0)+TblMili[[#This Row],[Release Draft]]</f>
        <v>1649</v>
      </c>
      <c r="D31" s="124">
        <f ca="1">TblMili[[#This Row],[Military]]</f>
        <v>734</v>
      </c>
      <c r="E31" s="124">
        <f ca="1">TblMili[[#This Row],[Draftees]]</f>
        <v>534</v>
      </c>
      <c r="F31" s="124">
        <f ca="1">TblPop[[#This Row],[Peasants]]+TblPop[[#This Row],[Military]]</f>
        <v>2383</v>
      </c>
      <c r="G31" s="180">
        <f ca="1">TblPop[[#This Row],[Military]]/TblPop[[#This Row],[Total]]</f>
        <v>0.30801510700797313</v>
      </c>
      <c r="H31" s="181">
        <f ca="1">MIN(TblPop[[#This Row],[Peasants]],TblPop[[#This Row],[Jobs]])</f>
        <v>1600</v>
      </c>
      <c r="I31" s="180">
        <f ca="1">MIN(OFFSET(TblPop[[#This Row],[Jobs]],1,0)/TblPop[[#This Row],[Peasants]],1)</f>
        <v>0.97028502122498483</v>
      </c>
      <c r="J31" s="181">
        <f ca="1">SUM(TblConstr[[#This Row],[Tot Alc]:[Tot GT]],TblConstr[[#This Row],[Tot Shr]:[Tot Doc]],TblConstr[[#This Row],[Dest Alc]:[Dest GT]],TblConstr[[#This Row],[Dest Shr]:[Dest Doc]])*building_employment</f>
        <v>1600</v>
      </c>
      <c r="K31" s="182"/>
      <c r="L31" s="183">
        <f ca="1">TblPop[[#This Row],[Draftees]]</f>
        <v>534</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Arch]]),(barracks_size + tech_8_3*TblTech[[#This Row],[8-3]])*TblConstr[[#This Row],[Tot Bar]])</f>
        <v>2383</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49</v>
      </c>
      <c r="Y31" s="124">
        <f ca="1">(TblPop[[#This Row],[Peasants]]-TblPop[[#This Row],[Draft Growth]])*raw_pop_growth</f>
        <v>48.989999999999995</v>
      </c>
      <c r="Z31" s="124">
        <f ca="1">IF(TblPop[[#This Row],[Military%]]&lt;TblMili[[#This Row],[Draftrate]],ROUND(TblPop[[#This Row],[Peasants]]*Constants!$B$52,0), 0)</f>
        <v>16</v>
      </c>
      <c r="AA31" s="184"/>
      <c r="AB31" s="185">
        <f ca="1">Overview!$I$16 + IF(Magic!AD31&gt;0,Constants!$F$76)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44344.166666666599</v>
      </c>
      <c r="C32" s="124">
        <f ca="1">OFFSET(TblPop[[#This Row],[Peasants]],-1,0)+OFFSET(TblPop[[#This Row],[Net Peasant]],-1,0)+TblMili[[#This Row],[Release Draft]]</f>
        <v>1633</v>
      </c>
      <c r="D32" s="124">
        <f ca="1">TblMili[[#This Row],[Military]]</f>
        <v>750</v>
      </c>
      <c r="E32" s="124">
        <f ca="1">TblMili[[#This Row],[Draftees]]</f>
        <v>550</v>
      </c>
      <c r="F32" s="124">
        <f ca="1">TblPop[[#This Row],[Peasants]]+TblPop[[#This Row],[Military]]</f>
        <v>2383</v>
      </c>
      <c r="G32" s="180">
        <f ca="1">TblPop[[#This Row],[Military]]/TblPop[[#This Row],[Total]]</f>
        <v>0.31472933277381454</v>
      </c>
      <c r="H32" s="181">
        <f ca="1">MIN(TblPop[[#This Row],[Peasants]],TblPop[[#This Row],[Jobs]])</f>
        <v>1600</v>
      </c>
      <c r="I32" s="180">
        <f ca="1">MIN(OFFSET(TblPop[[#This Row],[Jobs]],1,0)/TblPop[[#This Row],[Peasants]],1)</f>
        <v>0.9797917942437232</v>
      </c>
      <c r="J32" s="181">
        <f ca="1">SUM(TblConstr[[#This Row],[Tot Alc]:[Tot GT]],TblConstr[[#This Row],[Tot Shr]:[Tot Doc]],TblConstr[[#This Row],[Dest Alc]:[Dest GT]],TblConstr[[#This Row],[Dest Shr]:[Dest Doc]])*building_employment</f>
        <v>1600</v>
      </c>
      <c r="K32" s="182"/>
      <c r="L32" s="183">
        <f ca="1">TblPop[[#This Row],[Draftees]]</f>
        <v>550</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Arch]]),(barracks_size + tech_8_3*TblTech[[#This Row],[8-3]])*TblConstr[[#This Row],[Tot Bar]])</f>
        <v>2383</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49</v>
      </c>
      <c r="Y32" s="124">
        <f ca="1">(TblPop[[#This Row],[Peasants]]-TblPop[[#This Row],[Draft Growth]])*raw_pop_growth</f>
        <v>48.51</v>
      </c>
      <c r="Z32" s="124">
        <f ca="1">IF(TblPop[[#This Row],[Military%]]&lt;TblMili[[#This Row],[Draftrate]],ROUND(TblPop[[#This Row],[Peasants]]*Constants!$B$52,0), 0)</f>
        <v>16</v>
      </c>
      <c r="AA32" s="184"/>
      <c r="AB32" s="185">
        <f ca="1">Overview!$I$16 + IF(Magic!AD32&gt;0,Constants!$F$76)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44344.208333333263</v>
      </c>
      <c r="C33" s="124">
        <f ca="1">OFFSET(TblPop[[#This Row],[Peasants]],-1,0)+OFFSET(TblPop[[#This Row],[Net Peasant]],-1,0)+TblMili[[#This Row],[Release Draft]]</f>
        <v>1617</v>
      </c>
      <c r="D33" s="124">
        <f ca="1">TblMili[[#This Row],[Military]]</f>
        <v>766</v>
      </c>
      <c r="E33" s="124">
        <f ca="1">TblMili[[#This Row],[Draftees]]</f>
        <v>566</v>
      </c>
      <c r="F33" s="124">
        <f ca="1">TblPop[[#This Row],[Peasants]]+TblPop[[#This Row],[Military]]</f>
        <v>2383</v>
      </c>
      <c r="G33" s="180">
        <f ca="1">TblPop[[#This Row],[Military]]/TblPop[[#This Row],[Total]]</f>
        <v>0.32144355853965589</v>
      </c>
      <c r="H33" s="181">
        <f ca="1">MIN(TblPop[[#This Row],[Peasants]],TblPop[[#This Row],[Jobs]])</f>
        <v>1600</v>
      </c>
      <c r="I33" s="180">
        <f ca="1">MIN(OFFSET(TblPop[[#This Row],[Jobs]],1,0)/TblPop[[#This Row],[Peasants]],1)</f>
        <v>0.9894867037724181</v>
      </c>
      <c r="J33" s="181">
        <f ca="1">SUM(TblConstr[[#This Row],[Tot Alc]:[Tot GT]],TblConstr[[#This Row],[Tot Shr]:[Tot Doc]],TblConstr[[#This Row],[Dest Alc]:[Dest GT]],TblConstr[[#This Row],[Dest Shr]:[Dest Doc]])*building_employment</f>
        <v>1600</v>
      </c>
      <c r="K33" s="182"/>
      <c r="L33" s="183">
        <f ca="1">TblPop[[#This Row],[Draftees]]</f>
        <v>566</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Arch]]),(barracks_size + tech_8_3*TblTech[[#This Row],[8-3]])*TblConstr[[#This Row],[Tot Bar]])</f>
        <v>2383</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48</v>
      </c>
      <c r="Y33" s="124">
        <f ca="1">(TblPop[[#This Row],[Peasants]]-TblPop[[#This Row],[Draft Growth]])*raw_pop_growth</f>
        <v>48.03</v>
      </c>
      <c r="Z33" s="124">
        <f ca="1">IF(TblPop[[#This Row],[Military%]]&lt;TblMili[[#This Row],[Draftrate]],ROUND(TblPop[[#This Row],[Peasants]]*Constants!$B$52,0), 0)</f>
        <v>16</v>
      </c>
      <c r="AA33" s="184"/>
      <c r="AB33" s="185">
        <f ca="1">Overview!$I$16 + IF(Magic!AD33&gt;0,Constants!$F$76)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44344.249999999927</v>
      </c>
      <c r="C34" s="124">
        <f ca="1">OFFSET(TblPop[[#This Row],[Peasants]],-1,0)+OFFSET(TblPop[[#This Row],[Net Peasant]],-1,0)+TblMili[[#This Row],[Release Draft]]</f>
        <v>1601</v>
      </c>
      <c r="D34" s="124">
        <f ca="1">TblMili[[#This Row],[Military]]</f>
        <v>782</v>
      </c>
      <c r="E34" s="124">
        <f ca="1">TblMili[[#This Row],[Draftees]]</f>
        <v>582</v>
      </c>
      <c r="F34" s="124">
        <f ca="1">TblPop[[#This Row],[Peasants]]+TblPop[[#This Row],[Military]]</f>
        <v>2383</v>
      </c>
      <c r="G34" s="180">
        <f ca="1">TblPop[[#This Row],[Military]]/TblPop[[#This Row],[Total]]</f>
        <v>0.32815778430549725</v>
      </c>
      <c r="H34" s="181">
        <f ca="1">MIN(TblPop[[#This Row],[Peasants]],TblPop[[#This Row],[Jobs]])</f>
        <v>1600</v>
      </c>
      <c r="I34" s="180">
        <f ca="1">MIN(OFFSET(TblPop[[#This Row],[Jobs]],1,0)/TblPop[[#This Row],[Peasants]],1)</f>
        <v>0.99937539038101186</v>
      </c>
      <c r="J34" s="181">
        <f ca="1">SUM(TblConstr[[#This Row],[Tot Alc]:[Tot GT]],TblConstr[[#This Row],[Tot Shr]:[Tot Doc]],TblConstr[[#This Row],[Dest Alc]:[Dest GT]],TblConstr[[#This Row],[Dest Shr]:[Dest Doc]])*building_employment</f>
        <v>1600</v>
      </c>
      <c r="K34" s="182"/>
      <c r="L34" s="183">
        <f ca="1">TblPop[[#This Row],[Draftees]]</f>
        <v>582</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Arch]]),(barracks_size + tech_8_3*TblTech[[#This Row],[8-3]])*TblConstr[[#This Row],[Tot Bar]])</f>
        <v>2383</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48</v>
      </c>
      <c r="Y34" s="124">
        <f ca="1">(TblPop[[#This Row],[Peasants]]-TblPop[[#This Row],[Draft Growth]])*raw_pop_growth</f>
        <v>47.55</v>
      </c>
      <c r="Z34" s="124">
        <f ca="1">IF(TblPop[[#This Row],[Military%]]&lt;TblMili[[#This Row],[Draftrate]],ROUND(TblPop[[#This Row],[Peasants]]*Constants!$B$52,0), 0)</f>
        <v>16</v>
      </c>
      <c r="AA34" s="184"/>
      <c r="AB34" s="185">
        <f ca="1">Overview!$I$16 + IF(Magic!AD34&gt;0,Constants!$F$76)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44344.291666666591</v>
      </c>
      <c r="C35" s="124">
        <f ca="1">OFFSET(TblPop[[#This Row],[Peasants]],-1,0)+OFFSET(TblPop[[#This Row],[Net Peasant]],-1,0)+TblMili[[#This Row],[Release Draft]]</f>
        <v>1585</v>
      </c>
      <c r="D35" s="124">
        <f ca="1">TblMili[[#This Row],[Military]]</f>
        <v>798</v>
      </c>
      <c r="E35" s="124">
        <f ca="1">TblMili[[#This Row],[Draftees]]</f>
        <v>598</v>
      </c>
      <c r="F35" s="124">
        <f ca="1">TblPop[[#This Row],[Peasants]]+TblPop[[#This Row],[Military]]</f>
        <v>2383</v>
      </c>
      <c r="G35" s="180">
        <f ca="1">TblPop[[#This Row],[Military]]/TblPop[[#This Row],[Total]]</f>
        <v>0.33487201007133865</v>
      </c>
      <c r="H35" s="181">
        <f ca="1">MIN(TblPop[[#This Row],[Peasants]],TblPop[[#This Row],[Jobs]])</f>
        <v>1585</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598</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Arch]]),(barracks_size + tech_8_3*TblTech[[#This Row],[8-3]])*TblConstr[[#This Row],[Tot Bar]])</f>
        <v>2383</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47</v>
      </c>
      <c r="Y35" s="124">
        <f ca="1">(TblPop[[#This Row],[Peasants]]-TblPop[[#This Row],[Draft Growth]])*raw_pop_growth</f>
        <v>47.07</v>
      </c>
      <c r="Z35" s="124">
        <f ca="1">IF(TblPop[[#This Row],[Military%]]&lt;TblMili[[#This Row],[Draftrate]],ROUND(TblPop[[#This Row],[Peasants]]*Constants!$B$52,0), 0)</f>
        <v>16</v>
      </c>
      <c r="AA35" s="184"/>
      <c r="AB35" s="185">
        <f ca="1">Overview!$I$16 + IF(Magic!AD35&gt;0,Constants!$F$76)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44344.333333333256</v>
      </c>
      <c r="C36" s="124">
        <f ca="1">OFFSET(TblPop[[#This Row],[Peasants]],-1,0)+OFFSET(TblPop[[#This Row],[Net Peasant]],-1,0)+TblMili[[#This Row],[Release Draft]]</f>
        <v>1569</v>
      </c>
      <c r="D36" s="124">
        <f ca="1">TblMili[[#This Row],[Military]]</f>
        <v>814</v>
      </c>
      <c r="E36" s="124">
        <f ca="1">TblMili[[#This Row],[Draftees]]</f>
        <v>614</v>
      </c>
      <c r="F36" s="124">
        <f ca="1">TblPop[[#This Row],[Peasants]]+TblPop[[#This Row],[Military]]</f>
        <v>2383</v>
      </c>
      <c r="G36" s="180">
        <f ca="1">TblPop[[#This Row],[Military]]/TblPop[[#This Row],[Total]]</f>
        <v>0.34158623583718001</v>
      </c>
      <c r="H36" s="181">
        <f ca="1">MIN(TblPop[[#This Row],[Peasants]],TblPop[[#This Row],[Jobs]])</f>
        <v>1569</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614</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Arch]]),(barracks_size + tech_8_3*TblTech[[#This Row],[8-3]])*TblConstr[[#This Row],[Tot Bar]])</f>
        <v>2383</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6" s="124">
        <f ca="1">MAX(-5%*TblPop[[#This Row],[Peasants]]-TblPop[[#This Row],[Draft Growth]],MIN(OFFSET(TblPop[[#This Row],[Net max]],1,0)-TblPop[[#This Row],[Peasants]]-TblPop[[#This Row],[Military]]-TblPop[[#This Row],[Draft Growth]],TblPop[[#This Row],[Modded Birth]]-TblPop[[#This Row],[Draft Growth]]))</f>
        <v>-16</v>
      </c>
      <c r="X36" s="124">
        <f ca="1">ROUND(TblPop[[#This Row],[Raw Birth]]*(1+TblPop[[#This Row],[Growth]]),0)</f>
        <v>47</v>
      </c>
      <c r="Y36" s="124">
        <f ca="1">(TblPop[[#This Row],[Peasants]]-TblPop[[#This Row],[Draft Growth]])*raw_pop_growth</f>
        <v>46.589999999999996</v>
      </c>
      <c r="Z36" s="124">
        <f ca="1">IF(TblPop[[#This Row],[Military%]]&lt;TblMili[[#This Row],[Draftrate]],ROUND(TblPop[[#This Row],[Peasants]]*Constants!$B$52,0), 0)</f>
        <v>16</v>
      </c>
      <c r="AA36" s="184"/>
      <c r="AB36" s="185">
        <f ca="1">Overview!$I$16 + IF(Magic!AD36&gt;0,Constants!$F$76)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44344.37499999992</v>
      </c>
      <c r="C37" s="124">
        <f ca="1">OFFSET(TblPop[[#This Row],[Peasants]],-1,0)+OFFSET(TblPop[[#This Row],[Net Peasant]],-1,0)+TblMili[[#This Row],[Release Draft]]</f>
        <v>1553</v>
      </c>
      <c r="D37" s="124">
        <f ca="1">TblMili[[#This Row],[Military]]</f>
        <v>830</v>
      </c>
      <c r="E37" s="124">
        <f ca="1">TblMili[[#This Row],[Draftees]]</f>
        <v>630</v>
      </c>
      <c r="F37" s="124">
        <f ca="1">TblPop[[#This Row],[Peasants]]+TblPop[[#This Row],[Military]]</f>
        <v>2383</v>
      </c>
      <c r="G37" s="180">
        <f ca="1">TblPop[[#This Row],[Military]]/TblPop[[#This Row],[Total]]</f>
        <v>0.34830046160302142</v>
      </c>
      <c r="H37" s="181">
        <f ca="1">MIN(TblPop[[#This Row],[Peasants]],TblPop[[#This Row],[Jobs]])</f>
        <v>1553</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630</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Arch]]),(barracks_size + tech_8_3*TblTech[[#This Row],[8-3]])*TblConstr[[#This Row],[Tot Bar]])</f>
        <v>2383</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7" s="124">
        <f ca="1">MAX(-5%*TblPop[[#This Row],[Peasants]]-TblPop[[#This Row],[Draft Growth]],MIN(OFFSET(TblPop[[#This Row],[Net max]],1,0)-TblPop[[#This Row],[Peasants]]-TblPop[[#This Row],[Military]]-TblPop[[#This Row],[Draft Growth]],TblPop[[#This Row],[Modded Birth]]-TblPop[[#This Row],[Draft Growth]]))</f>
        <v>-16</v>
      </c>
      <c r="X37" s="124">
        <f ca="1">ROUND(TblPop[[#This Row],[Raw Birth]]*(1+TblPop[[#This Row],[Growth]]),0)</f>
        <v>46</v>
      </c>
      <c r="Y37" s="124">
        <f ca="1">(TblPop[[#This Row],[Peasants]]-TblPop[[#This Row],[Draft Growth]])*raw_pop_growth</f>
        <v>46.11</v>
      </c>
      <c r="Z37" s="124">
        <f ca="1">IF(TblPop[[#This Row],[Military%]]&lt;TblMili[[#This Row],[Draftrate]],ROUND(TblPop[[#This Row],[Peasants]]*Constants!$B$52,0), 0)</f>
        <v>16</v>
      </c>
      <c r="AA37" s="184"/>
      <c r="AB37" s="185">
        <f ca="1">Overview!$I$16 + IF(Magic!AD37&gt;0,Constants!$F$76)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44344.416666666584</v>
      </c>
      <c r="C38" s="124">
        <f ca="1">OFFSET(TblPop[[#This Row],[Peasants]],-1,0)+OFFSET(TblPop[[#This Row],[Net Peasant]],-1,0)+TblMili[[#This Row],[Release Draft]]</f>
        <v>1537</v>
      </c>
      <c r="D38" s="124">
        <f ca="1">TblMili[[#This Row],[Military]]</f>
        <v>846</v>
      </c>
      <c r="E38" s="124">
        <f ca="1">TblMili[[#This Row],[Draftees]]</f>
        <v>646</v>
      </c>
      <c r="F38" s="124">
        <f ca="1">TblPop[[#This Row],[Peasants]]+TblPop[[#This Row],[Military]]</f>
        <v>2383</v>
      </c>
      <c r="G38" s="180">
        <f ca="1">TblPop[[#This Row],[Military]]/TblPop[[#This Row],[Total]]</f>
        <v>0.35501468736886277</v>
      </c>
      <c r="H38" s="181">
        <f ca="1">MIN(TblPop[[#This Row],[Peasants]],TblPop[[#This Row],[Jobs]])</f>
        <v>1537</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646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Arch]]),(barracks_size + tech_8_3*TblTech[[#This Row],[8-3]])*TblConstr[[#This Row],[Tot Bar]])</f>
        <v>2383</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46.11</v>
      </c>
      <c r="Z38" s="124">
        <f ca="1">IF(TblPop[[#This Row],[Military%]]&lt;TblMili[[#This Row],[Draftrate]],ROUND(TblPop[[#This Row],[Peasants]]*Constants!$B$52,0), 0)</f>
        <v>0</v>
      </c>
      <c r="AA38" s="184"/>
      <c r="AB38" s="185">
        <f ca="1">Overview!$I$16 + IF(Magic!AD38&gt;0,Constants!$F$76)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44344.458333333248</v>
      </c>
      <c r="C39" s="124">
        <f ca="1">OFFSET(TblPop[[#This Row],[Peasants]],-1,0)+OFFSET(TblPop[[#This Row],[Net Peasant]],-1,0)+TblMili[[#This Row],[Release Draft]]</f>
        <v>1537</v>
      </c>
      <c r="D39" s="124">
        <f ca="1">TblMili[[#This Row],[Military]]</f>
        <v>846</v>
      </c>
      <c r="E39" s="124">
        <f ca="1">TblMili[[#This Row],[Draftees]]</f>
        <v>646</v>
      </c>
      <c r="F39" s="124">
        <f ca="1">TblPop[[#This Row],[Peasants]]+TblPop[[#This Row],[Military]]</f>
        <v>2383</v>
      </c>
      <c r="G39" s="180">
        <f ca="1">TblPop[[#This Row],[Military]]/TblPop[[#This Row],[Total]]</f>
        <v>0.35501468736886277</v>
      </c>
      <c r="H39" s="181">
        <f ca="1">MIN(TblPop[[#This Row],[Peasants]],TblPop[[#This Row],[Jobs]])</f>
        <v>1537</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646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Arch]]),(barracks_size + tech_8_3*TblTech[[#This Row],[8-3]])*TblConstr[[#This Row],[Tot Bar]])</f>
        <v>2383</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46.11</v>
      </c>
      <c r="Z39" s="124">
        <f ca="1">IF(TblPop[[#This Row],[Military%]]&lt;TblMili[[#This Row],[Draftrate]],ROUND(TblPop[[#This Row],[Peasants]]*Constants!$B$52,0), 0)</f>
        <v>0</v>
      </c>
      <c r="AA39" s="184"/>
      <c r="AB39" s="185">
        <f ca="1">Overview!$I$16 + IF(Magic!AD39&gt;0,Constants!$F$76)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44344.499999999913</v>
      </c>
      <c r="C40" s="124">
        <f ca="1">OFFSET(TblPop[[#This Row],[Peasants]],-1,0)+OFFSET(TblPop[[#This Row],[Net Peasant]],-1,0)+TblMili[[#This Row],[Release Draft]]</f>
        <v>1537</v>
      </c>
      <c r="D40" s="124">
        <f ca="1">TblMili[[#This Row],[Military]]</f>
        <v>846</v>
      </c>
      <c r="E40" s="124">
        <f ca="1">TblMili[[#This Row],[Draftees]]</f>
        <v>646</v>
      </c>
      <c r="F40" s="124">
        <f ca="1">TblPop[[#This Row],[Peasants]]+TblPop[[#This Row],[Military]]</f>
        <v>2383</v>
      </c>
      <c r="G40" s="180">
        <f ca="1">TblPop[[#This Row],[Military]]/TblPop[[#This Row],[Total]]</f>
        <v>0.35501468736886277</v>
      </c>
      <c r="H40" s="181">
        <f ca="1">MIN(TblPop[[#This Row],[Peasants]],TblPop[[#This Row],[Jobs]])</f>
        <v>1537</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646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Arch]]),(barracks_size + tech_8_3*TblTech[[#This Row],[8-3]])*TblConstr[[#This Row],[Tot Bar]])</f>
        <v>2383</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46.11</v>
      </c>
      <c r="Z40" s="124">
        <f ca="1">IF(TblPop[[#This Row],[Military%]]&lt;TblMili[[#This Row],[Draftrate]],ROUND(TblPop[[#This Row],[Peasants]]*Constants!$B$52,0), 0)</f>
        <v>0</v>
      </c>
      <c r="AA40" s="184"/>
      <c r="AB40" s="185">
        <f ca="1">Overview!$I$16 + IF(Magic!AD40&gt;0,Constants!$F$76)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44344.541666666577</v>
      </c>
      <c r="C41" s="124">
        <f ca="1">OFFSET(TblPop[[#This Row],[Peasants]],-1,0)+OFFSET(TblPop[[#This Row],[Net Peasant]],-1,0)+TblMili[[#This Row],[Release Draft]]</f>
        <v>1537</v>
      </c>
      <c r="D41" s="124">
        <f ca="1">TblMili[[#This Row],[Military]]</f>
        <v>846</v>
      </c>
      <c r="E41" s="124">
        <f ca="1">TblMili[[#This Row],[Draftees]]</f>
        <v>646</v>
      </c>
      <c r="F41" s="124">
        <f ca="1">TblPop[[#This Row],[Peasants]]+TblPop[[#This Row],[Military]]</f>
        <v>2383</v>
      </c>
      <c r="G41" s="180">
        <f ca="1">TblPop[[#This Row],[Military]]/TblPop[[#This Row],[Total]]</f>
        <v>0.35501468736886277</v>
      </c>
      <c r="H41" s="181">
        <f ca="1">MIN(TblPop[[#This Row],[Peasants]],TblPop[[#This Row],[Jobs]])</f>
        <v>1537</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646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Arch]]),(barracks_size + tech_8_3*TblTech[[#This Row],[8-3]])*TblConstr[[#This Row],[Tot Bar]])</f>
        <v>2383</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46.11</v>
      </c>
      <c r="Z41" s="124">
        <f ca="1">IF(TblPop[[#This Row],[Military%]]&lt;TblMili[[#This Row],[Draftrate]],ROUND(TblPop[[#This Row],[Peasants]]*Constants!$B$52,0), 0)</f>
        <v>0</v>
      </c>
      <c r="AA41" s="184"/>
      <c r="AB41" s="185">
        <f ca="1">Overview!$I$16 + IF(Magic!AD41&gt;0,Constants!$F$76)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44344.583333333241</v>
      </c>
      <c r="C42" s="124">
        <f ca="1">OFFSET(TblPop[[#This Row],[Peasants]],-1,0)+OFFSET(TblPop[[#This Row],[Net Peasant]],-1,0)+TblMili[[#This Row],[Release Draft]]</f>
        <v>1537</v>
      </c>
      <c r="D42" s="124">
        <f ca="1">TblMili[[#This Row],[Military]]</f>
        <v>846</v>
      </c>
      <c r="E42" s="124">
        <f ca="1">TblMili[[#This Row],[Draftees]]</f>
        <v>646</v>
      </c>
      <c r="F42" s="124">
        <f ca="1">TblPop[[#This Row],[Peasants]]+TblPop[[#This Row],[Military]]</f>
        <v>2383</v>
      </c>
      <c r="G42" s="180">
        <f ca="1">TblPop[[#This Row],[Military]]/TblPop[[#This Row],[Total]]</f>
        <v>0.35501468736886277</v>
      </c>
      <c r="H42" s="181">
        <f ca="1">MIN(TblPop[[#This Row],[Peasants]],TblPop[[#This Row],[Jobs]])</f>
        <v>1537</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646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Arch]]),(barracks_size + tech_8_3*TblTech[[#This Row],[8-3]])*TblConstr[[#This Row],[Tot Bar]])</f>
        <v>2383</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46.11</v>
      </c>
      <c r="Z42" s="124">
        <f ca="1">IF(TblPop[[#This Row],[Military%]]&lt;TblMili[[#This Row],[Draftrate]],ROUND(TblPop[[#This Row],[Peasants]]*Constants!$B$52,0), 0)</f>
        <v>0</v>
      </c>
      <c r="AA42" s="184"/>
      <c r="AB42" s="185">
        <f ca="1">Overview!$I$16 + IF(Magic!AD42&gt;0,Constants!$F$76)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44344.624999999905</v>
      </c>
      <c r="C43" s="124">
        <f ca="1">OFFSET(TblPop[[#This Row],[Peasants]],-1,0)+OFFSET(TblPop[[#This Row],[Net Peasant]],-1,0)+TblMili[[#This Row],[Release Draft]]</f>
        <v>1537</v>
      </c>
      <c r="D43" s="124">
        <f ca="1">TblMili[[#This Row],[Military]]</f>
        <v>846</v>
      </c>
      <c r="E43" s="124">
        <f ca="1">TblMili[[#This Row],[Draftees]]</f>
        <v>646</v>
      </c>
      <c r="F43" s="124">
        <f ca="1">TblPop[[#This Row],[Peasants]]+TblPop[[#This Row],[Military]]</f>
        <v>2383</v>
      </c>
      <c r="G43" s="180">
        <f ca="1">TblPop[[#This Row],[Military]]/TblPop[[#This Row],[Total]]</f>
        <v>0.35501468736886277</v>
      </c>
      <c r="H43" s="181">
        <f ca="1">MIN(TblPop[[#This Row],[Peasants]],TblPop[[#This Row],[Jobs]])</f>
        <v>1537</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646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Arch]]),(barracks_size + tech_8_3*TblTech[[#This Row],[8-3]])*TblConstr[[#This Row],[Tot Bar]])</f>
        <v>2383</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46.11</v>
      </c>
      <c r="Z43" s="124">
        <f ca="1">IF(TblPop[[#This Row],[Military%]]&lt;TblMili[[#This Row],[Draftrate]],ROUND(TblPop[[#This Row],[Peasants]]*Constants!$B$52,0), 0)</f>
        <v>0</v>
      </c>
      <c r="AA43" s="184"/>
      <c r="AB43" s="185">
        <f ca="1">Overview!$I$16 + IF(Magic!AD43&gt;0,Constants!$F$76)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44344.66666666657</v>
      </c>
      <c r="C44" s="124">
        <f ca="1">OFFSET(TblPop[[#This Row],[Peasants]],-1,0)+OFFSET(TblPop[[#This Row],[Net Peasant]],-1,0)+TblMili[[#This Row],[Release Draft]]</f>
        <v>1537</v>
      </c>
      <c r="D44" s="124">
        <f ca="1">TblMili[[#This Row],[Military]]</f>
        <v>846</v>
      </c>
      <c r="E44" s="124">
        <f ca="1">TblMili[[#This Row],[Draftees]]</f>
        <v>646</v>
      </c>
      <c r="F44" s="124">
        <f ca="1">TblPop[[#This Row],[Peasants]]+TblPop[[#This Row],[Military]]</f>
        <v>2383</v>
      </c>
      <c r="G44" s="180">
        <f ca="1">TblPop[[#This Row],[Military]]/TblPop[[#This Row],[Total]]</f>
        <v>0.35501468736886277</v>
      </c>
      <c r="H44" s="181">
        <f ca="1">MIN(TblPop[[#This Row],[Peasants]],TblPop[[#This Row],[Jobs]])</f>
        <v>1537</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646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Arch]]),(barracks_size + tech_8_3*TblTech[[#This Row],[8-3]])*TblConstr[[#This Row],[Tot Bar]])</f>
        <v>2383</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46.11</v>
      </c>
      <c r="Z44" s="124">
        <f ca="1">IF(TblPop[[#This Row],[Military%]]&lt;TblMili[[#This Row],[Draftrate]],ROUND(TblPop[[#This Row],[Peasants]]*Constants!$B$52,0), 0)</f>
        <v>0</v>
      </c>
      <c r="AA44" s="184"/>
      <c r="AB44" s="185">
        <f ca="1">Overview!$I$16 + IF(Magic!AD44&gt;0,Constants!$F$76)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44344.708333333234</v>
      </c>
      <c r="C45" s="124">
        <f ca="1">OFFSET(TblPop[[#This Row],[Peasants]],-1,0)+OFFSET(TblPop[[#This Row],[Net Peasant]],-1,0)+TblMili[[#This Row],[Release Draft]]</f>
        <v>1537</v>
      </c>
      <c r="D45" s="124">
        <f ca="1">TblMili[[#This Row],[Military]]</f>
        <v>846</v>
      </c>
      <c r="E45" s="124">
        <f ca="1">TblMili[[#This Row],[Draftees]]</f>
        <v>646</v>
      </c>
      <c r="F45" s="124">
        <f ca="1">TblPop[[#This Row],[Peasants]]+TblPop[[#This Row],[Military]]</f>
        <v>2383</v>
      </c>
      <c r="G45" s="180">
        <f ca="1">TblPop[[#This Row],[Military]]/TblPop[[#This Row],[Total]]</f>
        <v>0.35501468736886277</v>
      </c>
      <c r="H45" s="181">
        <f ca="1">MIN(TblPop[[#This Row],[Peasants]],TblPop[[#This Row],[Jobs]])</f>
        <v>1537</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646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Arch]]),(barracks_size + tech_8_3*TblTech[[#This Row],[8-3]])*TblConstr[[#This Row],[Tot Bar]])</f>
        <v>2383</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46.11</v>
      </c>
      <c r="Z45" s="124">
        <f ca="1">IF(TblPop[[#This Row],[Military%]]&lt;TblMili[[#This Row],[Draftrate]],ROUND(TblPop[[#This Row],[Peasants]]*Constants!$B$52,0), 0)</f>
        <v>0</v>
      </c>
      <c r="AA45" s="184"/>
      <c r="AB45" s="185">
        <f ca="1">Overview!$I$16 + IF(Magic!AD45&gt;0,Constants!$F$76)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44344.749999999898</v>
      </c>
      <c r="C46" s="124">
        <f ca="1">OFFSET(TblPop[[#This Row],[Peasants]],-1,0)+OFFSET(TblPop[[#This Row],[Net Peasant]],-1,0)+TblMili[[#This Row],[Release Draft]]</f>
        <v>1537</v>
      </c>
      <c r="D46" s="124">
        <f ca="1">TblMili[[#This Row],[Military]]</f>
        <v>846</v>
      </c>
      <c r="E46" s="124">
        <f ca="1">TblMili[[#This Row],[Draftees]]</f>
        <v>646</v>
      </c>
      <c r="F46" s="124">
        <f ca="1">TblPop[[#This Row],[Peasants]]+TblPop[[#This Row],[Military]]</f>
        <v>2383</v>
      </c>
      <c r="G46" s="180">
        <f ca="1">TblPop[[#This Row],[Military]]/TblPop[[#This Row],[Total]]</f>
        <v>0.35501468736886277</v>
      </c>
      <c r="H46" s="181">
        <f ca="1">MIN(TblPop[[#This Row],[Peasants]],TblPop[[#This Row],[Jobs]])</f>
        <v>1537</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646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Arch]]),(barracks_size + tech_8_3*TblTech[[#This Row],[8-3]])*TblConstr[[#This Row],[Tot Bar]])</f>
        <v>2383</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46.11</v>
      </c>
      <c r="Z46" s="124">
        <f ca="1">IF(TblPop[[#This Row],[Military%]]&lt;TblMili[[#This Row],[Draftrate]],ROUND(TblPop[[#This Row],[Peasants]]*Constants!$B$52,0), 0)</f>
        <v>0</v>
      </c>
      <c r="AA46" s="184"/>
      <c r="AB46" s="185">
        <f ca="1">Overview!$I$16 + IF(Magic!AD46&gt;0,Constants!$F$76)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44344.791666666562</v>
      </c>
      <c r="C47" s="124">
        <f ca="1">OFFSET(TblPop[[#This Row],[Peasants]],-1,0)+OFFSET(TblPop[[#This Row],[Net Peasant]],-1,0)+TblMili[[#This Row],[Release Draft]]</f>
        <v>1537</v>
      </c>
      <c r="D47" s="124">
        <f ca="1">TblMili[[#This Row],[Military]]</f>
        <v>846</v>
      </c>
      <c r="E47" s="124">
        <f ca="1">TblMili[[#This Row],[Draftees]]</f>
        <v>646</v>
      </c>
      <c r="F47" s="124">
        <f ca="1">TblPop[[#This Row],[Peasants]]+TblPop[[#This Row],[Military]]</f>
        <v>2383</v>
      </c>
      <c r="G47" s="180">
        <f ca="1">TblPop[[#This Row],[Military]]/TblPop[[#This Row],[Total]]</f>
        <v>0.35501468736886277</v>
      </c>
      <c r="H47" s="181">
        <f ca="1">MIN(TblPop[[#This Row],[Peasants]],TblPop[[#This Row],[Jobs]])</f>
        <v>1537</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646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Arch]]),(barracks_size + tech_8_3*TblTech[[#This Row],[8-3]])*TblConstr[[#This Row],[Tot Bar]])</f>
        <v>2383</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46.11</v>
      </c>
      <c r="Z47" s="124">
        <f ca="1">IF(TblPop[[#This Row],[Military%]]&lt;TblMili[[#This Row],[Draftrate]],ROUND(TblPop[[#This Row],[Peasants]]*Constants!$B$52,0), 0)</f>
        <v>0</v>
      </c>
      <c r="AA47" s="184"/>
      <c r="AB47" s="185">
        <f ca="1">Overview!$I$16 + IF(Magic!AD47&gt;0,Constants!$F$76)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44344.833333333227</v>
      </c>
      <c r="C48" s="124">
        <f ca="1">OFFSET(TblPop[[#This Row],[Peasants]],-1,0)+OFFSET(TblPop[[#This Row],[Net Peasant]],-1,0)+TblMili[[#This Row],[Release Draft]]</f>
        <v>1537</v>
      </c>
      <c r="D48" s="124">
        <f ca="1">TblMili[[#This Row],[Military]]</f>
        <v>846</v>
      </c>
      <c r="E48" s="124">
        <f ca="1">TblMili[[#This Row],[Draftees]]</f>
        <v>646</v>
      </c>
      <c r="F48" s="124">
        <f ca="1">TblPop[[#This Row],[Peasants]]+TblPop[[#This Row],[Military]]</f>
        <v>2383</v>
      </c>
      <c r="G48" s="180">
        <f ca="1">TblPop[[#This Row],[Military]]/TblPop[[#This Row],[Total]]</f>
        <v>0.35501468736886277</v>
      </c>
      <c r="H48" s="181">
        <f ca="1">MIN(TblPop[[#This Row],[Peasants]],TblPop[[#This Row],[Jobs]])</f>
        <v>1537</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646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Arch]]),(barracks_size + tech_8_3*TblTech[[#This Row],[8-3]])*TblConstr[[#This Row],[Tot Bar]])</f>
        <v>2383</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46.11</v>
      </c>
      <c r="Z48" s="124">
        <f ca="1">IF(TblPop[[#This Row],[Military%]]&lt;TblMili[[#This Row],[Draftrate]],ROUND(TblPop[[#This Row],[Peasants]]*Constants!$B$52,0), 0)</f>
        <v>0</v>
      </c>
      <c r="AA48" s="184"/>
      <c r="AB48" s="185">
        <f ca="1">Overview!$I$16 + IF(Magic!AD48&gt;0,Constants!$F$76)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44344.874999999891</v>
      </c>
      <c r="C49" s="124">
        <f ca="1">OFFSET(TblPop[[#This Row],[Peasants]],-1,0)+OFFSET(TblPop[[#This Row],[Net Peasant]],-1,0)+TblMili[[#This Row],[Release Draft]]</f>
        <v>1537</v>
      </c>
      <c r="D49" s="124">
        <f ca="1">TblMili[[#This Row],[Military]]</f>
        <v>846</v>
      </c>
      <c r="E49" s="124">
        <f ca="1">TblMili[[#This Row],[Draftees]]</f>
        <v>646</v>
      </c>
      <c r="F49" s="124">
        <f ca="1">TblPop[[#This Row],[Peasants]]+TblPop[[#This Row],[Military]]</f>
        <v>2383</v>
      </c>
      <c r="G49" s="180">
        <f ca="1">TblPop[[#This Row],[Military]]/TblPop[[#This Row],[Total]]</f>
        <v>0.35501468736886277</v>
      </c>
      <c r="H49" s="181">
        <f ca="1">MIN(TblPop[[#This Row],[Peasants]],TblPop[[#This Row],[Jobs]])</f>
        <v>1537</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646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Arch]]),(barracks_size + tech_8_3*TblTech[[#This Row],[8-3]])*TblConstr[[#This Row],[Tot Bar]])</f>
        <v>2383</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46.11</v>
      </c>
      <c r="Z49" s="124">
        <f ca="1">IF(TblPop[[#This Row],[Military%]]&lt;TblMili[[#This Row],[Draftrate]],ROUND(TblPop[[#This Row],[Peasants]]*Constants!$B$52,0), 0)</f>
        <v>0</v>
      </c>
      <c r="AA49" s="184"/>
      <c r="AB49" s="185">
        <f ca="1">Overview!$I$16 + IF(Magic!AD49&gt;0,Constants!$F$76)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44344.916666666555</v>
      </c>
      <c r="C50" s="124">
        <f ca="1">OFFSET(TblPop[[#This Row],[Peasants]],-1,0)+OFFSET(TblPop[[#This Row],[Net Peasant]],-1,0)+TblMili[[#This Row],[Release Draft]]</f>
        <v>1537</v>
      </c>
      <c r="D50" s="124">
        <f ca="1">TblMili[[#This Row],[Military]]</f>
        <v>846</v>
      </c>
      <c r="E50" s="124">
        <f ca="1">TblMili[[#This Row],[Draftees]]</f>
        <v>646</v>
      </c>
      <c r="F50" s="124">
        <f ca="1">TblPop[[#This Row],[Peasants]]+TblPop[[#This Row],[Military]]</f>
        <v>2383</v>
      </c>
      <c r="G50" s="180">
        <f ca="1">TblPop[[#This Row],[Military]]/TblPop[[#This Row],[Total]]</f>
        <v>0.35501468736886277</v>
      </c>
      <c r="H50" s="181">
        <f ca="1">MIN(TblPop[[#This Row],[Peasants]],TblPop[[#This Row],[Jobs]])</f>
        <v>1537</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646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Arch]]),(barracks_size + tech_8_3*TblTech[[#This Row],[8-3]])*TblConstr[[#This Row],[Tot Bar]])</f>
        <v>2383</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46.11</v>
      </c>
      <c r="Z50" s="124">
        <f ca="1">IF(TblPop[[#This Row],[Military%]]&lt;TblMili[[#This Row],[Draftrate]],ROUND(TblPop[[#This Row],[Peasants]]*Constants!$B$52,0), 0)</f>
        <v>0</v>
      </c>
      <c r="AA50" s="184"/>
      <c r="AB50" s="185">
        <f ca="1">Overview!$I$16 + IF(Magic!AD50&gt;0,Constants!$F$76)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44344.958333333219</v>
      </c>
      <c r="C51" s="124">
        <f ca="1">OFFSET(TblPop[[#This Row],[Peasants]],-1,0)+OFFSET(TblPop[[#This Row],[Net Peasant]],-1,0)+TblMili[[#This Row],[Release Draft]]</f>
        <v>1537</v>
      </c>
      <c r="D51" s="124">
        <f ca="1">TblMili[[#This Row],[Military]]</f>
        <v>846</v>
      </c>
      <c r="E51" s="124">
        <f ca="1">TblMili[[#This Row],[Draftees]]</f>
        <v>646</v>
      </c>
      <c r="F51" s="124">
        <f ca="1">TblPop[[#This Row],[Peasants]]+TblPop[[#This Row],[Military]]</f>
        <v>2383</v>
      </c>
      <c r="G51" s="180">
        <f ca="1">TblPop[[#This Row],[Military]]/TblPop[[#This Row],[Total]]</f>
        <v>0.35501468736886277</v>
      </c>
      <c r="H51" s="181">
        <f ca="1">MIN(TblPop[[#This Row],[Peasants]],TblPop[[#This Row],[Jobs]])</f>
        <v>1537</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646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Arch]]),(barracks_size + tech_8_3*TblTech[[#This Row],[8-3]])*TblConstr[[#This Row],[Tot Bar]])</f>
        <v>2383</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46.11</v>
      </c>
      <c r="Z51" s="124">
        <f ca="1">IF(TblPop[[#This Row],[Military%]]&lt;TblMili[[#This Row],[Draftrate]],ROUND(TblPop[[#This Row],[Peasants]]*Constants!$B$52,0), 0)</f>
        <v>0</v>
      </c>
      <c r="AA51" s="184"/>
      <c r="AB51" s="185">
        <f ca="1">Overview!$I$16 + IF(Magic!AD51&gt;0,Constants!$F$76)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44344.999999999884</v>
      </c>
      <c r="C52" s="124">
        <f ca="1">OFFSET(TblPop[[#This Row],[Peasants]],-1,0)+OFFSET(TblPop[[#This Row],[Net Peasant]],-1,0)+TblMili[[#This Row],[Release Draft]]</f>
        <v>1537</v>
      </c>
      <c r="D52" s="124">
        <f ca="1">TblMili[[#This Row],[Military]]</f>
        <v>846</v>
      </c>
      <c r="E52" s="124">
        <f ca="1">TblMili[[#This Row],[Draftees]]</f>
        <v>646</v>
      </c>
      <c r="F52" s="124">
        <f ca="1">TblPop[[#This Row],[Peasants]]+TblPop[[#This Row],[Military]]</f>
        <v>2383</v>
      </c>
      <c r="G52" s="180">
        <f ca="1">TblPop[[#This Row],[Military]]/TblPop[[#This Row],[Total]]</f>
        <v>0.35501468736886277</v>
      </c>
      <c r="H52" s="181">
        <f ca="1">MIN(TblPop[[#This Row],[Peasants]],TblPop[[#This Row],[Jobs]])</f>
        <v>1537</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646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Arch]]),(barracks_size + tech_8_3*TblTech[[#This Row],[8-3]])*TblConstr[[#This Row],[Tot Bar]])</f>
        <v>2383</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46.11</v>
      </c>
      <c r="Z52" s="124">
        <f ca="1">IF(TblPop[[#This Row],[Military%]]&lt;TblMili[[#This Row],[Draftrate]],ROUND(TblPop[[#This Row],[Peasants]]*Constants!$B$52,0), 0)</f>
        <v>0</v>
      </c>
      <c r="AA52" s="184"/>
      <c r="AB52" s="185">
        <f ca="1">Overview!$I$16 + IF(Magic!AD52&gt;0,Constants!$F$76)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44345.041666666548</v>
      </c>
      <c r="C53" s="124">
        <f ca="1">OFFSET(TblPop[[#This Row],[Peasants]],-1,0)+OFFSET(TblPop[[#This Row],[Net Peasant]],-1,0)+TblMili[[#This Row],[Release Draft]]</f>
        <v>1537</v>
      </c>
      <c r="D53" s="124">
        <f ca="1">TblMili[[#This Row],[Military]]</f>
        <v>846</v>
      </c>
      <c r="E53" s="124">
        <f ca="1">TblMili[[#This Row],[Draftees]]</f>
        <v>646</v>
      </c>
      <c r="F53" s="124">
        <f ca="1">TblPop[[#This Row],[Peasants]]+TblPop[[#This Row],[Military]]</f>
        <v>2383</v>
      </c>
      <c r="G53" s="180">
        <f ca="1">TblPop[[#This Row],[Military]]/TblPop[[#This Row],[Total]]</f>
        <v>0.35501468736886277</v>
      </c>
      <c r="H53" s="181">
        <f ca="1">MIN(TblPop[[#This Row],[Peasants]],TblPop[[#This Row],[Jobs]])</f>
        <v>1537</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646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Arch]]),(barracks_size + tech_8_3*TblTech[[#This Row],[8-3]])*TblConstr[[#This Row],[Tot Bar]])</f>
        <v>2383</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46.11</v>
      </c>
      <c r="Z53" s="124">
        <f ca="1">IF(TblPop[[#This Row],[Military%]]&lt;TblMili[[#This Row],[Draftrate]],ROUND(TblPop[[#This Row],[Peasants]]*Constants!$B$52,0), 0)</f>
        <v>0</v>
      </c>
      <c r="AA53" s="184"/>
      <c r="AB53" s="185">
        <f ca="1">Overview!$I$16 + IF(Magic!AD53&gt;0,Constants!$F$76)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44345.083333333212</v>
      </c>
      <c r="C54" s="124">
        <f ca="1">OFFSET(TblPop[[#This Row],[Peasants]],-1,0)+OFFSET(TblPop[[#This Row],[Net Peasant]],-1,0)+TblMili[[#This Row],[Release Draft]]</f>
        <v>1537</v>
      </c>
      <c r="D54" s="124">
        <f ca="1">TblMili[[#This Row],[Military]]</f>
        <v>846</v>
      </c>
      <c r="E54" s="124">
        <f ca="1">TblMili[[#This Row],[Draftees]]</f>
        <v>646</v>
      </c>
      <c r="F54" s="124">
        <f ca="1">TblPop[[#This Row],[Peasants]]+TblPop[[#This Row],[Military]]</f>
        <v>2383</v>
      </c>
      <c r="G54" s="180">
        <f ca="1">TblPop[[#This Row],[Military]]/TblPop[[#This Row],[Total]]</f>
        <v>0.35501468736886277</v>
      </c>
      <c r="H54" s="181">
        <f ca="1">MIN(TblPop[[#This Row],[Peasants]],TblPop[[#This Row],[Jobs]])</f>
        <v>1537</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646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Arch]]),(barracks_size + tech_8_3*TblTech[[#This Row],[8-3]])*TblConstr[[#This Row],[Tot Bar]])</f>
        <v>2383</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46.11</v>
      </c>
      <c r="Z54" s="124">
        <f ca="1">IF(TblPop[[#This Row],[Military%]]&lt;TblMili[[#This Row],[Draftrate]],ROUND(TblPop[[#This Row],[Peasants]]*Constants!$B$52,0), 0)</f>
        <v>0</v>
      </c>
      <c r="AA54" s="184"/>
      <c r="AB54" s="185">
        <f ca="1">Overview!$I$16 + IF(Magic!AD54&gt;0,Constants!$F$76)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44345.124999999876</v>
      </c>
      <c r="C55" s="124">
        <f ca="1">OFFSET(TblPop[[#This Row],[Peasants]],-1,0)+OFFSET(TblPop[[#This Row],[Net Peasant]],-1,0)+TblMili[[#This Row],[Release Draft]]</f>
        <v>1537</v>
      </c>
      <c r="D55" s="124">
        <f ca="1">TblMili[[#This Row],[Military]]</f>
        <v>846</v>
      </c>
      <c r="E55" s="124">
        <f ca="1">TblMili[[#This Row],[Draftees]]</f>
        <v>646</v>
      </c>
      <c r="F55" s="124">
        <f ca="1">TblPop[[#This Row],[Peasants]]+TblPop[[#This Row],[Military]]</f>
        <v>2383</v>
      </c>
      <c r="G55" s="180">
        <f ca="1">TblPop[[#This Row],[Military]]/TblPop[[#This Row],[Total]]</f>
        <v>0.35501468736886277</v>
      </c>
      <c r="H55" s="181">
        <f ca="1">MIN(TblPop[[#This Row],[Peasants]],TblPop[[#This Row],[Jobs]])</f>
        <v>1537</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646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Arch]]),(barracks_size + tech_8_3*TblTech[[#This Row],[8-3]])*TblConstr[[#This Row],[Tot Bar]])</f>
        <v>2383</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46.11</v>
      </c>
      <c r="Z55" s="124">
        <f ca="1">IF(TblPop[[#This Row],[Military%]]&lt;TblMili[[#This Row],[Draftrate]],ROUND(TblPop[[#This Row],[Peasants]]*Constants!$B$52,0), 0)</f>
        <v>0</v>
      </c>
      <c r="AA55" s="184"/>
      <c r="AB55" s="185">
        <f ca="1">Overview!$I$16 + IF(Magic!AD55&gt;0,Constants!$F$76)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44345.166666666541</v>
      </c>
      <c r="C56" s="124">
        <f ca="1">OFFSET(TblPop[[#This Row],[Peasants]],-1,0)+OFFSET(TblPop[[#This Row],[Net Peasant]],-1,0)+TblMili[[#This Row],[Release Draft]]</f>
        <v>1537</v>
      </c>
      <c r="D56" s="124">
        <f ca="1">TblMili[[#This Row],[Military]]</f>
        <v>846</v>
      </c>
      <c r="E56" s="124">
        <f ca="1">TblMili[[#This Row],[Draftees]]</f>
        <v>646</v>
      </c>
      <c r="F56" s="124">
        <f ca="1">TblPop[[#This Row],[Peasants]]+TblPop[[#This Row],[Military]]</f>
        <v>2383</v>
      </c>
      <c r="G56" s="180">
        <f ca="1">TblPop[[#This Row],[Military]]/TblPop[[#This Row],[Total]]</f>
        <v>0.35501468736886277</v>
      </c>
      <c r="H56" s="181">
        <f ca="1">MIN(TblPop[[#This Row],[Peasants]],TblPop[[#This Row],[Jobs]])</f>
        <v>1537</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646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Arch]]),(barracks_size + tech_8_3*TblTech[[#This Row],[8-3]])*TblConstr[[#This Row],[Tot Bar]])</f>
        <v>2383</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46.11</v>
      </c>
      <c r="Z56" s="124">
        <f ca="1">IF(TblPop[[#This Row],[Military%]]&lt;TblMili[[#This Row],[Draftrate]],ROUND(TblPop[[#This Row],[Peasants]]*Constants!$B$52,0), 0)</f>
        <v>0</v>
      </c>
      <c r="AA56" s="184"/>
      <c r="AB56" s="185">
        <f ca="1">Overview!$I$16 + IF(Magic!AD56&gt;0,Constants!$F$76)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44345.208333333205</v>
      </c>
      <c r="C57" s="124">
        <f ca="1">OFFSET(TblPop[[#This Row],[Peasants]],-1,0)+OFFSET(TblPop[[#This Row],[Net Peasant]],-1,0)+TblMili[[#This Row],[Release Draft]]</f>
        <v>1537</v>
      </c>
      <c r="D57" s="124">
        <f ca="1">TblMili[[#This Row],[Military]]</f>
        <v>846</v>
      </c>
      <c r="E57" s="124">
        <f ca="1">TblMili[[#This Row],[Draftees]]</f>
        <v>646</v>
      </c>
      <c r="F57" s="124">
        <f ca="1">TblPop[[#This Row],[Peasants]]+TblPop[[#This Row],[Military]]</f>
        <v>2383</v>
      </c>
      <c r="G57" s="180">
        <f ca="1">TblPop[[#This Row],[Military]]/TblPop[[#This Row],[Total]]</f>
        <v>0.35501468736886277</v>
      </c>
      <c r="H57" s="181">
        <f ca="1">MIN(TblPop[[#This Row],[Peasants]],TblPop[[#This Row],[Jobs]])</f>
        <v>1537</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646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Arch]]),(barracks_size + tech_8_3*TblTech[[#This Row],[8-3]])*TblConstr[[#This Row],[Tot Bar]])</f>
        <v>2383</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46.11</v>
      </c>
      <c r="Z57" s="124">
        <f ca="1">IF(TblPop[[#This Row],[Military%]]&lt;TblMili[[#This Row],[Draftrate]],ROUND(TblPop[[#This Row],[Peasants]]*Constants!$B$52,0), 0)</f>
        <v>0</v>
      </c>
      <c r="AA57" s="184"/>
      <c r="AB57" s="185">
        <f ca="1">Overview!$I$16 + IF(Magic!AD57&gt;0,Constants!$F$76)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44345.249999999869</v>
      </c>
      <c r="C58" s="124">
        <f ca="1">OFFSET(TblPop[[#This Row],[Peasants]],-1,0)+OFFSET(TblPop[[#This Row],[Net Peasant]],-1,0)+TblMili[[#This Row],[Release Draft]]</f>
        <v>1537</v>
      </c>
      <c r="D58" s="124">
        <f ca="1">TblMili[[#This Row],[Military]]</f>
        <v>846</v>
      </c>
      <c r="E58" s="124">
        <f ca="1">TblMili[[#This Row],[Draftees]]</f>
        <v>646</v>
      </c>
      <c r="F58" s="124">
        <f ca="1">TblPop[[#This Row],[Peasants]]+TblPop[[#This Row],[Military]]</f>
        <v>2383</v>
      </c>
      <c r="G58" s="180">
        <f ca="1">TblPop[[#This Row],[Military]]/TblPop[[#This Row],[Total]]</f>
        <v>0.35501468736886277</v>
      </c>
      <c r="H58" s="181">
        <f ca="1">MIN(TblPop[[#This Row],[Peasants]],TblPop[[#This Row],[Jobs]])</f>
        <v>1537</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646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Arch]]),(barracks_size + tech_8_3*TblTech[[#This Row],[8-3]])*TblConstr[[#This Row],[Tot Bar]])</f>
        <v>2383</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46.11</v>
      </c>
      <c r="Z58" s="124">
        <f ca="1">IF(TblPop[[#This Row],[Military%]]&lt;TblMili[[#This Row],[Draftrate]],ROUND(TblPop[[#This Row],[Peasants]]*Constants!$B$52,0), 0)</f>
        <v>0</v>
      </c>
      <c r="AA58" s="184"/>
      <c r="AB58" s="185">
        <f ca="1">Overview!$I$16 + IF(Magic!AD58&gt;0,Constants!$F$76)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44345.291666666533</v>
      </c>
      <c r="C59" s="124">
        <f ca="1">OFFSET(TblPop[[#This Row],[Peasants]],-1,0)+OFFSET(TblPop[[#This Row],[Net Peasant]],-1,0)+TblMili[[#This Row],[Release Draft]]</f>
        <v>1537</v>
      </c>
      <c r="D59" s="124">
        <f ca="1">TblMili[[#This Row],[Military]]</f>
        <v>846</v>
      </c>
      <c r="E59" s="124">
        <f ca="1">TblMili[[#This Row],[Draftees]]</f>
        <v>646</v>
      </c>
      <c r="F59" s="124">
        <f ca="1">TblPop[[#This Row],[Peasants]]+TblPop[[#This Row],[Military]]</f>
        <v>2383</v>
      </c>
      <c r="G59" s="180">
        <f ca="1">TblPop[[#This Row],[Military]]/TblPop[[#This Row],[Total]]</f>
        <v>0.35501468736886277</v>
      </c>
      <c r="H59" s="181">
        <f ca="1">MIN(TblPop[[#This Row],[Peasants]],TblPop[[#This Row],[Jobs]])</f>
        <v>1537</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646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Arch]]),(barracks_size + tech_8_3*TblTech[[#This Row],[8-3]])*TblConstr[[#This Row],[Tot Bar]])</f>
        <v>2383</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46.11</v>
      </c>
      <c r="Z59" s="124">
        <f ca="1">IF(TblPop[[#This Row],[Military%]]&lt;TblMili[[#This Row],[Draftrate]],ROUND(TblPop[[#This Row],[Peasants]]*Constants!$B$52,0), 0)</f>
        <v>0</v>
      </c>
      <c r="AA59" s="184"/>
      <c r="AB59" s="185">
        <f ca="1">Overview!$I$16 + IF(Magic!AD59&gt;0,Constants!$F$76)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44345.333333333198</v>
      </c>
      <c r="C60" s="124">
        <f ca="1">OFFSET(TblPop[[#This Row],[Peasants]],-1,0)+OFFSET(TblPop[[#This Row],[Net Peasant]],-1,0)+TblMili[[#This Row],[Release Draft]]</f>
        <v>1537</v>
      </c>
      <c r="D60" s="124">
        <f ca="1">TblMili[[#This Row],[Military]]</f>
        <v>846</v>
      </c>
      <c r="E60" s="124">
        <f ca="1">TblMili[[#This Row],[Draftees]]</f>
        <v>646</v>
      </c>
      <c r="F60" s="124">
        <f ca="1">TblPop[[#This Row],[Peasants]]+TblPop[[#This Row],[Military]]</f>
        <v>2383</v>
      </c>
      <c r="G60" s="180">
        <f ca="1">TblPop[[#This Row],[Military]]/TblPop[[#This Row],[Total]]</f>
        <v>0.35501468736886277</v>
      </c>
      <c r="H60" s="181">
        <f ca="1">MIN(TblPop[[#This Row],[Peasants]],TblPop[[#This Row],[Jobs]])</f>
        <v>1537</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646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Arch]]),(barracks_size + tech_8_3*TblTech[[#This Row],[8-3]])*TblConstr[[#This Row],[Tot Bar]])</f>
        <v>2383</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46.11</v>
      </c>
      <c r="Z60" s="124">
        <f ca="1">IF(TblPop[[#This Row],[Military%]]&lt;TblMili[[#This Row],[Draftrate]],ROUND(TblPop[[#This Row],[Peasants]]*Constants!$B$52,0), 0)</f>
        <v>0</v>
      </c>
      <c r="AA60" s="184"/>
      <c r="AB60" s="185">
        <f ca="1">Overview!$I$16 + IF(Magic!AD60&gt;0,Constants!$F$76)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44345.374999999862</v>
      </c>
      <c r="C61" s="124">
        <f ca="1">OFFSET(TblPop[[#This Row],[Peasants]],-1,0)+OFFSET(TblPop[[#This Row],[Net Peasant]],-1,0)+TblMili[[#This Row],[Release Draft]]</f>
        <v>1537</v>
      </c>
      <c r="D61" s="124">
        <f ca="1">TblMili[[#This Row],[Military]]</f>
        <v>846</v>
      </c>
      <c r="E61" s="124">
        <f ca="1">TblMili[[#This Row],[Draftees]]</f>
        <v>646</v>
      </c>
      <c r="F61" s="124">
        <f ca="1">TblPop[[#This Row],[Peasants]]+TblPop[[#This Row],[Military]]</f>
        <v>2383</v>
      </c>
      <c r="G61" s="180">
        <f ca="1">TblPop[[#This Row],[Military]]/TblPop[[#This Row],[Total]]</f>
        <v>0.35501468736886277</v>
      </c>
      <c r="H61" s="181">
        <f ca="1">MIN(TblPop[[#This Row],[Peasants]],TblPop[[#This Row],[Jobs]])</f>
        <v>1537</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646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Arch]]),(barracks_size + tech_8_3*TblTech[[#This Row],[8-3]])*TblConstr[[#This Row],[Tot Bar]])</f>
        <v>2383</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46.11</v>
      </c>
      <c r="Z61" s="124">
        <f ca="1">IF(TblPop[[#This Row],[Military%]]&lt;TblMili[[#This Row],[Draftrate]],ROUND(TblPop[[#This Row],[Peasants]]*Constants!$B$52,0), 0)</f>
        <v>0</v>
      </c>
      <c r="AA61" s="184"/>
      <c r="AB61" s="185">
        <f ca="1">Overview!$I$16 + IF(Magic!AD61&gt;0,Constants!$F$76)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44345.416666666526</v>
      </c>
      <c r="C62" s="124">
        <f ca="1">OFFSET(TblPop[[#This Row],[Peasants]],-1,0)+OFFSET(TblPop[[#This Row],[Net Peasant]],-1,0)+TblMili[[#This Row],[Release Draft]]</f>
        <v>1537</v>
      </c>
      <c r="D62" s="124">
        <f ca="1">TblMili[[#This Row],[Military]]</f>
        <v>846</v>
      </c>
      <c r="E62" s="124">
        <f ca="1">TblMili[[#This Row],[Draftees]]</f>
        <v>646</v>
      </c>
      <c r="F62" s="124">
        <f ca="1">TblPop[[#This Row],[Peasants]]+TblPop[[#This Row],[Military]]</f>
        <v>2383</v>
      </c>
      <c r="G62" s="180">
        <f ca="1">TblPop[[#This Row],[Military]]/TblPop[[#This Row],[Total]]</f>
        <v>0.35501468736886277</v>
      </c>
      <c r="H62" s="181">
        <f ca="1">MIN(TblPop[[#This Row],[Peasants]],TblPop[[#This Row],[Jobs]])</f>
        <v>1537</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646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Arch]]),(barracks_size + tech_8_3*TblTech[[#This Row],[8-3]])*TblConstr[[#This Row],[Tot Bar]])</f>
        <v>2383</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46.11</v>
      </c>
      <c r="Z62" s="124">
        <f ca="1">IF(TblPop[[#This Row],[Military%]]&lt;TblMili[[#This Row],[Draftrate]],ROUND(TblPop[[#This Row],[Peasants]]*Constants!$B$52,0), 0)</f>
        <v>0</v>
      </c>
      <c r="AA62" s="184"/>
      <c r="AB62" s="185">
        <f ca="1">Overview!$I$16 + IF(Magic!AD62&gt;0,Constants!$F$76)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44345.45833333319</v>
      </c>
      <c r="C63" s="124">
        <f ca="1">OFFSET(TblPop[[#This Row],[Peasants]],-1,0)+OFFSET(TblPop[[#This Row],[Net Peasant]],-1,0)+TblMili[[#This Row],[Release Draft]]</f>
        <v>1537</v>
      </c>
      <c r="D63" s="124">
        <f ca="1">TblMili[[#This Row],[Military]]</f>
        <v>846</v>
      </c>
      <c r="E63" s="124">
        <f ca="1">TblMili[[#This Row],[Draftees]]</f>
        <v>646</v>
      </c>
      <c r="F63" s="124">
        <f ca="1">TblPop[[#This Row],[Peasants]]+TblPop[[#This Row],[Military]]</f>
        <v>2383</v>
      </c>
      <c r="G63" s="180">
        <f ca="1">TblPop[[#This Row],[Military]]/TblPop[[#This Row],[Total]]</f>
        <v>0.35501468736886277</v>
      </c>
      <c r="H63" s="181">
        <f ca="1">MIN(TblPop[[#This Row],[Peasants]],TblPop[[#This Row],[Jobs]])</f>
        <v>1537</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646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Arch]]),(barracks_size + tech_8_3*TblTech[[#This Row],[8-3]])*TblConstr[[#This Row],[Tot Bar]])</f>
        <v>2383</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46.11</v>
      </c>
      <c r="Z63" s="124">
        <f ca="1">IF(TblPop[[#This Row],[Military%]]&lt;TblMili[[#This Row],[Draftrate]],ROUND(TblPop[[#This Row],[Peasants]]*Constants!$B$52,0), 0)</f>
        <v>0</v>
      </c>
      <c r="AA63" s="184"/>
      <c r="AB63" s="185">
        <f ca="1">Overview!$I$16 + IF(Magic!AD63&gt;0,Constants!$F$76)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44345.499999999854</v>
      </c>
      <c r="C64" s="124">
        <f ca="1">OFFSET(TblPop[[#This Row],[Peasants]],-1,0)+OFFSET(TblPop[[#This Row],[Net Peasant]],-1,0)+TblMili[[#This Row],[Release Draft]]</f>
        <v>1537</v>
      </c>
      <c r="D64" s="124">
        <f ca="1">TblMili[[#This Row],[Military]]</f>
        <v>846</v>
      </c>
      <c r="E64" s="124">
        <f ca="1">TblMili[[#This Row],[Draftees]]</f>
        <v>646</v>
      </c>
      <c r="F64" s="124">
        <f ca="1">TblPop[[#This Row],[Peasants]]+TblPop[[#This Row],[Military]]</f>
        <v>2383</v>
      </c>
      <c r="G64" s="180">
        <f ca="1">TblPop[[#This Row],[Military]]/TblPop[[#This Row],[Total]]</f>
        <v>0.35501468736886277</v>
      </c>
      <c r="H64" s="181">
        <f ca="1">MIN(TblPop[[#This Row],[Peasants]],TblPop[[#This Row],[Jobs]])</f>
        <v>1537</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646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Arch]]),(barracks_size + tech_8_3*TblTech[[#This Row],[8-3]])*TblConstr[[#This Row],[Tot Bar]])</f>
        <v>2383</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46.11</v>
      </c>
      <c r="Z64" s="124">
        <f ca="1">IF(TblPop[[#This Row],[Military%]]&lt;TblMili[[#This Row],[Draftrate]],ROUND(TblPop[[#This Row],[Peasants]]*Constants!$B$52,0), 0)</f>
        <v>0</v>
      </c>
      <c r="AA64" s="184"/>
      <c r="AB64" s="185">
        <f ca="1">Overview!$I$16 + IF(Magic!AD64&gt;0,Constants!$F$76)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44345.541666666519</v>
      </c>
      <c r="C65" s="124">
        <f ca="1">OFFSET(TblPop[[#This Row],[Peasants]],-1,0)+OFFSET(TblPop[[#This Row],[Net Peasant]],-1,0)+TblMili[[#This Row],[Release Draft]]</f>
        <v>1537</v>
      </c>
      <c r="D65" s="124">
        <f ca="1">TblMili[[#This Row],[Military]]</f>
        <v>846</v>
      </c>
      <c r="E65" s="124">
        <f ca="1">TblMili[[#This Row],[Draftees]]</f>
        <v>646</v>
      </c>
      <c r="F65" s="124">
        <f ca="1">TblPop[[#This Row],[Peasants]]+TblPop[[#This Row],[Military]]</f>
        <v>2383</v>
      </c>
      <c r="G65" s="180">
        <f ca="1">TblPop[[#This Row],[Military]]/TblPop[[#This Row],[Total]]</f>
        <v>0.35501468736886277</v>
      </c>
      <c r="H65" s="181">
        <f ca="1">MIN(TblPop[[#This Row],[Peasants]],TblPop[[#This Row],[Jobs]])</f>
        <v>1537</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646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Arch]]),(barracks_size + tech_8_3*TblTech[[#This Row],[8-3]])*TblConstr[[#This Row],[Tot Bar]])</f>
        <v>2383</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46.11</v>
      </c>
      <c r="Z65" s="124">
        <f ca="1">IF(TblPop[[#This Row],[Military%]]&lt;TblMili[[#This Row],[Draftrate]],ROUND(TblPop[[#This Row],[Peasants]]*Constants!$B$52,0), 0)</f>
        <v>0</v>
      </c>
      <c r="AA65" s="184"/>
      <c r="AB65" s="185">
        <f ca="1">Overview!$I$16 + IF(Magic!AD65&gt;0,Constants!$F$76)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44345.583333333183</v>
      </c>
      <c r="C66" s="124">
        <f ca="1">OFFSET(TblPop[[#This Row],[Peasants]],-1,0)+OFFSET(TblPop[[#This Row],[Net Peasant]],-1,0)+TblMili[[#This Row],[Release Draft]]</f>
        <v>1537</v>
      </c>
      <c r="D66" s="124">
        <f ca="1">TblMili[[#This Row],[Military]]</f>
        <v>846</v>
      </c>
      <c r="E66" s="124">
        <f ca="1">TblMili[[#This Row],[Draftees]]</f>
        <v>646</v>
      </c>
      <c r="F66" s="124">
        <f ca="1">TblPop[[#This Row],[Peasants]]+TblPop[[#This Row],[Military]]</f>
        <v>2383</v>
      </c>
      <c r="G66" s="180">
        <f ca="1">TblPop[[#This Row],[Military]]/TblPop[[#This Row],[Total]]</f>
        <v>0.35501468736886277</v>
      </c>
      <c r="H66" s="181">
        <f ca="1">MIN(TblPop[[#This Row],[Peasants]],TblPop[[#This Row],[Jobs]])</f>
        <v>1537</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646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Arch]]),(barracks_size + tech_8_3*TblTech[[#This Row],[8-3]])*TblConstr[[#This Row],[Tot Bar]])</f>
        <v>2383</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46.11</v>
      </c>
      <c r="Z66" s="124">
        <f ca="1">IF(TblPop[[#This Row],[Military%]]&lt;TblMili[[#This Row],[Draftrate]],ROUND(TblPop[[#This Row],[Peasants]]*Constants!$B$52,0), 0)</f>
        <v>0</v>
      </c>
      <c r="AA66" s="184"/>
      <c r="AB66" s="185">
        <f ca="1">Overview!$I$16 + IF(Magic!AD66&gt;0,Constants!$F$76)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44345.624999999847</v>
      </c>
      <c r="C67" s="124">
        <f ca="1">OFFSET(TblPop[[#This Row],[Peasants]],-1,0)+OFFSET(TblPop[[#This Row],[Net Peasant]],-1,0)+TblMili[[#This Row],[Release Draft]]</f>
        <v>1537</v>
      </c>
      <c r="D67" s="124">
        <f ca="1">TblMili[[#This Row],[Military]]</f>
        <v>846</v>
      </c>
      <c r="E67" s="124">
        <f ca="1">TblMili[[#This Row],[Draftees]]</f>
        <v>646</v>
      </c>
      <c r="F67" s="124">
        <f ca="1">TblPop[[#This Row],[Peasants]]+TblPop[[#This Row],[Military]]</f>
        <v>2383</v>
      </c>
      <c r="G67" s="180">
        <f ca="1">TblPop[[#This Row],[Military]]/TblPop[[#This Row],[Total]]</f>
        <v>0.35501468736886277</v>
      </c>
      <c r="H67" s="181">
        <f ca="1">MIN(TblPop[[#This Row],[Peasants]],TblPop[[#This Row],[Jobs]])</f>
        <v>1537</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646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Arch]]),(barracks_size + tech_8_3*TblTech[[#This Row],[8-3]])*TblConstr[[#This Row],[Tot Bar]])</f>
        <v>2383</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46.11</v>
      </c>
      <c r="Z67" s="124">
        <f ca="1">IF(TblPop[[#This Row],[Military%]]&lt;TblMili[[#This Row],[Draftrate]],ROUND(TblPop[[#This Row],[Peasants]]*Constants!$B$52,0), 0)</f>
        <v>0</v>
      </c>
      <c r="AA67" s="184"/>
      <c r="AB67" s="185">
        <f ca="1">Overview!$I$16 + IF(Magic!AD67&gt;0,Constants!$F$76)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44345.666666666511</v>
      </c>
      <c r="C68" s="124">
        <f ca="1">OFFSET(TblPop[[#This Row],[Peasants]],-1,0)+OFFSET(TblPop[[#This Row],[Net Peasant]],-1,0)+TblMili[[#This Row],[Release Draft]]</f>
        <v>1537</v>
      </c>
      <c r="D68" s="124">
        <f ca="1">TblMili[[#This Row],[Military]]</f>
        <v>846</v>
      </c>
      <c r="E68" s="124">
        <f ca="1">TblMili[[#This Row],[Draftees]]</f>
        <v>646</v>
      </c>
      <c r="F68" s="124">
        <f ca="1">TblPop[[#This Row],[Peasants]]+TblPop[[#This Row],[Military]]</f>
        <v>2383</v>
      </c>
      <c r="G68" s="180">
        <f ca="1">TblPop[[#This Row],[Military]]/TblPop[[#This Row],[Total]]</f>
        <v>0.35501468736886277</v>
      </c>
      <c r="H68" s="181">
        <f ca="1">MIN(TblPop[[#This Row],[Peasants]],TblPop[[#This Row],[Jobs]])</f>
        <v>1537</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646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Arch]]),(barracks_size + tech_8_3*TblTech[[#This Row],[8-3]])*TblConstr[[#This Row],[Tot Bar]])</f>
        <v>2383</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46.11</v>
      </c>
      <c r="Z68" s="124">
        <f ca="1">IF(TblPop[[#This Row],[Military%]]&lt;TblMili[[#This Row],[Draftrate]],ROUND(TblPop[[#This Row],[Peasants]]*Constants!$B$52,0), 0)</f>
        <v>0</v>
      </c>
      <c r="AA68" s="184"/>
      <c r="AB68" s="185">
        <f ca="1">Overview!$I$16 + IF(Magic!AD68&gt;0,Constants!$F$76)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44345.708333333176</v>
      </c>
      <c r="C69" s="124">
        <f ca="1">OFFSET(TblPop[[#This Row],[Peasants]],-1,0)+OFFSET(TblPop[[#This Row],[Net Peasant]],-1,0)+TblMili[[#This Row],[Release Draft]]</f>
        <v>1537</v>
      </c>
      <c r="D69" s="124">
        <f ca="1">TblMili[[#This Row],[Military]]</f>
        <v>846</v>
      </c>
      <c r="E69" s="124">
        <f ca="1">TblMili[[#This Row],[Draftees]]</f>
        <v>646</v>
      </c>
      <c r="F69" s="124">
        <f ca="1">TblPop[[#This Row],[Peasants]]+TblPop[[#This Row],[Military]]</f>
        <v>2383</v>
      </c>
      <c r="G69" s="180">
        <f ca="1">TblPop[[#This Row],[Military]]/TblPop[[#This Row],[Total]]</f>
        <v>0.35501468736886277</v>
      </c>
      <c r="H69" s="181">
        <f ca="1">MIN(TblPop[[#This Row],[Peasants]],TblPop[[#This Row],[Jobs]])</f>
        <v>1537</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646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Arch]]),(barracks_size + tech_8_3*TblTech[[#This Row],[8-3]])*TblConstr[[#This Row],[Tot Bar]])</f>
        <v>2383</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46.11</v>
      </c>
      <c r="Z69" s="124">
        <f ca="1">IF(TblPop[[#This Row],[Military%]]&lt;TblMili[[#This Row],[Draftrate]],ROUND(TblPop[[#This Row],[Peasants]]*Constants!$B$52,0), 0)</f>
        <v>0</v>
      </c>
      <c r="AA69" s="184"/>
      <c r="AB69" s="185">
        <f ca="1">Overview!$I$16 + IF(Magic!AD69&gt;0,Constants!$F$76)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44345.74999999984</v>
      </c>
      <c r="C70" s="124">
        <f ca="1">OFFSET(TblPop[[#This Row],[Peasants]],-1,0)+OFFSET(TblPop[[#This Row],[Net Peasant]],-1,0)+TblMili[[#This Row],[Release Draft]]</f>
        <v>1537</v>
      </c>
      <c r="D70" s="124">
        <f ca="1">TblMili[[#This Row],[Military]]</f>
        <v>846</v>
      </c>
      <c r="E70" s="124">
        <f ca="1">TblMili[[#This Row],[Draftees]]</f>
        <v>646</v>
      </c>
      <c r="F70" s="124">
        <f ca="1">TblPop[[#This Row],[Peasants]]+TblPop[[#This Row],[Military]]</f>
        <v>2383</v>
      </c>
      <c r="G70" s="180">
        <f ca="1">TblPop[[#This Row],[Military]]/TblPop[[#This Row],[Total]]</f>
        <v>0.35501468736886277</v>
      </c>
      <c r="H70" s="181">
        <f ca="1">MIN(TblPop[[#This Row],[Peasants]],TblPop[[#This Row],[Jobs]])</f>
        <v>1537</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646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Arch]]),(barracks_size + tech_8_3*TblTech[[#This Row],[8-3]])*TblConstr[[#This Row],[Tot Bar]])</f>
        <v>2383</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46.11</v>
      </c>
      <c r="Z70" s="124">
        <f ca="1">IF(TblPop[[#This Row],[Military%]]&lt;TblMili[[#This Row],[Draftrate]],ROUND(TblPop[[#This Row],[Peasants]]*Constants!$B$52,0), 0)</f>
        <v>0</v>
      </c>
      <c r="AA70" s="184"/>
      <c r="AB70" s="185">
        <f ca="1">Overview!$I$16 + IF(Magic!AD70&gt;0,Constants!$F$76)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44345.791666666504</v>
      </c>
      <c r="C71" s="124">
        <f ca="1">OFFSET(TblPop[[#This Row],[Peasants]],-1,0)+OFFSET(TblPop[[#This Row],[Net Peasant]],-1,0)+TblMili[[#This Row],[Release Draft]]</f>
        <v>1537</v>
      </c>
      <c r="D71" s="124">
        <f ca="1">TblMili[[#This Row],[Military]]</f>
        <v>846</v>
      </c>
      <c r="E71" s="124">
        <f ca="1">TblMili[[#This Row],[Draftees]]</f>
        <v>646</v>
      </c>
      <c r="F71" s="124">
        <f ca="1">TblPop[[#This Row],[Peasants]]+TblPop[[#This Row],[Military]]</f>
        <v>2383</v>
      </c>
      <c r="G71" s="180">
        <f ca="1">TblPop[[#This Row],[Military]]/TblPop[[#This Row],[Total]]</f>
        <v>0.35501468736886277</v>
      </c>
      <c r="H71" s="181">
        <f ca="1">MIN(TblPop[[#This Row],[Peasants]],TblPop[[#This Row],[Jobs]])</f>
        <v>1537</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646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Arch]]),(barracks_size + tech_8_3*TblTech[[#This Row],[8-3]])*TblConstr[[#This Row],[Tot Bar]])</f>
        <v>2383</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46.11</v>
      </c>
      <c r="Z71" s="124">
        <f ca="1">IF(TblPop[[#This Row],[Military%]]&lt;TblMili[[#This Row],[Draftrate]],ROUND(TblPop[[#This Row],[Peasants]]*Constants!$B$52,0), 0)</f>
        <v>0</v>
      </c>
      <c r="AA71" s="184"/>
      <c r="AB71" s="185">
        <f ca="1">Overview!$I$16 + IF(Magic!AD71&gt;0,Constants!$F$76)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44345.833333333168</v>
      </c>
      <c r="C72" s="124">
        <f ca="1">OFFSET(TblPop[[#This Row],[Peasants]],-1,0)+OFFSET(TblPop[[#This Row],[Net Peasant]],-1,0)+TblMili[[#This Row],[Release Draft]]</f>
        <v>1537</v>
      </c>
      <c r="D72" s="124">
        <f ca="1">TblMili[[#This Row],[Military]]</f>
        <v>846</v>
      </c>
      <c r="E72" s="124">
        <f ca="1">TblMili[[#This Row],[Draftees]]</f>
        <v>646</v>
      </c>
      <c r="F72" s="124">
        <f ca="1">TblPop[[#This Row],[Peasants]]+TblPop[[#This Row],[Military]]</f>
        <v>2383</v>
      </c>
      <c r="G72" s="180">
        <f ca="1">TblPop[[#This Row],[Military]]/TblPop[[#This Row],[Total]]</f>
        <v>0.35501468736886277</v>
      </c>
      <c r="H72" s="181">
        <f ca="1">MIN(TblPop[[#This Row],[Peasants]],TblPop[[#This Row],[Jobs]])</f>
        <v>1537</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646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Arch]]),(barracks_size + tech_8_3*TblTech[[#This Row],[8-3]])*TblConstr[[#This Row],[Tot Bar]])</f>
        <v>2383</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46.11</v>
      </c>
      <c r="Z72" s="124">
        <f ca="1">IF(TblPop[[#This Row],[Military%]]&lt;TblMili[[#This Row],[Draftrate]],ROUND(TblPop[[#This Row],[Peasants]]*Constants!$B$52,0), 0)</f>
        <v>0</v>
      </c>
      <c r="AA72" s="184"/>
      <c r="AB72" s="185">
        <f ca="1">Overview!$I$16 + IF(Magic!AD72&gt;0,Constants!$F$76)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44345.874999999833</v>
      </c>
      <c r="C73" s="124">
        <f ca="1">OFFSET(TblPop[[#This Row],[Peasants]],-1,0)+OFFSET(TblPop[[#This Row],[Net Peasant]],-1,0)+TblMili[[#This Row],[Release Draft]]</f>
        <v>1537</v>
      </c>
      <c r="D73" s="124">
        <f ca="1">TblMili[[#This Row],[Military]]</f>
        <v>846</v>
      </c>
      <c r="E73" s="124">
        <f ca="1">TblMili[[#This Row],[Draftees]]</f>
        <v>646</v>
      </c>
      <c r="F73" s="124">
        <f ca="1">TblPop[[#This Row],[Peasants]]+TblPop[[#This Row],[Military]]</f>
        <v>2383</v>
      </c>
      <c r="G73" s="180">
        <f ca="1">TblPop[[#This Row],[Military]]/TblPop[[#This Row],[Total]]</f>
        <v>0.35501468736886277</v>
      </c>
      <c r="H73" s="181">
        <f ca="1">MIN(TblPop[[#This Row],[Peasants]],TblPop[[#This Row],[Jobs]])</f>
        <v>1537</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646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Arch]]),(barracks_size + tech_8_3*TblTech[[#This Row],[8-3]])*TblConstr[[#This Row],[Tot Bar]])</f>
        <v>2383</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46.11</v>
      </c>
      <c r="Z73" s="124">
        <f ca="1">IF(TblPop[[#This Row],[Military%]]&lt;TblMili[[#This Row],[Draftrate]],ROUND(TblPop[[#This Row],[Peasants]]*Constants!$B$52,0), 0)</f>
        <v>0</v>
      </c>
      <c r="AA73" s="184"/>
      <c r="AB73" s="185">
        <f ca="1">Overview!$I$16 + IF(Magic!AD73&gt;0,Constants!$F$76)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44345.916666666497</v>
      </c>
      <c r="C74" s="124">
        <f ca="1">OFFSET(TblPop[[#This Row],[Peasants]],-1,0)+OFFSET(TblPop[[#This Row],[Net Peasant]],-1,0)+TblMili[[#This Row],[Release Draft]]</f>
        <v>1537</v>
      </c>
      <c r="D74" s="124">
        <f ca="1">TblMili[[#This Row],[Military]]</f>
        <v>846</v>
      </c>
      <c r="E74" s="124">
        <f ca="1">TblMili[[#This Row],[Draftees]]</f>
        <v>646</v>
      </c>
      <c r="F74" s="124">
        <f ca="1">TblPop[[#This Row],[Peasants]]+TblPop[[#This Row],[Military]]</f>
        <v>2383</v>
      </c>
      <c r="G74" s="180">
        <f ca="1">TblPop[[#This Row],[Military]]/TblPop[[#This Row],[Total]]</f>
        <v>0.35501468736886277</v>
      </c>
      <c r="H74" s="181">
        <f ca="1">MIN(TblPop[[#This Row],[Peasants]],TblPop[[#This Row],[Jobs]])</f>
        <v>1537</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646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Arch]]),(barracks_size + tech_8_3*TblTech[[#This Row],[8-3]])*TblConstr[[#This Row],[Tot Bar]])</f>
        <v>2383</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46.11</v>
      </c>
      <c r="Z74" s="124">
        <f ca="1">IF(TblPop[[#This Row],[Military%]]&lt;TblMili[[#This Row],[Draftrate]],ROUND(TblPop[[#This Row],[Peasants]]*Constants!$B$52,0), 0)</f>
        <v>0</v>
      </c>
      <c r="AA74" s="184"/>
      <c r="AB74" s="185">
        <f ca="1">Overview!$I$16 + IF(Magic!AD74&gt;0,Constants!$F$76)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44345.958333333161</v>
      </c>
      <c r="C75" s="124">
        <f ca="1">OFFSET(TblPop[[#This Row],[Peasants]],-1,0)+OFFSET(TblPop[[#This Row],[Net Peasant]],-1,0)+TblMili[[#This Row],[Release Draft]]</f>
        <v>1537</v>
      </c>
      <c r="D75" s="124">
        <f ca="1">TblMili[[#This Row],[Military]]</f>
        <v>846</v>
      </c>
      <c r="E75" s="124">
        <f ca="1">TblMili[[#This Row],[Draftees]]</f>
        <v>646</v>
      </c>
      <c r="F75" s="124">
        <f ca="1">TblPop[[#This Row],[Peasants]]+TblPop[[#This Row],[Military]]</f>
        <v>2383</v>
      </c>
      <c r="G75" s="180">
        <f ca="1">TblPop[[#This Row],[Military]]/TblPop[[#This Row],[Total]]</f>
        <v>0.35501468736886277</v>
      </c>
      <c r="H75" s="181">
        <f ca="1">MIN(TblPop[[#This Row],[Peasants]],TblPop[[#This Row],[Jobs]])</f>
        <v>1537</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646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Arch]]),(barracks_size + tech_8_3*TblTech[[#This Row],[8-3]])*TblConstr[[#This Row],[Tot Bar]])</f>
        <v>2383</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46.11</v>
      </c>
      <c r="Z75" s="124">
        <f ca="1">IF(TblPop[[#This Row],[Military%]]&lt;TblMili[[#This Row],[Draftrate]],ROUND(TblPop[[#This Row],[Peasants]]*Constants!$B$52,0), 0)</f>
        <v>0</v>
      </c>
      <c r="AA75" s="184"/>
      <c r="AB75" s="185">
        <f ca="1">Overview!$I$16 + IF(Magic!AD75&gt;0,Constants!$F$76)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44345.999999999825</v>
      </c>
      <c r="C76" s="188">
        <f ca="1">OFFSET(TblPop[[#This Row],[Peasants]],-1,0)+OFFSET(TblPop[[#This Row],[Net Peasant]],-1,0)+TblMili[[#This Row],[Release Draft]]</f>
        <v>1537</v>
      </c>
      <c r="D76" s="188">
        <f ca="1">TblMili[[#This Row],[Military]]</f>
        <v>846</v>
      </c>
      <c r="E76" s="188">
        <f ca="1">TblMili[[#This Row],[Draftees]]</f>
        <v>646</v>
      </c>
      <c r="F76" s="188">
        <f ca="1">TblPop[[#This Row],[Peasants]]+TblPop[[#This Row],[Military]]</f>
        <v>2383</v>
      </c>
      <c r="G76" s="189">
        <f ca="1">TblPop[[#This Row],[Military]]/TblPop[[#This Row],[Total]]</f>
        <v>0.35501468736886277</v>
      </c>
      <c r="H76" s="190">
        <f ca="1">MIN(TblPop[[#This Row],[Peasants]],TblPop[[#This Row],[Jobs]])</f>
        <v>1537</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646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Arch]]),(barracks_size + tech_8_3*TblTech[[#This Row],[8-3]])*TblConstr[[#This Row],[Tot Bar]])</f>
        <v>2383</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46.11</v>
      </c>
      <c r="Z76" s="188">
        <f ca="1">IF(TblPop[[#This Row],[Military%]]&lt;TblMili[[#This Row],[Draftrate]],ROUND(TblPop[[#This Row],[Peasants]]*Constants!$B$52,0), 0)</f>
        <v>0</v>
      </c>
      <c r="AA76" s="192"/>
      <c r="AB76" s="193">
        <f ca="1">Overview!$I$16 + IF(Magic!AD76&gt;0,Constants!$F$76)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44346.04166666649</v>
      </c>
      <c r="C77" s="124">
        <f ca="1">OFFSET(TblPop[[#This Row],[Peasants]],-1,0)+OFFSET(TblPop[[#This Row],[Net Peasant]],-1,0)+TblMili[[#This Row],[Release Draft]]</f>
        <v>1537</v>
      </c>
      <c r="D77" s="124">
        <f ca="1">TblMili[[#This Row],[Military]]</f>
        <v>846</v>
      </c>
      <c r="E77" s="124">
        <f ca="1">TblMili[[#This Row],[Draftees]]</f>
        <v>646</v>
      </c>
      <c r="F77" s="124">
        <f ca="1">TblPop[[#This Row],[Peasants]]+TblPop[[#This Row],[Military]]</f>
        <v>2383</v>
      </c>
      <c r="G77" s="180">
        <f ca="1">TblPop[[#This Row],[Military]]/TblPop[[#This Row],[Total]]</f>
        <v>0.35501468736886277</v>
      </c>
      <c r="H77" s="181">
        <f ca="1">MIN(TblPop[[#This Row],[Peasants]],TblPop[[#This Row],[Jobs]])</f>
        <v>1537</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646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Arch]]),(barracks_size + tech_8_3*TblTech[[#This Row],[8-3]])*TblConstr[[#This Row],[Tot Bar]])</f>
        <v>2383</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46.11</v>
      </c>
      <c r="Z77" s="124">
        <f ca="1">IF(TblPop[[#This Row],[Military%]]&lt;TblMili[[#This Row],[Draftrate]],ROUND(TblPop[[#This Row],[Peasants]]*Constants!$B$52,0), 0)</f>
        <v>0</v>
      </c>
      <c r="AA77" s="184"/>
      <c r="AB77" s="185">
        <f ca="1">Overview!$I$16 + IF(Magic!AD77&gt;0,Constants!$F$76)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44346.083333333154</v>
      </c>
      <c r="C78" s="124">
        <f ca="1">OFFSET(TblPop[[#This Row],[Peasants]],-1,0)+OFFSET(TblPop[[#This Row],[Net Peasant]],-1,0)+TblMili[[#This Row],[Release Draft]]</f>
        <v>1537</v>
      </c>
      <c r="D78" s="124">
        <f ca="1">TblMili[[#This Row],[Military]]</f>
        <v>846</v>
      </c>
      <c r="E78" s="124">
        <f ca="1">TblMili[[#This Row],[Draftees]]</f>
        <v>646</v>
      </c>
      <c r="F78" s="124">
        <f ca="1">TblPop[[#This Row],[Peasants]]+TblPop[[#This Row],[Military]]</f>
        <v>2383</v>
      </c>
      <c r="G78" s="180">
        <f ca="1">TblPop[[#This Row],[Military]]/TblPop[[#This Row],[Total]]</f>
        <v>0.35501468736886277</v>
      </c>
      <c r="H78" s="181">
        <f ca="1">MIN(TblPop[[#This Row],[Peasants]],TblPop[[#This Row],[Jobs]])</f>
        <v>1537</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646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Arch]]),(barracks_size + tech_8_3*TblTech[[#This Row],[8-3]])*TblConstr[[#This Row],[Tot Bar]])</f>
        <v>2383</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46.11</v>
      </c>
      <c r="Z78" s="124">
        <f ca="1">IF(TblPop[[#This Row],[Military%]]&lt;TblMili[[#This Row],[Draftrate]],ROUND(TblPop[[#This Row],[Peasants]]*Constants!$B$52,0), 0)</f>
        <v>0</v>
      </c>
      <c r="AA78" s="184"/>
      <c r="AB78" s="185">
        <f ca="1">Overview!$I$16 + IF(Magic!AD78&gt;0,Constants!$F$76)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44346.124999999818</v>
      </c>
      <c r="C79" s="124">
        <f ca="1">OFFSET(TblPop[[#This Row],[Peasants]],-1,0)+OFFSET(TblPop[[#This Row],[Net Peasant]],-1,0)+TblMili[[#This Row],[Release Draft]]</f>
        <v>1537</v>
      </c>
      <c r="D79" s="124">
        <f ca="1">TblMili[[#This Row],[Military]]</f>
        <v>846</v>
      </c>
      <c r="E79" s="124">
        <f ca="1">TblMili[[#This Row],[Draftees]]</f>
        <v>646</v>
      </c>
      <c r="F79" s="124">
        <f ca="1">TblPop[[#This Row],[Peasants]]+TblPop[[#This Row],[Military]]</f>
        <v>2383</v>
      </c>
      <c r="G79" s="180">
        <f ca="1">TblPop[[#This Row],[Military]]/TblPop[[#This Row],[Total]]</f>
        <v>0.35501468736886277</v>
      </c>
      <c r="H79" s="181">
        <f ca="1">MIN(TblPop[[#This Row],[Peasants]],TblPop[[#This Row],[Jobs]])</f>
        <v>1537</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646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Arch]]),(barracks_size + tech_8_3*TblTech[[#This Row],[8-3]])*TblConstr[[#This Row],[Tot Bar]])</f>
        <v>2383</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46.11</v>
      </c>
      <c r="Z79" s="124">
        <f ca="1">IF(TblPop[[#This Row],[Military%]]&lt;TblMili[[#This Row],[Draftrate]],ROUND(TblPop[[#This Row],[Peasants]]*Constants!$B$52,0), 0)</f>
        <v>0</v>
      </c>
      <c r="AA79" s="184"/>
      <c r="AB79" s="185">
        <f ca="1">Overview!$I$16 + IF(Magic!AD79&gt;0,Constants!$F$76)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44346.166666666482</v>
      </c>
      <c r="C80" s="124">
        <f ca="1">OFFSET(TblPop[[#This Row],[Peasants]],-1,0)+OFFSET(TblPop[[#This Row],[Net Peasant]],-1,0)+TblMili[[#This Row],[Release Draft]]</f>
        <v>1537</v>
      </c>
      <c r="D80" s="124">
        <f ca="1">TblMili[[#This Row],[Military]]</f>
        <v>846</v>
      </c>
      <c r="E80" s="124">
        <f ca="1">TblMili[[#This Row],[Draftees]]</f>
        <v>646</v>
      </c>
      <c r="F80" s="124">
        <f ca="1">TblPop[[#This Row],[Peasants]]+TblPop[[#This Row],[Military]]</f>
        <v>2383</v>
      </c>
      <c r="G80" s="180">
        <f ca="1">TblPop[[#This Row],[Military]]/TblPop[[#This Row],[Total]]</f>
        <v>0.35501468736886277</v>
      </c>
      <c r="H80" s="181">
        <f ca="1">MIN(TblPop[[#This Row],[Peasants]],TblPop[[#This Row],[Jobs]])</f>
        <v>1537</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646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Arch]]),(barracks_size + tech_8_3*TblTech[[#This Row],[8-3]])*TblConstr[[#This Row],[Tot Bar]])</f>
        <v>2383</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46.11</v>
      </c>
      <c r="Z80" s="124">
        <f ca="1">IF(TblPop[[#This Row],[Military%]]&lt;TblMili[[#This Row],[Draftrate]],ROUND(TblPop[[#This Row],[Peasants]]*Constants!$B$52,0), 0)</f>
        <v>0</v>
      </c>
      <c r="AA80" s="184"/>
      <c r="AB80" s="185">
        <f ca="1">Overview!$I$16 + IF(Magic!AD80&gt;0,Constants!$F$76)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44346.208333333147</v>
      </c>
      <c r="C81" s="124">
        <f ca="1">OFFSET(TblPop[[#This Row],[Peasants]],-1,0)+OFFSET(TblPop[[#This Row],[Net Peasant]],-1,0)+TblMili[[#This Row],[Release Draft]]</f>
        <v>1537</v>
      </c>
      <c r="D81" s="124">
        <f ca="1">TblMili[[#This Row],[Military]]</f>
        <v>846</v>
      </c>
      <c r="E81" s="124">
        <f ca="1">TblMili[[#This Row],[Draftees]]</f>
        <v>646</v>
      </c>
      <c r="F81" s="124">
        <f ca="1">TblPop[[#This Row],[Peasants]]+TblPop[[#This Row],[Military]]</f>
        <v>2383</v>
      </c>
      <c r="G81" s="180">
        <f ca="1">TblPop[[#This Row],[Military]]/TblPop[[#This Row],[Total]]</f>
        <v>0.35501468736886277</v>
      </c>
      <c r="H81" s="181">
        <f ca="1">MIN(TblPop[[#This Row],[Peasants]],TblPop[[#This Row],[Jobs]])</f>
        <v>1537</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646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Arch]]),(barracks_size + tech_8_3*TblTech[[#This Row],[8-3]])*TblConstr[[#This Row],[Tot Bar]])</f>
        <v>2383</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46.11</v>
      </c>
      <c r="Z81" s="124">
        <f ca="1">IF(TblPop[[#This Row],[Military%]]&lt;TblMili[[#This Row],[Draftrate]],ROUND(TblPop[[#This Row],[Peasants]]*Constants!$B$52,0), 0)</f>
        <v>0</v>
      </c>
      <c r="AA81" s="184"/>
      <c r="AB81" s="185">
        <f ca="1">Overview!$I$16 + IF(Magic!AD81&gt;0,Constants!$F$76)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44346.249999999811</v>
      </c>
      <c r="C82" s="124">
        <f ca="1">OFFSET(TblPop[[#This Row],[Peasants]],-1,0)+OFFSET(TblPop[[#This Row],[Net Peasant]],-1,0)+TblMili[[#This Row],[Release Draft]]</f>
        <v>1537</v>
      </c>
      <c r="D82" s="124">
        <f ca="1">TblMili[[#This Row],[Military]]</f>
        <v>846</v>
      </c>
      <c r="E82" s="124">
        <f ca="1">TblMili[[#This Row],[Draftees]]</f>
        <v>646</v>
      </c>
      <c r="F82" s="124">
        <f ca="1">TblPop[[#This Row],[Peasants]]+TblPop[[#This Row],[Military]]</f>
        <v>2383</v>
      </c>
      <c r="G82" s="180">
        <f ca="1">TblPop[[#This Row],[Military]]/TblPop[[#This Row],[Total]]</f>
        <v>0.35501468736886277</v>
      </c>
      <c r="H82" s="181">
        <f ca="1">MIN(TblPop[[#This Row],[Peasants]],TblPop[[#This Row],[Jobs]])</f>
        <v>1537</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646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Arch]]),(barracks_size + tech_8_3*TblTech[[#This Row],[8-3]])*TblConstr[[#This Row],[Tot Bar]])</f>
        <v>2383</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46.11</v>
      </c>
      <c r="Z82" s="124">
        <f ca="1">IF(TblPop[[#This Row],[Military%]]&lt;TblMili[[#This Row],[Draftrate]],ROUND(TblPop[[#This Row],[Peasants]]*Constants!$B$52,0), 0)</f>
        <v>0</v>
      </c>
      <c r="AA82" s="184"/>
      <c r="AB82" s="185">
        <f ca="1">Overview!$I$16 + IF(Magic!AD82&gt;0,Constants!$F$76)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44346.291666666475</v>
      </c>
      <c r="C83" s="124">
        <f ca="1">OFFSET(TblPop[[#This Row],[Peasants]],-1,0)+OFFSET(TblPop[[#This Row],[Net Peasant]],-1,0)+TblMili[[#This Row],[Release Draft]]</f>
        <v>1537</v>
      </c>
      <c r="D83" s="124">
        <f ca="1">TblMili[[#This Row],[Military]]</f>
        <v>846</v>
      </c>
      <c r="E83" s="124">
        <f ca="1">TblMili[[#This Row],[Draftees]]</f>
        <v>646</v>
      </c>
      <c r="F83" s="124">
        <f ca="1">TblPop[[#This Row],[Peasants]]+TblPop[[#This Row],[Military]]</f>
        <v>2383</v>
      </c>
      <c r="G83" s="180">
        <f ca="1">TblPop[[#This Row],[Military]]/TblPop[[#This Row],[Total]]</f>
        <v>0.35501468736886277</v>
      </c>
      <c r="H83" s="181">
        <f ca="1">MIN(TblPop[[#This Row],[Peasants]],TblPop[[#This Row],[Jobs]])</f>
        <v>1537</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646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Arch]]),(barracks_size + tech_8_3*TblTech[[#This Row],[8-3]])*TblConstr[[#This Row],[Tot Bar]])</f>
        <v>2383</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46.11</v>
      </c>
      <c r="Z83" s="124">
        <f ca="1">IF(TblPop[[#This Row],[Military%]]&lt;TblMili[[#This Row],[Draftrate]],ROUND(TblPop[[#This Row],[Peasants]]*Constants!$B$52,0), 0)</f>
        <v>0</v>
      </c>
      <c r="AA83" s="184"/>
      <c r="AB83" s="185">
        <f ca="1">Overview!$I$16 + IF(Magic!AD83&gt;0,Constants!$F$76)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44346.333333333139</v>
      </c>
      <c r="C84" s="124">
        <f ca="1">OFFSET(TblPop[[#This Row],[Peasants]],-1,0)+OFFSET(TblPop[[#This Row],[Net Peasant]],-1,0)+TblMili[[#This Row],[Release Draft]]</f>
        <v>1537</v>
      </c>
      <c r="D84" s="124">
        <f ca="1">TblMili[[#This Row],[Military]]</f>
        <v>846</v>
      </c>
      <c r="E84" s="124">
        <f ca="1">TblMili[[#This Row],[Draftees]]</f>
        <v>646</v>
      </c>
      <c r="F84" s="124">
        <f ca="1">TblPop[[#This Row],[Peasants]]+TblPop[[#This Row],[Military]]</f>
        <v>2383</v>
      </c>
      <c r="G84" s="180">
        <f ca="1">TblPop[[#This Row],[Military]]/TblPop[[#This Row],[Total]]</f>
        <v>0.35501468736886277</v>
      </c>
      <c r="H84" s="181">
        <f ca="1">MIN(TblPop[[#This Row],[Peasants]],TblPop[[#This Row],[Jobs]])</f>
        <v>1537</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646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Arch]]),(barracks_size + tech_8_3*TblTech[[#This Row],[8-3]])*TblConstr[[#This Row],[Tot Bar]])</f>
        <v>2383</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46.11</v>
      </c>
      <c r="Z84" s="124">
        <f ca="1">IF(TblPop[[#This Row],[Military%]]&lt;TblMili[[#This Row],[Draftrate]],ROUND(TblPop[[#This Row],[Peasants]]*Constants!$B$52,0), 0)</f>
        <v>0</v>
      </c>
      <c r="AA84" s="184"/>
      <c r="AB84" s="185">
        <f ca="1">Overview!$I$16 + IF(Magic!AD84&gt;0,Constants!$F$76)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44346.374999999804</v>
      </c>
      <c r="C85" s="124">
        <f ca="1">OFFSET(TblPop[[#This Row],[Peasants]],-1,0)+OFFSET(TblPop[[#This Row],[Net Peasant]],-1,0)+TblMili[[#This Row],[Release Draft]]</f>
        <v>1537</v>
      </c>
      <c r="D85" s="124">
        <f ca="1">TblMili[[#This Row],[Military]]</f>
        <v>846</v>
      </c>
      <c r="E85" s="124">
        <f ca="1">TblMili[[#This Row],[Draftees]]</f>
        <v>646</v>
      </c>
      <c r="F85" s="124">
        <f ca="1">TblPop[[#This Row],[Peasants]]+TblPop[[#This Row],[Military]]</f>
        <v>2383</v>
      </c>
      <c r="G85" s="180">
        <f ca="1">TblPop[[#This Row],[Military]]/TblPop[[#This Row],[Total]]</f>
        <v>0.35501468736886277</v>
      </c>
      <c r="H85" s="181">
        <f ca="1">MIN(TblPop[[#This Row],[Peasants]],TblPop[[#This Row],[Jobs]])</f>
        <v>1537</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646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Arch]]),(barracks_size + tech_8_3*TblTech[[#This Row],[8-3]])*TblConstr[[#This Row],[Tot Bar]])</f>
        <v>2383</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46.11</v>
      </c>
      <c r="Z85" s="124">
        <f ca="1">IF(TblPop[[#This Row],[Military%]]&lt;TblMili[[#This Row],[Draftrate]],ROUND(TblPop[[#This Row],[Peasants]]*Constants!$B$52,0), 0)</f>
        <v>0</v>
      </c>
      <c r="AA85" s="184"/>
      <c r="AB85" s="185">
        <f ca="1">Overview!$I$16 + IF(Magic!AD85&gt;0,Constants!$F$76)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44346.416666666468</v>
      </c>
      <c r="C86" s="124">
        <f ca="1">OFFSET(TblPop[[#This Row],[Peasants]],-1,0)+OFFSET(TblPop[[#This Row],[Net Peasant]],-1,0)+TblMili[[#This Row],[Release Draft]]</f>
        <v>1537</v>
      </c>
      <c r="D86" s="124">
        <f ca="1">TblMili[[#This Row],[Military]]</f>
        <v>846</v>
      </c>
      <c r="E86" s="124">
        <f ca="1">TblMili[[#This Row],[Draftees]]</f>
        <v>646</v>
      </c>
      <c r="F86" s="124">
        <f ca="1">TblPop[[#This Row],[Peasants]]+TblPop[[#This Row],[Military]]</f>
        <v>2383</v>
      </c>
      <c r="G86" s="180">
        <f ca="1">TblPop[[#This Row],[Military]]/TblPop[[#This Row],[Total]]</f>
        <v>0.35501468736886277</v>
      </c>
      <c r="H86" s="181">
        <f ca="1">MIN(TblPop[[#This Row],[Peasants]],TblPop[[#This Row],[Jobs]])</f>
        <v>1537</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646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Arch]]),(barracks_size + tech_8_3*TblTech[[#This Row],[8-3]])*TblConstr[[#This Row],[Tot Bar]])</f>
        <v>2383</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46.11</v>
      </c>
      <c r="Z86" s="124">
        <f ca="1">IF(TblPop[[#This Row],[Military%]]&lt;TblMili[[#This Row],[Draftrate]],ROUND(TblPop[[#This Row],[Peasants]]*Constants!$B$52,0), 0)</f>
        <v>0</v>
      </c>
      <c r="AA86" s="184"/>
      <c r="AB86" s="185">
        <f ca="1">Overview!$I$16 + IF(Magic!AD86&gt;0,Constants!$F$76)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44346.458333333132</v>
      </c>
      <c r="C87" s="124">
        <f ca="1">OFFSET(TblPop[[#This Row],[Peasants]],-1,0)+OFFSET(TblPop[[#This Row],[Net Peasant]],-1,0)+TblMili[[#This Row],[Release Draft]]</f>
        <v>1537</v>
      </c>
      <c r="D87" s="124">
        <f ca="1">TblMili[[#This Row],[Military]]</f>
        <v>846</v>
      </c>
      <c r="E87" s="124">
        <f ca="1">TblMili[[#This Row],[Draftees]]</f>
        <v>646</v>
      </c>
      <c r="F87" s="124">
        <f ca="1">TblPop[[#This Row],[Peasants]]+TblPop[[#This Row],[Military]]</f>
        <v>2383</v>
      </c>
      <c r="G87" s="180">
        <f ca="1">TblPop[[#This Row],[Military]]/TblPop[[#This Row],[Total]]</f>
        <v>0.35501468736886277</v>
      </c>
      <c r="H87" s="181">
        <f ca="1">MIN(TblPop[[#This Row],[Peasants]],TblPop[[#This Row],[Jobs]])</f>
        <v>1537</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646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Arch]]),(barracks_size + tech_8_3*TblTech[[#This Row],[8-3]])*TblConstr[[#This Row],[Tot Bar]])</f>
        <v>2383</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46.11</v>
      </c>
      <c r="Z87" s="124">
        <f ca="1">IF(TblPop[[#This Row],[Military%]]&lt;TblMili[[#This Row],[Draftrate]],ROUND(TblPop[[#This Row],[Peasants]]*Constants!$B$52,0), 0)</f>
        <v>0</v>
      </c>
      <c r="AA87" s="184"/>
      <c r="AB87" s="185">
        <f ca="1">Overview!$I$16 + IF(Magic!AD87&gt;0,Constants!$F$76)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44346.499999999796</v>
      </c>
      <c r="C88" s="124">
        <f ca="1">OFFSET(TblPop[[#This Row],[Peasants]],-1,0)+OFFSET(TblPop[[#This Row],[Net Peasant]],-1,0)+TblMili[[#This Row],[Release Draft]]</f>
        <v>1537</v>
      </c>
      <c r="D88" s="124">
        <f ca="1">TblMili[[#This Row],[Military]]</f>
        <v>846</v>
      </c>
      <c r="E88" s="124">
        <f ca="1">TblMili[[#This Row],[Draftees]]</f>
        <v>646</v>
      </c>
      <c r="F88" s="124">
        <f ca="1">TblPop[[#This Row],[Peasants]]+TblPop[[#This Row],[Military]]</f>
        <v>2383</v>
      </c>
      <c r="G88" s="180">
        <f ca="1">TblPop[[#This Row],[Military]]/TblPop[[#This Row],[Total]]</f>
        <v>0.35501468736886277</v>
      </c>
      <c r="H88" s="181">
        <f ca="1">MIN(TblPop[[#This Row],[Peasants]],TblPop[[#This Row],[Jobs]])</f>
        <v>1537</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646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Arch]]),(barracks_size + tech_8_3*TblTech[[#This Row],[8-3]])*TblConstr[[#This Row],[Tot Bar]])</f>
        <v>2383</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46.11</v>
      </c>
      <c r="Z88" s="124">
        <f ca="1">IF(TblPop[[#This Row],[Military%]]&lt;TblMili[[#This Row],[Draftrate]],ROUND(TblPop[[#This Row],[Peasants]]*Constants!$B$52,0), 0)</f>
        <v>0</v>
      </c>
      <c r="AA88" s="184"/>
      <c r="AB88" s="185">
        <f ca="1">Overview!$I$16 + IF(Magic!AD88&gt;0,Constants!$F$76)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44346.541666666461</v>
      </c>
      <c r="C89" s="124">
        <f ca="1">OFFSET(TblPop[[#This Row],[Peasants]],-1,0)+OFFSET(TblPop[[#This Row],[Net Peasant]],-1,0)+TblMili[[#This Row],[Release Draft]]</f>
        <v>1537</v>
      </c>
      <c r="D89" s="124">
        <f ca="1">TblMili[[#This Row],[Military]]</f>
        <v>846</v>
      </c>
      <c r="E89" s="124">
        <f ca="1">TblMili[[#This Row],[Draftees]]</f>
        <v>646</v>
      </c>
      <c r="F89" s="124">
        <f ca="1">TblPop[[#This Row],[Peasants]]+TblPop[[#This Row],[Military]]</f>
        <v>2383</v>
      </c>
      <c r="G89" s="180">
        <f ca="1">TblPop[[#This Row],[Military]]/TblPop[[#This Row],[Total]]</f>
        <v>0.35501468736886277</v>
      </c>
      <c r="H89" s="181">
        <f ca="1">MIN(TblPop[[#This Row],[Peasants]],TblPop[[#This Row],[Jobs]])</f>
        <v>1537</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646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Arch]]),(barracks_size + tech_8_3*TblTech[[#This Row],[8-3]])*TblConstr[[#This Row],[Tot Bar]])</f>
        <v>2383</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46.11</v>
      </c>
      <c r="Z89" s="124">
        <f ca="1">IF(TblPop[[#This Row],[Military%]]&lt;TblMili[[#This Row],[Draftrate]],ROUND(TblPop[[#This Row],[Peasants]]*Constants!$B$52,0), 0)</f>
        <v>0</v>
      </c>
      <c r="AA89" s="184"/>
      <c r="AB89" s="185">
        <f ca="1">Overview!$I$16 + IF(Magic!AD89&gt;0,Constants!$F$76)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44346.583333333125</v>
      </c>
      <c r="C90" s="124">
        <f ca="1">OFFSET(TblPop[[#This Row],[Peasants]],-1,0)+OFFSET(TblPop[[#This Row],[Net Peasant]],-1,0)+TblMili[[#This Row],[Release Draft]]</f>
        <v>1537</v>
      </c>
      <c r="D90" s="124">
        <f ca="1">TblMili[[#This Row],[Military]]</f>
        <v>846</v>
      </c>
      <c r="E90" s="124">
        <f ca="1">TblMili[[#This Row],[Draftees]]</f>
        <v>646</v>
      </c>
      <c r="F90" s="124">
        <f ca="1">TblPop[[#This Row],[Peasants]]+TblPop[[#This Row],[Military]]</f>
        <v>2383</v>
      </c>
      <c r="G90" s="180">
        <f ca="1">TblPop[[#This Row],[Military]]/TblPop[[#This Row],[Total]]</f>
        <v>0.35501468736886277</v>
      </c>
      <c r="H90" s="181">
        <f ca="1">MIN(TblPop[[#This Row],[Peasants]],TblPop[[#This Row],[Jobs]])</f>
        <v>1537</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646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Arch]]),(barracks_size + tech_8_3*TblTech[[#This Row],[8-3]])*TblConstr[[#This Row],[Tot Bar]])</f>
        <v>2383</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46.11</v>
      </c>
      <c r="Z90" s="124">
        <f ca="1">IF(TblPop[[#This Row],[Military%]]&lt;TblMili[[#This Row],[Draftrate]],ROUND(TblPop[[#This Row],[Peasants]]*Constants!$B$52,0), 0)</f>
        <v>0</v>
      </c>
      <c r="AA90" s="184"/>
      <c r="AB90" s="185">
        <f ca="1">Overview!$I$16 + IF(Magic!AD90&gt;0,Constants!$F$76)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44346.624999999789</v>
      </c>
      <c r="C91" s="124">
        <f ca="1">OFFSET(TblPop[[#This Row],[Peasants]],-1,0)+OFFSET(TblPop[[#This Row],[Net Peasant]],-1,0)+TblMili[[#This Row],[Release Draft]]</f>
        <v>1537</v>
      </c>
      <c r="D91" s="124">
        <f ca="1">TblMili[[#This Row],[Military]]</f>
        <v>846</v>
      </c>
      <c r="E91" s="124">
        <f ca="1">TblMili[[#This Row],[Draftees]]</f>
        <v>646</v>
      </c>
      <c r="F91" s="124">
        <f ca="1">TblPop[[#This Row],[Peasants]]+TblPop[[#This Row],[Military]]</f>
        <v>2383</v>
      </c>
      <c r="G91" s="180">
        <f ca="1">TblPop[[#This Row],[Military]]/TblPop[[#This Row],[Total]]</f>
        <v>0.35501468736886277</v>
      </c>
      <c r="H91" s="181">
        <f ca="1">MIN(TblPop[[#This Row],[Peasants]],TblPop[[#This Row],[Jobs]])</f>
        <v>1537</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646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Arch]]),(barracks_size + tech_8_3*TblTech[[#This Row],[8-3]])*TblConstr[[#This Row],[Tot Bar]])</f>
        <v>2383</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46.11</v>
      </c>
      <c r="Z91" s="124">
        <f ca="1">IF(TblPop[[#This Row],[Military%]]&lt;TblMili[[#This Row],[Draftrate]],ROUND(TblPop[[#This Row],[Peasants]]*Constants!$B$52,0), 0)</f>
        <v>0</v>
      </c>
      <c r="AA91" s="184"/>
      <c r="AB91" s="185">
        <f ca="1">Overview!$I$16 + IF(Magic!AD91&gt;0,Constants!$F$76)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44346.666666666453</v>
      </c>
      <c r="C92" s="124">
        <f ca="1">OFFSET(TblPop[[#This Row],[Peasants]],-1,0)+OFFSET(TblPop[[#This Row],[Net Peasant]],-1,0)+TblMili[[#This Row],[Release Draft]]</f>
        <v>1537</v>
      </c>
      <c r="D92" s="124">
        <f ca="1">TblMili[[#This Row],[Military]]</f>
        <v>846</v>
      </c>
      <c r="E92" s="124">
        <f ca="1">TblMili[[#This Row],[Draftees]]</f>
        <v>646</v>
      </c>
      <c r="F92" s="124">
        <f ca="1">TblPop[[#This Row],[Peasants]]+TblPop[[#This Row],[Military]]</f>
        <v>2383</v>
      </c>
      <c r="G92" s="180">
        <f ca="1">TblPop[[#This Row],[Military]]/TblPop[[#This Row],[Total]]</f>
        <v>0.35501468736886277</v>
      </c>
      <c r="H92" s="181">
        <f ca="1">MIN(TblPop[[#This Row],[Peasants]],TblPop[[#This Row],[Jobs]])</f>
        <v>1537</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646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Arch]]),(barracks_size + tech_8_3*TblTech[[#This Row],[8-3]])*TblConstr[[#This Row],[Tot Bar]])</f>
        <v>2383</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46.11</v>
      </c>
      <c r="Z92" s="124">
        <f ca="1">IF(TblPop[[#This Row],[Military%]]&lt;TblMili[[#This Row],[Draftrate]],ROUND(TblPop[[#This Row],[Peasants]]*Constants!$B$52,0), 0)</f>
        <v>0</v>
      </c>
      <c r="AA92" s="184"/>
      <c r="AB92" s="185">
        <f ca="1">Overview!$I$16 + IF(Magic!AD92&gt;0,Constants!$F$76)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44346.708333333117</v>
      </c>
      <c r="C93" s="124">
        <f ca="1">OFFSET(TblPop[[#This Row],[Peasants]],-1,0)+OFFSET(TblPop[[#This Row],[Net Peasant]],-1,0)+TblMili[[#This Row],[Release Draft]]</f>
        <v>1537</v>
      </c>
      <c r="D93" s="124">
        <f ca="1">TblMili[[#This Row],[Military]]</f>
        <v>846</v>
      </c>
      <c r="E93" s="124">
        <f ca="1">TblMili[[#This Row],[Draftees]]</f>
        <v>646</v>
      </c>
      <c r="F93" s="124">
        <f ca="1">TblPop[[#This Row],[Peasants]]+TblPop[[#This Row],[Military]]</f>
        <v>2383</v>
      </c>
      <c r="G93" s="180">
        <f ca="1">TblPop[[#This Row],[Military]]/TblPop[[#This Row],[Total]]</f>
        <v>0.35501468736886277</v>
      </c>
      <c r="H93" s="181">
        <f ca="1">MIN(TblPop[[#This Row],[Peasants]],TblPop[[#This Row],[Jobs]])</f>
        <v>1537</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646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Arch]]),(barracks_size + tech_8_3*TblTech[[#This Row],[8-3]])*TblConstr[[#This Row],[Tot Bar]])</f>
        <v>2383</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46.11</v>
      </c>
      <c r="Z93" s="124">
        <f ca="1">IF(TblPop[[#This Row],[Military%]]&lt;TblMili[[#This Row],[Draftrate]],ROUND(TblPop[[#This Row],[Peasants]]*Constants!$B$52,0), 0)</f>
        <v>0</v>
      </c>
      <c r="AA93" s="184"/>
      <c r="AB93" s="185">
        <f ca="1">Overview!$I$16 + IF(Magic!AD93&gt;0,Constants!$F$76)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44346.749999999782</v>
      </c>
      <c r="C94" s="124">
        <f ca="1">OFFSET(TblPop[[#This Row],[Peasants]],-1,0)+OFFSET(TblPop[[#This Row],[Net Peasant]],-1,0)+TblMili[[#This Row],[Release Draft]]</f>
        <v>1537</v>
      </c>
      <c r="D94" s="124">
        <f ca="1">TblMili[[#This Row],[Military]]</f>
        <v>846</v>
      </c>
      <c r="E94" s="124">
        <f ca="1">TblMili[[#This Row],[Draftees]]</f>
        <v>646</v>
      </c>
      <c r="F94" s="124">
        <f ca="1">TblPop[[#This Row],[Peasants]]+TblPop[[#This Row],[Military]]</f>
        <v>2383</v>
      </c>
      <c r="G94" s="180">
        <f ca="1">TblPop[[#This Row],[Military]]/TblPop[[#This Row],[Total]]</f>
        <v>0.35501468736886277</v>
      </c>
      <c r="H94" s="181">
        <f ca="1">MIN(TblPop[[#This Row],[Peasants]],TblPop[[#This Row],[Jobs]])</f>
        <v>1537</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646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Arch]]),(barracks_size + tech_8_3*TblTech[[#This Row],[8-3]])*TblConstr[[#This Row],[Tot Bar]])</f>
        <v>2383</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46.11</v>
      </c>
      <c r="Z94" s="124">
        <f ca="1">IF(TblPop[[#This Row],[Military%]]&lt;TblMili[[#This Row],[Draftrate]],ROUND(TblPop[[#This Row],[Peasants]]*Constants!$B$52,0), 0)</f>
        <v>0</v>
      </c>
      <c r="AA94" s="184"/>
      <c r="AB94" s="185">
        <f ca="1">Overview!$I$16 + IF(Magic!AD94&gt;0,Constants!$F$76)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44346.791666666446</v>
      </c>
      <c r="C95" s="124">
        <f ca="1">OFFSET(TblPop[[#This Row],[Peasants]],-1,0)+OFFSET(TblPop[[#This Row],[Net Peasant]],-1,0)+TblMili[[#This Row],[Release Draft]]</f>
        <v>1537</v>
      </c>
      <c r="D95" s="124">
        <f ca="1">TblMili[[#This Row],[Military]]</f>
        <v>846</v>
      </c>
      <c r="E95" s="124">
        <f ca="1">TblMili[[#This Row],[Draftees]]</f>
        <v>646</v>
      </c>
      <c r="F95" s="124">
        <f ca="1">TblPop[[#This Row],[Peasants]]+TblPop[[#This Row],[Military]]</f>
        <v>2383</v>
      </c>
      <c r="G95" s="180">
        <f ca="1">TblPop[[#This Row],[Military]]/TblPop[[#This Row],[Total]]</f>
        <v>0.35501468736886277</v>
      </c>
      <c r="H95" s="181">
        <f ca="1">MIN(TblPop[[#This Row],[Peasants]],TblPop[[#This Row],[Jobs]])</f>
        <v>1537</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646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Arch]]),(barracks_size + tech_8_3*TblTech[[#This Row],[8-3]])*TblConstr[[#This Row],[Tot Bar]])</f>
        <v>2383</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46.11</v>
      </c>
      <c r="Z95" s="124">
        <f ca="1">IF(TblPop[[#This Row],[Military%]]&lt;TblMili[[#This Row],[Draftrate]],ROUND(TblPop[[#This Row],[Peasants]]*Constants!$B$52,0), 0)</f>
        <v>0</v>
      </c>
      <c r="AA95" s="184"/>
      <c r="AB95" s="185">
        <f ca="1">Overview!$I$16 + IF(Magic!AD95&gt;0,Constants!$F$76)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44346.83333333311</v>
      </c>
      <c r="C96" s="124">
        <f ca="1">OFFSET(TblPop[[#This Row],[Peasants]],-1,0)+OFFSET(TblPop[[#This Row],[Net Peasant]],-1,0)+TblMili[[#This Row],[Release Draft]]</f>
        <v>1537</v>
      </c>
      <c r="D96" s="124">
        <f ca="1">TblMili[[#This Row],[Military]]</f>
        <v>846</v>
      </c>
      <c r="E96" s="124">
        <f ca="1">TblMili[[#This Row],[Draftees]]</f>
        <v>646</v>
      </c>
      <c r="F96" s="124">
        <f ca="1">TblPop[[#This Row],[Peasants]]+TblPop[[#This Row],[Military]]</f>
        <v>2383</v>
      </c>
      <c r="G96" s="180">
        <f ca="1">TblPop[[#This Row],[Military]]/TblPop[[#This Row],[Total]]</f>
        <v>0.35501468736886277</v>
      </c>
      <c r="H96" s="181">
        <f ca="1">MIN(TblPop[[#This Row],[Peasants]],TblPop[[#This Row],[Jobs]])</f>
        <v>1537</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646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Arch]]),(barracks_size + tech_8_3*TblTech[[#This Row],[8-3]])*TblConstr[[#This Row],[Tot Bar]])</f>
        <v>2383</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46.11</v>
      </c>
      <c r="Z96" s="124">
        <f ca="1">IF(TblPop[[#This Row],[Military%]]&lt;TblMili[[#This Row],[Draftrate]],ROUND(TblPop[[#This Row],[Peasants]]*Constants!$B$52,0), 0)</f>
        <v>0</v>
      </c>
      <c r="AA96" s="184"/>
      <c r="AB96" s="185">
        <f ca="1">Overview!$I$16 + IF(Magic!AD96&gt;0,Constants!$F$76)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44346.874999999774</v>
      </c>
      <c r="C97" s="124">
        <f ca="1">OFFSET(TblPop[[#This Row],[Peasants]],-1,0)+OFFSET(TblPop[[#This Row],[Net Peasant]],-1,0)+TblMili[[#This Row],[Release Draft]]</f>
        <v>1537</v>
      </c>
      <c r="D97" s="124">
        <f ca="1">TblMili[[#This Row],[Military]]</f>
        <v>846</v>
      </c>
      <c r="E97" s="124">
        <f ca="1">TblMili[[#This Row],[Draftees]]</f>
        <v>646</v>
      </c>
      <c r="F97" s="124">
        <f ca="1">TblPop[[#This Row],[Peasants]]+TblPop[[#This Row],[Military]]</f>
        <v>2383</v>
      </c>
      <c r="G97" s="180">
        <f ca="1">TblPop[[#This Row],[Military]]/TblPop[[#This Row],[Total]]</f>
        <v>0.35501468736886277</v>
      </c>
      <c r="H97" s="181">
        <f ca="1">MIN(TblPop[[#This Row],[Peasants]],TblPop[[#This Row],[Jobs]])</f>
        <v>1537</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646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Arch]]),(barracks_size + tech_8_3*TblTech[[#This Row],[8-3]])*TblConstr[[#This Row],[Tot Bar]])</f>
        <v>2383</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46.11</v>
      </c>
      <c r="Z97" s="124">
        <f ca="1">IF(TblPop[[#This Row],[Military%]]&lt;TblMili[[#This Row],[Draftrate]],ROUND(TblPop[[#This Row],[Peasants]]*Constants!$B$52,0), 0)</f>
        <v>0</v>
      </c>
      <c r="AA97" s="184"/>
      <c r="AB97" s="185">
        <f ca="1">Overview!$I$16 + IF(Magic!AD97&gt;0,Constants!$F$76)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44346.916666666439</v>
      </c>
      <c r="C98" s="124">
        <f ca="1">OFFSET(TblPop[[#This Row],[Peasants]],-1,0)+OFFSET(TblPop[[#This Row],[Net Peasant]],-1,0)+TblMili[[#This Row],[Release Draft]]</f>
        <v>1537</v>
      </c>
      <c r="D98" s="124">
        <f ca="1">TblMili[[#This Row],[Military]]</f>
        <v>846</v>
      </c>
      <c r="E98" s="124">
        <f ca="1">TblMili[[#This Row],[Draftees]]</f>
        <v>646</v>
      </c>
      <c r="F98" s="124">
        <f ca="1">TblPop[[#This Row],[Peasants]]+TblPop[[#This Row],[Military]]</f>
        <v>2383</v>
      </c>
      <c r="G98" s="180">
        <f ca="1">TblPop[[#This Row],[Military]]/TblPop[[#This Row],[Total]]</f>
        <v>0.35501468736886277</v>
      </c>
      <c r="H98" s="181">
        <f ca="1">MIN(TblPop[[#This Row],[Peasants]],TblPop[[#This Row],[Jobs]])</f>
        <v>1537</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646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Arch]]),(barracks_size + tech_8_3*TblTech[[#This Row],[8-3]])*TblConstr[[#This Row],[Tot Bar]])</f>
        <v>2383</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46.11</v>
      </c>
      <c r="Z98" s="124">
        <f ca="1">IF(TblPop[[#This Row],[Military%]]&lt;TblMili[[#This Row],[Draftrate]],ROUND(TblPop[[#This Row],[Peasants]]*Constants!$B$52,0), 0)</f>
        <v>0</v>
      </c>
      <c r="AA98" s="184"/>
      <c r="AB98" s="185">
        <f ca="1">Overview!$I$16 + IF(Magic!AD98&gt;0,Constants!$F$76)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44346.958333333103</v>
      </c>
      <c r="C99" s="124">
        <f ca="1">OFFSET(TblPop[[#This Row],[Peasants]],-1,0)+OFFSET(TblPop[[#This Row],[Net Peasant]],-1,0)+TblMili[[#This Row],[Release Draft]]</f>
        <v>1537</v>
      </c>
      <c r="D99" s="124">
        <f ca="1">TblMili[[#This Row],[Military]]</f>
        <v>846</v>
      </c>
      <c r="E99" s="124">
        <f ca="1">TblMili[[#This Row],[Draftees]]</f>
        <v>646</v>
      </c>
      <c r="F99" s="124">
        <f ca="1">TblPop[[#This Row],[Peasants]]+TblPop[[#This Row],[Military]]</f>
        <v>2383</v>
      </c>
      <c r="G99" s="180">
        <f ca="1">TblPop[[#This Row],[Military]]/TblPop[[#This Row],[Total]]</f>
        <v>0.35501468736886277</v>
      </c>
      <c r="H99" s="181">
        <f ca="1">MIN(TblPop[[#This Row],[Peasants]],TblPop[[#This Row],[Jobs]])</f>
        <v>1537</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646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Arch]]),(barracks_size + tech_8_3*TblTech[[#This Row],[8-3]])*TblConstr[[#This Row],[Tot Bar]])</f>
        <v>2383</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46.11</v>
      </c>
      <c r="Z99" s="124">
        <f ca="1">IF(TblPop[[#This Row],[Military%]]&lt;TblMili[[#This Row],[Draftrate]],ROUND(TblPop[[#This Row],[Peasants]]*Constants!$B$52,0), 0)</f>
        <v>0</v>
      </c>
      <c r="AA99" s="184"/>
      <c r="AB99" s="185">
        <f ca="1">Overview!$I$16 + IF(Magic!AD99&gt;0,Constants!$F$76)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44346.999999999767</v>
      </c>
      <c r="C100" s="124">
        <f ca="1">OFFSET(TblPop[[#This Row],[Peasants]],-1,0)+OFFSET(TblPop[[#This Row],[Net Peasant]],-1,0)+TblMili[[#This Row],[Release Draft]]</f>
        <v>1537</v>
      </c>
      <c r="D100" s="124">
        <f ca="1">TblMili[[#This Row],[Military]]</f>
        <v>846</v>
      </c>
      <c r="E100" s="124">
        <f ca="1">TblMili[[#This Row],[Draftees]]</f>
        <v>646</v>
      </c>
      <c r="F100" s="124">
        <f ca="1">TblPop[[#This Row],[Peasants]]+TblPop[[#This Row],[Military]]</f>
        <v>2383</v>
      </c>
      <c r="G100" s="180">
        <f ca="1">TblPop[[#This Row],[Military]]/TblPop[[#This Row],[Total]]</f>
        <v>0.35501468736886277</v>
      </c>
      <c r="H100" s="181">
        <f ca="1">MIN(TblPop[[#This Row],[Peasants]],TblPop[[#This Row],[Jobs]])</f>
        <v>1537</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646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Arch]]),(barracks_size + tech_8_3*TblTech[[#This Row],[8-3]])*TblConstr[[#This Row],[Tot Bar]])</f>
        <v>2383</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46.11</v>
      </c>
      <c r="Z100" s="124">
        <f ca="1">IF(TblPop[[#This Row],[Military%]]&lt;TblMili[[#This Row],[Draftrate]],ROUND(TblPop[[#This Row],[Peasants]]*Constants!$B$52,0), 0)</f>
        <v>0</v>
      </c>
      <c r="AA100" s="184"/>
      <c r="AB100" s="185">
        <f ca="1">Overview!$I$16 + IF(Magic!AD100&gt;0,Constants!$F$76)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44347.041666666431</v>
      </c>
      <c r="C101" s="124">
        <f ca="1">OFFSET(TblPop[[#This Row],[Peasants]],-1,0)+OFFSET(TblPop[[#This Row],[Net Peasant]],-1,0)+TblMili[[#This Row],[Release Draft]]</f>
        <v>1537</v>
      </c>
      <c r="D101" s="124">
        <f ca="1">TblMili[[#This Row],[Military]]</f>
        <v>846</v>
      </c>
      <c r="E101" s="124">
        <f ca="1">TblMili[[#This Row],[Draftees]]</f>
        <v>646</v>
      </c>
      <c r="F101" s="124">
        <f ca="1">TblPop[[#This Row],[Peasants]]+TblPop[[#This Row],[Military]]</f>
        <v>2383</v>
      </c>
      <c r="G101" s="180">
        <f ca="1">TblPop[[#This Row],[Military]]/TblPop[[#This Row],[Total]]</f>
        <v>0.35501468736886277</v>
      </c>
      <c r="H101" s="181">
        <f ca="1">MIN(TblPop[[#This Row],[Peasants]],TblPop[[#This Row],[Jobs]])</f>
        <v>1537</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646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Arch]]),(barracks_size + tech_8_3*TblTech[[#This Row],[8-3]])*TblConstr[[#This Row],[Tot Bar]])</f>
        <v>2383</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46.11</v>
      </c>
      <c r="Z101" s="124">
        <f ca="1">IF(TblPop[[#This Row],[Military%]]&lt;TblMili[[#This Row],[Draftrate]],ROUND(TblPop[[#This Row],[Peasants]]*Constants!$B$52,0), 0)</f>
        <v>0</v>
      </c>
      <c r="AA101" s="184"/>
      <c r="AB101" s="185">
        <f ca="1">Overview!$I$16 + IF(Magic!AD101&gt;0,Constants!$F$76)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44347.083333333096</v>
      </c>
      <c r="C102" s="124">
        <f ca="1">OFFSET(TblPop[[#This Row],[Peasants]],-1,0)+OFFSET(TblPop[[#This Row],[Net Peasant]],-1,0)+TblMili[[#This Row],[Release Draft]]</f>
        <v>1537</v>
      </c>
      <c r="D102" s="124">
        <f ca="1">TblMili[[#This Row],[Military]]</f>
        <v>846</v>
      </c>
      <c r="E102" s="124">
        <f ca="1">TblMili[[#This Row],[Draftees]]</f>
        <v>646</v>
      </c>
      <c r="F102" s="124">
        <f ca="1">TblPop[[#This Row],[Peasants]]+TblPop[[#This Row],[Military]]</f>
        <v>2383</v>
      </c>
      <c r="G102" s="180">
        <f ca="1">TblPop[[#This Row],[Military]]/TblPop[[#This Row],[Total]]</f>
        <v>0.35501468736886277</v>
      </c>
      <c r="H102" s="181">
        <f ca="1">MIN(TblPop[[#This Row],[Peasants]],TblPop[[#This Row],[Jobs]])</f>
        <v>1537</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646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Arch]]),(barracks_size + tech_8_3*TblTech[[#This Row],[8-3]])*TblConstr[[#This Row],[Tot Bar]])</f>
        <v>2383</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46.11</v>
      </c>
      <c r="Z102" s="124">
        <f ca="1">IF(TblPop[[#This Row],[Military%]]&lt;TblMili[[#This Row],[Draftrate]],ROUND(TblPop[[#This Row],[Peasants]]*Constants!$B$52,0), 0)</f>
        <v>0</v>
      </c>
      <c r="AA102" s="184"/>
      <c r="AB102" s="185">
        <f ca="1">Overview!$I$16 + IF(Magic!AD102&gt;0,Constants!$F$76)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44347.12499999976</v>
      </c>
      <c r="C103" s="124">
        <f ca="1">OFFSET(TblPop[[#This Row],[Peasants]],-1,0)+OFFSET(TblPop[[#This Row],[Net Peasant]],-1,0)+TblMili[[#This Row],[Release Draft]]</f>
        <v>1537</v>
      </c>
      <c r="D103" s="124">
        <f ca="1">TblMili[[#This Row],[Military]]</f>
        <v>846</v>
      </c>
      <c r="E103" s="124">
        <f ca="1">TblMili[[#This Row],[Draftees]]</f>
        <v>646</v>
      </c>
      <c r="F103" s="124">
        <f ca="1">TblPop[[#This Row],[Peasants]]+TblPop[[#This Row],[Military]]</f>
        <v>2383</v>
      </c>
      <c r="G103" s="180">
        <f ca="1">TblPop[[#This Row],[Military]]/TblPop[[#This Row],[Total]]</f>
        <v>0.35501468736886277</v>
      </c>
      <c r="H103" s="181">
        <f ca="1">MIN(TblPop[[#This Row],[Peasants]],TblPop[[#This Row],[Jobs]])</f>
        <v>1537</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646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Arch]]),(barracks_size + tech_8_3*TblTech[[#This Row],[8-3]])*TblConstr[[#This Row],[Tot Bar]])</f>
        <v>2383</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46.11</v>
      </c>
      <c r="Z103" s="124">
        <f ca="1">IF(TblPop[[#This Row],[Military%]]&lt;TblMili[[#This Row],[Draftrate]],ROUND(TblPop[[#This Row],[Peasants]]*Constants!$B$52,0), 0)</f>
        <v>0</v>
      </c>
      <c r="AA103" s="184"/>
      <c r="AB103" s="185">
        <f ca="1">Overview!$I$16 + IF(Magic!AD103&gt;0,Constants!$F$76)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44347.166666666424</v>
      </c>
      <c r="C104" s="124">
        <f ca="1">OFFSET(TblPop[[#This Row],[Peasants]],-1,0)+OFFSET(TblPop[[#This Row],[Net Peasant]],-1,0)+TblMili[[#This Row],[Release Draft]]</f>
        <v>1537</v>
      </c>
      <c r="D104" s="124">
        <f ca="1">TblMili[[#This Row],[Military]]</f>
        <v>846</v>
      </c>
      <c r="E104" s="124">
        <f ca="1">TblMili[[#This Row],[Draftees]]</f>
        <v>646</v>
      </c>
      <c r="F104" s="124">
        <f ca="1">TblPop[[#This Row],[Peasants]]+TblPop[[#This Row],[Military]]</f>
        <v>2383</v>
      </c>
      <c r="G104" s="180">
        <f ca="1">TblPop[[#This Row],[Military]]/TblPop[[#This Row],[Total]]</f>
        <v>0.35501468736886277</v>
      </c>
      <c r="H104" s="181">
        <f ca="1">MIN(TblPop[[#This Row],[Peasants]],TblPop[[#This Row],[Jobs]])</f>
        <v>1537</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646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Arch]]),(barracks_size + tech_8_3*TblTech[[#This Row],[8-3]])*TblConstr[[#This Row],[Tot Bar]])</f>
        <v>2383</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46.11</v>
      </c>
      <c r="Z104" s="124">
        <f ca="1">IF(TblPop[[#This Row],[Military%]]&lt;TblMili[[#This Row],[Draftrate]],ROUND(TblPop[[#This Row],[Peasants]]*Constants!$B$52,0), 0)</f>
        <v>0</v>
      </c>
      <c r="AA104" s="184"/>
      <c r="AB104" s="185">
        <f ca="1">Overview!$I$16 + IF(Magic!AD104&gt;0,Constants!$F$76)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44347.208333333088</v>
      </c>
      <c r="C105" s="124">
        <f ca="1">OFFSET(TblPop[[#This Row],[Peasants]],-1,0)+OFFSET(TblPop[[#This Row],[Net Peasant]],-1,0)+TblMili[[#This Row],[Release Draft]]</f>
        <v>1537</v>
      </c>
      <c r="D105" s="124">
        <f ca="1">TblMili[[#This Row],[Military]]</f>
        <v>846</v>
      </c>
      <c r="E105" s="124">
        <f ca="1">TblMili[[#This Row],[Draftees]]</f>
        <v>646</v>
      </c>
      <c r="F105" s="124">
        <f ca="1">TblPop[[#This Row],[Peasants]]+TblPop[[#This Row],[Military]]</f>
        <v>2383</v>
      </c>
      <c r="G105" s="180">
        <f ca="1">TblPop[[#This Row],[Military]]/TblPop[[#This Row],[Total]]</f>
        <v>0.35501468736886277</v>
      </c>
      <c r="H105" s="181">
        <f ca="1">MIN(TblPop[[#This Row],[Peasants]],TblPop[[#This Row],[Jobs]])</f>
        <v>1537</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646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Arch]]),(barracks_size + tech_8_3*TblTech[[#This Row],[8-3]])*TblConstr[[#This Row],[Tot Bar]])</f>
        <v>2383</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46.11</v>
      </c>
      <c r="Z105" s="124">
        <f ca="1">IF(TblPop[[#This Row],[Military%]]&lt;TblMili[[#This Row],[Draftrate]],ROUND(TblPop[[#This Row],[Peasants]]*Constants!$B$52,0), 0)</f>
        <v>0</v>
      </c>
      <c r="AA105" s="184"/>
      <c r="AB105" s="185">
        <f ca="1">Overview!$I$16 + IF(Magic!AD105&gt;0,Constants!$F$76)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44347.249999999753</v>
      </c>
      <c r="C106" s="124">
        <f ca="1">OFFSET(TblPop[[#This Row],[Peasants]],-1,0)+OFFSET(TblPop[[#This Row],[Net Peasant]],-1,0)+TblMili[[#This Row],[Release Draft]]</f>
        <v>1537</v>
      </c>
      <c r="D106" s="124">
        <f ca="1">TblMili[[#This Row],[Military]]</f>
        <v>846</v>
      </c>
      <c r="E106" s="124">
        <f ca="1">TblMili[[#This Row],[Draftees]]</f>
        <v>646</v>
      </c>
      <c r="F106" s="124">
        <f ca="1">TblPop[[#This Row],[Peasants]]+TblPop[[#This Row],[Military]]</f>
        <v>2383</v>
      </c>
      <c r="G106" s="180">
        <f ca="1">TblPop[[#This Row],[Military]]/TblPop[[#This Row],[Total]]</f>
        <v>0.35501468736886277</v>
      </c>
      <c r="H106" s="181">
        <f ca="1">MIN(TblPop[[#This Row],[Peasants]],TblPop[[#This Row],[Jobs]])</f>
        <v>1537</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646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Arch]]),(barracks_size + tech_8_3*TblTech[[#This Row],[8-3]])*TblConstr[[#This Row],[Tot Bar]])</f>
        <v>2383</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46.11</v>
      </c>
      <c r="Z106" s="124">
        <f ca="1">IF(TblPop[[#This Row],[Military%]]&lt;TblMili[[#This Row],[Draftrate]],ROUND(TblPop[[#This Row],[Peasants]]*Constants!$B$52,0), 0)</f>
        <v>0</v>
      </c>
      <c r="AA106" s="184"/>
      <c r="AB106" s="185">
        <f ca="1">Overview!$I$16 + IF(Magic!AD106&gt;0,Constants!$F$76)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44347.291666666417</v>
      </c>
      <c r="C107" s="124">
        <f ca="1">OFFSET(TblPop[[#This Row],[Peasants]],-1,0)+OFFSET(TblPop[[#This Row],[Net Peasant]],-1,0)+TblMili[[#This Row],[Release Draft]]</f>
        <v>1537</v>
      </c>
      <c r="D107" s="124">
        <f ca="1">TblMili[[#This Row],[Military]]</f>
        <v>846</v>
      </c>
      <c r="E107" s="124">
        <f ca="1">TblMili[[#This Row],[Draftees]]</f>
        <v>646</v>
      </c>
      <c r="F107" s="124">
        <f ca="1">TblPop[[#This Row],[Peasants]]+TblPop[[#This Row],[Military]]</f>
        <v>2383</v>
      </c>
      <c r="G107" s="180">
        <f ca="1">TblPop[[#This Row],[Military]]/TblPop[[#This Row],[Total]]</f>
        <v>0.35501468736886277</v>
      </c>
      <c r="H107" s="181">
        <f ca="1">MIN(TblPop[[#This Row],[Peasants]],TblPop[[#This Row],[Jobs]])</f>
        <v>1537</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646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Arch]]),(barracks_size + tech_8_3*TblTech[[#This Row],[8-3]])*TblConstr[[#This Row],[Tot Bar]])</f>
        <v>2383</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46.11</v>
      </c>
      <c r="Z107" s="124">
        <f ca="1">IF(TblPop[[#This Row],[Military%]]&lt;TblMili[[#This Row],[Draftrate]],ROUND(TblPop[[#This Row],[Peasants]]*Constants!$B$52,0), 0)</f>
        <v>0</v>
      </c>
      <c r="AA107" s="184"/>
      <c r="AB107" s="185">
        <f ca="1">Overview!$I$16 + IF(Magic!AD107&gt;0,Constants!$F$76)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44347.333333333081</v>
      </c>
      <c r="C108" s="124">
        <f ca="1">OFFSET(TblPop[[#This Row],[Peasants]],-1,0)+OFFSET(TblPop[[#This Row],[Net Peasant]],-1,0)+TblMili[[#This Row],[Release Draft]]</f>
        <v>1537</v>
      </c>
      <c r="D108" s="124">
        <f ca="1">TblMili[[#This Row],[Military]]</f>
        <v>846</v>
      </c>
      <c r="E108" s="124">
        <f ca="1">TblMili[[#This Row],[Draftees]]</f>
        <v>646</v>
      </c>
      <c r="F108" s="124">
        <f ca="1">TblPop[[#This Row],[Peasants]]+TblPop[[#This Row],[Military]]</f>
        <v>2383</v>
      </c>
      <c r="G108" s="180">
        <f ca="1">TblPop[[#This Row],[Military]]/TblPop[[#This Row],[Total]]</f>
        <v>0.35501468736886277</v>
      </c>
      <c r="H108" s="181">
        <f ca="1">MIN(TblPop[[#This Row],[Peasants]],TblPop[[#This Row],[Jobs]])</f>
        <v>1537</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646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Arch]]),(barracks_size + tech_8_3*TblTech[[#This Row],[8-3]])*TblConstr[[#This Row],[Tot Bar]])</f>
        <v>2383</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46.11</v>
      </c>
      <c r="Z108" s="124">
        <f ca="1">IF(TblPop[[#This Row],[Military%]]&lt;TblMili[[#This Row],[Draftrate]],ROUND(TblPop[[#This Row],[Peasants]]*Constants!$B$52,0), 0)</f>
        <v>0</v>
      </c>
      <c r="AA108" s="184"/>
      <c r="AB108" s="185">
        <f ca="1">Overview!$I$16 + IF(Magic!AD108&gt;0,Constants!$F$76)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44347.374999999745</v>
      </c>
      <c r="C109" s="124">
        <f ca="1">OFFSET(TblPop[[#This Row],[Peasants]],-1,0)+OFFSET(TblPop[[#This Row],[Net Peasant]],-1,0)+TblMili[[#This Row],[Release Draft]]</f>
        <v>1537</v>
      </c>
      <c r="D109" s="124">
        <f ca="1">TblMili[[#This Row],[Military]]</f>
        <v>846</v>
      </c>
      <c r="E109" s="124">
        <f ca="1">TblMili[[#This Row],[Draftees]]</f>
        <v>646</v>
      </c>
      <c r="F109" s="124">
        <f ca="1">TblPop[[#This Row],[Peasants]]+TblPop[[#This Row],[Military]]</f>
        <v>2383</v>
      </c>
      <c r="G109" s="180">
        <f ca="1">TblPop[[#This Row],[Military]]/TblPop[[#This Row],[Total]]</f>
        <v>0.35501468736886277</v>
      </c>
      <c r="H109" s="181">
        <f ca="1">MIN(TblPop[[#This Row],[Peasants]],TblPop[[#This Row],[Jobs]])</f>
        <v>1537</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646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Arch]]),(barracks_size + tech_8_3*TblTech[[#This Row],[8-3]])*TblConstr[[#This Row],[Tot Bar]])</f>
        <v>2383</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46.11</v>
      </c>
      <c r="Z109" s="124">
        <f ca="1">IF(TblPop[[#This Row],[Military%]]&lt;TblMili[[#This Row],[Draftrate]],ROUND(TblPop[[#This Row],[Peasants]]*Constants!$B$52,0), 0)</f>
        <v>0</v>
      </c>
      <c r="AA109" s="184"/>
      <c r="AB109" s="185">
        <f ca="1">Overview!$I$16 + IF(Magic!AD109&gt;0,Constants!$F$76)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44347.41666666641</v>
      </c>
      <c r="C110" s="124">
        <f ca="1">OFFSET(TblPop[[#This Row],[Peasants]],-1,0)+OFFSET(TblPop[[#This Row],[Net Peasant]],-1,0)+TblMili[[#This Row],[Release Draft]]</f>
        <v>1537</v>
      </c>
      <c r="D110" s="124">
        <f ca="1">TblMili[[#This Row],[Military]]</f>
        <v>846</v>
      </c>
      <c r="E110" s="124">
        <f ca="1">TblMili[[#This Row],[Draftees]]</f>
        <v>646</v>
      </c>
      <c r="F110" s="124">
        <f ca="1">TblPop[[#This Row],[Peasants]]+TblPop[[#This Row],[Military]]</f>
        <v>2383</v>
      </c>
      <c r="G110" s="180">
        <f ca="1">TblPop[[#This Row],[Military]]/TblPop[[#This Row],[Total]]</f>
        <v>0.35501468736886277</v>
      </c>
      <c r="H110" s="181">
        <f ca="1">MIN(TblPop[[#This Row],[Peasants]],TblPop[[#This Row],[Jobs]])</f>
        <v>1537</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646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Arch]]),(barracks_size + tech_8_3*TblTech[[#This Row],[8-3]])*TblConstr[[#This Row],[Tot Bar]])</f>
        <v>2383</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46.11</v>
      </c>
      <c r="Z110" s="124">
        <f ca="1">IF(TblPop[[#This Row],[Military%]]&lt;TblMili[[#This Row],[Draftrate]],ROUND(TblPop[[#This Row],[Peasants]]*Constants!$B$52,0), 0)</f>
        <v>0</v>
      </c>
      <c r="AA110" s="184"/>
      <c r="AB110" s="185">
        <f ca="1">Overview!$I$16 + IF(Magic!AD110&gt;0,Constants!$F$76)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44347.458333333074</v>
      </c>
      <c r="C111" s="124">
        <f ca="1">OFFSET(TblPop[[#This Row],[Peasants]],-1,0)+OFFSET(TblPop[[#This Row],[Net Peasant]],-1,0)+TblMili[[#This Row],[Release Draft]]</f>
        <v>1537</v>
      </c>
      <c r="D111" s="124">
        <f ca="1">TblMili[[#This Row],[Military]]</f>
        <v>846</v>
      </c>
      <c r="E111" s="124">
        <f ca="1">TblMili[[#This Row],[Draftees]]</f>
        <v>646</v>
      </c>
      <c r="F111" s="124">
        <f ca="1">TblPop[[#This Row],[Peasants]]+TblPop[[#This Row],[Military]]</f>
        <v>2383</v>
      </c>
      <c r="G111" s="180">
        <f ca="1">TblPop[[#This Row],[Military]]/TblPop[[#This Row],[Total]]</f>
        <v>0.35501468736886277</v>
      </c>
      <c r="H111" s="181">
        <f ca="1">MIN(TblPop[[#This Row],[Peasants]],TblPop[[#This Row],[Jobs]])</f>
        <v>1537</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646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Arch]]),(barracks_size + tech_8_3*TblTech[[#This Row],[8-3]])*TblConstr[[#This Row],[Tot Bar]])</f>
        <v>2383</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46.11</v>
      </c>
      <c r="Z111" s="124">
        <f ca="1">IF(TblPop[[#This Row],[Military%]]&lt;TblMili[[#This Row],[Draftrate]],ROUND(TblPop[[#This Row],[Peasants]]*Constants!$B$52,0), 0)</f>
        <v>0</v>
      </c>
      <c r="AA111" s="184"/>
      <c r="AB111" s="185">
        <f ca="1">Overview!$I$16 + IF(Magic!AD111&gt;0,Constants!$F$76)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44347.499999999738</v>
      </c>
      <c r="C112" s="124">
        <f ca="1">OFFSET(TblPop[[#This Row],[Peasants]],-1,0)+OFFSET(TblPop[[#This Row],[Net Peasant]],-1,0)+TblMili[[#This Row],[Release Draft]]</f>
        <v>1537</v>
      </c>
      <c r="D112" s="124">
        <f ca="1">TblMili[[#This Row],[Military]]</f>
        <v>846</v>
      </c>
      <c r="E112" s="124">
        <f ca="1">TblMili[[#This Row],[Draftees]]</f>
        <v>646</v>
      </c>
      <c r="F112" s="124">
        <f ca="1">TblPop[[#This Row],[Peasants]]+TblPop[[#This Row],[Military]]</f>
        <v>2383</v>
      </c>
      <c r="G112" s="180">
        <f ca="1">TblPop[[#This Row],[Military]]/TblPop[[#This Row],[Total]]</f>
        <v>0.35501468736886277</v>
      </c>
      <c r="H112" s="181">
        <f ca="1">MIN(TblPop[[#This Row],[Peasants]],TblPop[[#This Row],[Jobs]])</f>
        <v>1537</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646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Arch]]),(barracks_size + tech_8_3*TblTech[[#This Row],[8-3]])*TblConstr[[#This Row],[Tot Bar]])</f>
        <v>2383</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46.11</v>
      </c>
      <c r="Z112" s="124">
        <f ca="1">IF(TblPop[[#This Row],[Military%]]&lt;TblMili[[#This Row],[Draftrate]],ROUND(TblPop[[#This Row],[Peasants]]*Constants!$B$52,0), 0)</f>
        <v>0</v>
      </c>
      <c r="AA112" s="184"/>
      <c r="AB112" s="185">
        <f ca="1">Overview!$I$16 + IF(Magic!AD112&gt;0,Constants!$F$76)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44347.541666666402</v>
      </c>
      <c r="C113" s="124">
        <f ca="1">OFFSET(TblPop[[#This Row],[Peasants]],-1,0)+OFFSET(TblPop[[#This Row],[Net Peasant]],-1,0)+TblMili[[#This Row],[Release Draft]]</f>
        <v>1537</v>
      </c>
      <c r="D113" s="124">
        <f ca="1">TblMili[[#This Row],[Military]]</f>
        <v>846</v>
      </c>
      <c r="E113" s="124">
        <f ca="1">TblMili[[#This Row],[Draftees]]</f>
        <v>646</v>
      </c>
      <c r="F113" s="124">
        <f ca="1">TblPop[[#This Row],[Peasants]]+TblPop[[#This Row],[Military]]</f>
        <v>2383</v>
      </c>
      <c r="G113" s="180">
        <f ca="1">TblPop[[#This Row],[Military]]/TblPop[[#This Row],[Total]]</f>
        <v>0.35501468736886277</v>
      </c>
      <c r="H113" s="181">
        <f ca="1">MIN(TblPop[[#This Row],[Peasants]],TblPop[[#This Row],[Jobs]])</f>
        <v>1537</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646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Arch]]),(barracks_size + tech_8_3*TblTech[[#This Row],[8-3]])*TblConstr[[#This Row],[Tot Bar]])</f>
        <v>2383</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46.11</v>
      </c>
      <c r="Z113" s="124">
        <f ca="1">IF(TblPop[[#This Row],[Military%]]&lt;TblMili[[#This Row],[Draftrate]],ROUND(TblPop[[#This Row],[Peasants]]*Constants!$B$52,0), 0)</f>
        <v>0</v>
      </c>
      <c r="AA113" s="184"/>
      <c r="AB113" s="185">
        <f ca="1">Overview!$I$16 + IF(Magic!AD113&gt;0,Constants!$F$76)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44347.583333333067</v>
      </c>
      <c r="C114" s="124">
        <f ca="1">OFFSET(TblPop[[#This Row],[Peasants]],-1,0)+OFFSET(TblPop[[#This Row],[Net Peasant]],-1,0)+TblMili[[#This Row],[Release Draft]]</f>
        <v>1537</v>
      </c>
      <c r="D114" s="124">
        <f ca="1">TblMili[[#This Row],[Military]]</f>
        <v>846</v>
      </c>
      <c r="E114" s="124">
        <f ca="1">TblMili[[#This Row],[Draftees]]</f>
        <v>646</v>
      </c>
      <c r="F114" s="124">
        <f ca="1">TblPop[[#This Row],[Peasants]]+TblPop[[#This Row],[Military]]</f>
        <v>2383</v>
      </c>
      <c r="G114" s="180">
        <f ca="1">TblPop[[#This Row],[Military]]/TblPop[[#This Row],[Total]]</f>
        <v>0.35501468736886277</v>
      </c>
      <c r="H114" s="181">
        <f ca="1">MIN(TblPop[[#This Row],[Peasants]],TblPop[[#This Row],[Jobs]])</f>
        <v>1537</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646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Arch]]),(barracks_size + tech_8_3*TblTech[[#This Row],[8-3]])*TblConstr[[#This Row],[Tot Bar]])</f>
        <v>2383</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46.11</v>
      </c>
      <c r="Z114" s="124">
        <f ca="1">IF(TblPop[[#This Row],[Military%]]&lt;TblMili[[#This Row],[Draftrate]],ROUND(TblPop[[#This Row],[Peasants]]*Constants!$B$52,0), 0)</f>
        <v>0</v>
      </c>
      <c r="AA114" s="184"/>
      <c r="AB114" s="185">
        <f ca="1">Overview!$I$16 + IF(Magic!AD114&gt;0,Constants!$F$76)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44347.624999999731</v>
      </c>
      <c r="C115" s="124">
        <f ca="1">OFFSET(TblPop[[#This Row],[Peasants]],-1,0)+OFFSET(TblPop[[#This Row],[Net Peasant]],-1,0)+TblMili[[#This Row],[Release Draft]]</f>
        <v>1537</v>
      </c>
      <c r="D115" s="124">
        <f ca="1">TblMili[[#This Row],[Military]]</f>
        <v>846</v>
      </c>
      <c r="E115" s="124">
        <f ca="1">TblMili[[#This Row],[Draftees]]</f>
        <v>646</v>
      </c>
      <c r="F115" s="124">
        <f ca="1">TblPop[[#This Row],[Peasants]]+TblPop[[#This Row],[Military]]</f>
        <v>2383</v>
      </c>
      <c r="G115" s="180">
        <f ca="1">TblPop[[#This Row],[Military]]/TblPop[[#This Row],[Total]]</f>
        <v>0.35501468736886277</v>
      </c>
      <c r="H115" s="181">
        <f ca="1">MIN(TblPop[[#This Row],[Peasants]],TblPop[[#This Row],[Jobs]])</f>
        <v>1537</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646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Arch]]),(barracks_size + tech_8_3*TblTech[[#This Row],[8-3]])*TblConstr[[#This Row],[Tot Bar]])</f>
        <v>2383</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46.11</v>
      </c>
      <c r="Z115" s="124">
        <f ca="1">IF(TblPop[[#This Row],[Military%]]&lt;TblMili[[#This Row],[Draftrate]],ROUND(TblPop[[#This Row],[Peasants]]*Constants!$B$52,0), 0)</f>
        <v>0</v>
      </c>
      <c r="AA115" s="184"/>
      <c r="AB115" s="185">
        <f ca="1">Overview!$I$16 + IF(Magic!AD115&gt;0,Constants!$F$76)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44347.666666666395</v>
      </c>
      <c r="C116" s="124">
        <f ca="1">OFFSET(TblPop[[#This Row],[Peasants]],-1,0)+OFFSET(TblPop[[#This Row],[Net Peasant]],-1,0)+TblMili[[#This Row],[Release Draft]]</f>
        <v>1537</v>
      </c>
      <c r="D116" s="124">
        <f ca="1">TblMili[[#This Row],[Military]]</f>
        <v>846</v>
      </c>
      <c r="E116" s="124">
        <f ca="1">TblMili[[#This Row],[Draftees]]</f>
        <v>646</v>
      </c>
      <c r="F116" s="124">
        <f ca="1">TblPop[[#This Row],[Peasants]]+TblPop[[#This Row],[Military]]</f>
        <v>2383</v>
      </c>
      <c r="G116" s="180">
        <f ca="1">TblPop[[#This Row],[Military]]/TblPop[[#This Row],[Total]]</f>
        <v>0.35501468736886277</v>
      </c>
      <c r="H116" s="181">
        <f ca="1">MIN(TblPop[[#This Row],[Peasants]],TblPop[[#This Row],[Jobs]])</f>
        <v>1537</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646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Arch]]),(barracks_size + tech_8_3*TblTech[[#This Row],[8-3]])*TblConstr[[#This Row],[Tot Bar]])</f>
        <v>2383</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46.11</v>
      </c>
      <c r="Z116" s="124">
        <f ca="1">IF(TblPop[[#This Row],[Military%]]&lt;TblMili[[#This Row],[Draftrate]],ROUND(TblPop[[#This Row],[Peasants]]*Constants!$B$52,0), 0)</f>
        <v>0</v>
      </c>
      <c r="AA116" s="184"/>
      <c r="AB116" s="185">
        <f ca="1">Overview!$I$16 + IF(Magic!AD116&gt;0,Constants!$F$76)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44347.708333333059</v>
      </c>
      <c r="C117" s="124">
        <f ca="1">OFFSET(TblPop[[#This Row],[Peasants]],-1,0)+OFFSET(TblPop[[#This Row],[Net Peasant]],-1,0)+TblMili[[#This Row],[Release Draft]]</f>
        <v>1537</v>
      </c>
      <c r="D117" s="124">
        <f ca="1">TblMili[[#This Row],[Military]]</f>
        <v>846</v>
      </c>
      <c r="E117" s="124">
        <f ca="1">TblMili[[#This Row],[Draftees]]</f>
        <v>646</v>
      </c>
      <c r="F117" s="124">
        <f ca="1">TblPop[[#This Row],[Peasants]]+TblPop[[#This Row],[Military]]</f>
        <v>2383</v>
      </c>
      <c r="G117" s="180">
        <f ca="1">TblPop[[#This Row],[Military]]/TblPop[[#This Row],[Total]]</f>
        <v>0.35501468736886277</v>
      </c>
      <c r="H117" s="181">
        <f ca="1">MIN(TblPop[[#This Row],[Peasants]],TblPop[[#This Row],[Jobs]])</f>
        <v>1537</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646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Arch]]),(barracks_size + tech_8_3*TblTech[[#This Row],[8-3]])*TblConstr[[#This Row],[Tot Bar]])</f>
        <v>2383</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46.11</v>
      </c>
      <c r="Z117" s="124">
        <f ca="1">IF(TblPop[[#This Row],[Military%]]&lt;TblMili[[#This Row],[Draftrate]],ROUND(TblPop[[#This Row],[Peasants]]*Constants!$B$52,0), 0)</f>
        <v>0</v>
      </c>
      <c r="AA117" s="184"/>
      <c r="AB117" s="185">
        <f ca="1">Overview!$I$16 + IF(Magic!AD117&gt;0,Constants!$F$76)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44347.749999999724</v>
      </c>
      <c r="C118" s="124">
        <f ca="1">OFFSET(TblPop[[#This Row],[Peasants]],-1,0)+OFFSET(TblPop[[#This Row],[Net Peasant]],-1,0)+TblMili[[#This Row],[Release Draft]]</f>
        <v>1537</v>
      </c>
      <c r="D118" s="124">
        <f ca="1">TblMili[[#This Row],[Military]]</f>
        <v>846</v>
      </c>
      <c r="E118" s="124">
        <f ca="1">TblMili[[#This Row],[Draftees]]</f>
        <v>646</v>
      </c>
      <c r="F118" s="124">
        <f ca="1">TblPop[[#This Row],[Peasants]]+TblPop[[#This Row],[Military]]</f>
        <v>2383</v>
      </c>
      <c r="G118" s="180">
        <f ca="1">TblPop[[#This Row],[Military]]/TblPop[[#This Row],[Total]]</f>
        <v>0.35501468736886277</v>
      </c>
      <c r="H118" s="181">
        <f ca="1">MIN(TblPop[[#This Row],[Peasants]],TblPop[[#This Row],[Jobs]])</f>
        <v>1537</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646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Arch]]),(barracks_size + tech_8_3*TblTech[[#This Row],[8-3]])*TblConstr[[#This Row],[Tot Bar]])</f>
        <v>2383</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46.11</v>
      </c>
      <c r="Z118" s="124">
        <f ca="1">IF(TblPop[[#This Row],[Military%]]&lt;TblMili[[#This Row],[Draftrate]],ROUND(TblPop[[#This Row],[Peasants]]*Constants!$B$52,0), 0)</f>
        <v>0</v>
      </c>
      <c r="AA118" s="184"/>
      <c r="AB118" s="185">
        <f ca="1">Overview!$I$16 + IF(Magic!AD118&gt;0,Constants!$F$76)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44347.791666666388</v>
      </c>
      <c r="C119" s="124">
        <f ca="1">OFFSET(TblPop[[#This Row],[Peasants]],-1,0)+OFFSET(TblPop[[#This Row],[Net Peasant]],-1,0)+TblMili[[#This Row],[Release Draft]]</f>
        <v>1537</v>
      </c>
      <c r="D119" s="124">
        <f ca="1">TblMili[[#This Row],[Military]]</f>
        <v>846</v>
      </c>
      <c r="E119" s="124">
        <f ca="1">TblMili[[#This Row],[Draftees]]</f>
        <v>646</v>
      </c>
      <c r="F119" s="124">
        <f ca="1">TblPop[[#This Row],[Peasants]]+TblPop[[#This Row],[Military]]</f>
        <v>2383</v>
      </c>
      <c r="G119" s="180">
        <f ca="1">TblPop[[#This Row],[Military]]/TblPop[[#This Row],[Total]]</f>
        <v>0.35501468736886277</v>
      </c>
      <c r="H119" s="181">
        <f ca="1">MIN(TblPop[[#This Row],[Peasants]],TblPop[[#This Row],[Jobs]])</f>
        <v>1537</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646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Arch]]),(barracks_size + tech_8_3*TblTech[[#This Row],[8-3]])*TblConstr[[#This Row],[Tot Bar]])</f>
        <v>2383</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46.11</v>
      </c>
      <c r="Z119" s="124">
        <f ca="1">IF(TblPop[[#This Row],[Military%]]&lt;TblMili[[#This Row],[Draftrate]],ROUND(TblPop[[#This Row],[Peasants]]*Constants!$B$52,0), 0)</f>
        <v>0</v>
      </c>
      <c r="AA119" s="184"/>
      <c r="AB119" s="185">
        <f ca="1">Overview!$I$16 + IF(Magic!AD119&gt;0,Constants!$F$76)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44347.833333333052</v>
      </c>
      <c r="C120" s="124">
        <f ca="1">OFFSET(TblPop[[#This Row],[Peasants]],-1,0)+OFFSET(TblPop[[#This Row],[Net Peasant]],-1,0)+TblMili[[#This Row],[Release Draft]]</f>
        <v>1537</v>
      </c>
      <c r="D120" s="124">
        <f ca="1">TblMili[[#This Row],[Military]]</f>
        <v>846</v>
      </c>
      <c r="E120" s="124">
        <f ca="1">TblMili[[#This Row],[Draftees]]</f>
        <v>646</v>
      </c>
      <c r="F120" s="124">
        <f ca="1">TblPop[[#This Row],[Peasants]]+TblPop[[#This Row],[Military]]</f>
        <v>2383</v>
      </c>
      <c r="G120" s="180">
        <f ca="1">TblPop[[#This Row],[Military]]/TblPop[[#This Row],[Total]]</f>
        <v>0.35501468736886277</v>
      </c>
      <c r="H120" s="181">
        <f ca="1">MIN(TblPop[[#This Row],[Peasants]],TblPop[[#This Row],[Jobs]])</f>
        <v>1537</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646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Arch]]),(barracks_size + tech_8_3*TblTech[[#This Row],[8-3]])*TblConstr[[#This Row],[Tot Bar]])</f>
        <v>2383</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46.11</v>
      </c>
      <c r="Z120" s="124">
        <f ca="1">IF(TblPop[[#This Row],[Military%]]&lt;TblMili[[#This Row],[Draftrate]],ROUND(TblPop[[#This Row],[Peasants]]*Constants!$B$52,0), 0)</f>
        <v>0</v>
      </c>
      <c r="AA120" s="184"/>
      <c r="AB120" s="185">
        <f ca="1">Overview!$I$16 + IF(Magic!AD120&gt;0,Constants!$F$76)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44347.874999999716</v>
      </c>
      <c r="C121" s="124">
        <f ca="1">OFFSET(TblPop[[#This Row],[Peasants]],-1,0)+OFFSET(TblPop[[#This Row],[Net Peasant]],-1,0)+TblMili[[#This Row],[Release Draft]]</f>
        <v>1537</v>
      </c>
      <c r="D121" s="124">
        <f ca="1">TblMili[[#This Row],[Military]]</f>
        <v>846</v>
      </c>
      <c r="E121" s="124">
        <f ca="1">TblMili[[#This Row],[Draftees]]</f>
        <v>646</v>
      </c>
      <c r="F121" s="124">
        <f ca="1">TblPop[[#This Row],[Peasants]]+TblPop[[#This Row],[Military]]</f>
        <v>2383</v>
      </c>
      <c r="G121" s="180">
        <f ca="1">TblPop[[#This Row],[Military]]/TblPop[[#This Row],[Total]]</f>
        <v>0.35501468736886277</v>
      </c>
      <c r="H121" s="181">
        <f ca="1">MIN(TblPop[[#This Row],[Peasants]],TblPop[[#This Row],[Jobs]])</f>
        <v>1537</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646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Arch]]),(barracks_size + tech_8_3*TblTech[[#This Row],[8-3]])*TblConstr[[#This Row],[Tot Bar]])</f>
        <v>2383</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46.11</v>
      </c>
      <c r="Z121" s="124">
        <f ca="1">IF(TblPop[[#This Row],[Military%]]&lt;TblMili[[#This Row],[Draftrate]],ROUND(TblPop[[#This Row],[Peasants]]*Constants!$B$52,0), 0)</f>
        <v>0</v>
      </c>
      <c r="AA121" s="184"/>
      <c r="AB121" s="185">
        <f ca="1">Overview!$I$16 + IF(Magic!AD121&gt;0,Constants!$F$76)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44347.91666666638</v>
      </c>
      <c r="C122" s="124">
        <f ca="1">OFFSET(TblPop[[#This Row],[Peasants]],-1,0)+OFFSET(TblPop[[#This Row],[Net Peasant]],-1,0)+TblMili[[#This Row],[Release Draft]]</f>
        <v>1537</v>
      </c>
      <c r="D122" s="124">
        <f ca="1">TblMili[[#This Row],[Military]]</f>
        <v>846</v>
      </c>
      <c r="E122" s="124">
        <f ca="1">TblMili[[#This Row],[Draftees]]</f>
        <v>646</v>
      </c>
      <c r="F122" s="124">
        <f ca="1">TblPop[[#This Row],[Peasants]]+TblPop[[#This Row],[Military]]</f>
        <v>2383</v>
      </c>
      <c r="G122" s="180">
        <f ca="1">TblPop[[#This Row],[Military]]/TblPop[[#This Row],[Total]]</f>
        <v>0.35501468736886277</v>
      </c>
      <c r="H122" s="181">
        <f ca="1">MIN(TblPop[[#This Row],[Peasants]],TblPop[[#This Row],[Jobs]])</f>
        <v>1537</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646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Arch]]),(barracks_size + tech_8_3*TblTech[[#This Row],[8-3]])*TblConstr[[#This Row],[Tot Bar]])</f>
        <v>2383</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46.11</v>
      </c>
      <c r="Z122" s="124">
        <f ca="1">IF(TblPop[[#This Row],[Military%]]&lt;TblMili[[#This Row],[Draftrate]],ROUND(TblPop[[#This Row],[Peasants]]*Constants!$B$52,0), 0)</f>
        <v>0</v>
      </c>
      <c r="AA122" s="184"/>
      <c r="AB122" s="185">
        <f ca="1">Overview!$I$16 + IF(Magic!AD122&gt;0,Constants!$F$76)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44347.958333333045</v>
      </c>
      <c r="C123" s="124">
        <f ca="1">OFFSET(TblPop[[#This Row],[Peasants]],-1,0)+OFFSET(TblPop[[#This Row],[Net Peasant]],-1,0)+TblMili[[#This Row],[Release Draft]]</f>
        <v>1537</v>
      </c>
      <c r="D123" s="124">
        <f ca="1">TblMili[[#This Row],[Military]]</f>
        <v>846</v>
      </c>
      <c r="E123" s="124">
        <f ca="1">TblMili[[#This Row],[Draftees]]</f>
        <v>646</v>
      </c>
      <c r="F123" s="124">
        <f ca="1">TblPop[[#This Row],[Peasants]]+TblPop[[#This Row],[Military]]</f>
        <v>2383</v>
      </c>
      <c r="G123" s="180">
        <f ca="1">TblPop[[#This Row],[Military]]/TblPop[[#This Row],[Total]]</f>
        <v>0.35501468736886277</v>
      </c>
      <c r="H123" s="181">
        <f ca="1">MIN(TblPop[[#This Row],[Peasants]],TblPop[[#This Row],[Jobs]])</f>
        <v>1537</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646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Arch]]),(barracks_size + tech_8_3*TblTech[[#This Row],[8-3]])*TblConstr[[#This Row],[Tot Bar]])</f>
        <v>2383</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46.11</v>
      </c>
      <c r="Z123" s="124">
        <f ca="1">IF(TblPop[[#This Row],[Military%]]&lt;TblMili[[#This Row],[Draftrate]],ROUND(TblPop[[#This Row],[Peasants]]*Constants!$B$52,0), 0)</f>
        <v>0</v>
      </c>
      <c r="AA123" s="184"/>
      <c r="AB123" s="185">
        <f ca="1">Overview!$I$16 + IF(Magic!AD123&gt;0,Constants!$F$76)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44347.999999999709</v>
      </c>
      <c r="C124" s="124">
        <f ca="1">OFFSET(TblPop[[#This Row],[Peasants]],-1,0)+OFFSET(TblPop[[#This Row],[Net Peasant]],-1,0)+TblMili[[#This Row],[Release Draft]]</f>
        <v>1537</v>
      </c>
      <c r="D124" s="124">
        <f ca="1">TblMili[[#This Row],[Military]]</f>
        <v>846</v>
      </c>
      <c r="E124" s="124">
        <f ca="1">TblMili[[#This Row],[Draftees]]</f>
        <v>646</v>
      </c>
      <c r="F124" s="124">
        <f ca="1">TblPop[[#This Row],[Peasants]]+TblPop[[#This Row],[Military]]</f>
        <v>2383</v>
      </c>
      <c r="G124" s="180">
        <f ca="1">TblPop[[#This Row],[Military]]/TblPop[[#This Row],[Total]]</f>
        <v>0.35501468736886277</v>
      </c>
      <c r="H124" s="181">
        <f ca="1">MIN(TblPop[[#This Row],[Peasants]],TblPop[[#This Row],[Jobs]])</f>
        <v>1537</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646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Arch]]),(barracks_size + tech_8_3*TblTech[[#This Row],[8-3]])*TblConstr[[#This Row],[Tot Bar]])</f>
        <v>2383</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46.11</v>
      </c>
      <c r="Z124" s="124">
        <f ca="1">IF(TblPop[[#This Row],[Military%]]&lt;TblMili[[#This Row],[Draftrate]],ROUND(TblPop[[#This Row],[Peasants]]*Constants!$B$52,0), 0)</f>
        <v>0</v>
      </c>
      <c r="AA124" s="184"/>
      <c r="AB124" s="185">
        <f ca="1">Overview!$I$16 + IF(Magic!AD124&gt;0,Constants!$F$76)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44348.041666666373</v>
      </c>
      <c r="C125" s="124">
        <f ca="1">OFFSET(TblPop[[#This Row],[Peasants]],-1,0)+OFFSET(TblPop[[#This Row],[Net Peasant]],-1,0)+TblMili[[#This Row],[Release Draft]]</f>
        <v>1537</v>
      </c>
      <c r="D125" s="124">
        <f ca="1">TblMili[[#This Row],[Military]]</f>
        <v>846</v>
      </c>
      <c r="E125" s="124">
        <f ca="1">TblMili[[#This Row],[Draftees]]</f>
        <v>646</v>
      </c>
      <c r="F125" s="124">
        <f ca="1">TblPop[[#This Row],[Peasants]]+TblPop[[#This Row],[Military]]</f>
        <v>2383</v>
      </c>
      <c r="G125" s="180">
        <f ca="1">TblPop[[#This Row],[Military]]/TblPop[[#This Row],[Total]]</f>
        <v>0.35501468736886277</v>
      </c>
      <c r="H125" s="181">
        <f ca="1">MIN(TblPop[[#This Row],[Peasants]],TblPop[[#This Row],[Jobs]])</f>
        <v>1537</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646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Arch]]),(barracks_size + tech_8_3*TblTech[[#This Row],[8-3]])*TblConstr[[#This Row],[Tot Bar]])</f>
        <v>2383</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46.11</v>
      </c>
      <c r="Z125" s="124">
        <f ca="1">IF(TblPop[[#This Row],[Military%]]&lt;TblMili[[#This Row],[Draftrate]],ROUND(TblPop[[#This Row],[Peasants]]*Constants!$B$52,0), 0)</f>
        <v>0</v>
      </c>
      <c r="AA125" s="184"/>
      <c r="AB125" s="185">
        <f ca="1">Overview!$I$16 + IF(Magic!AD125&gt;0,Constants!$F$76)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44348.083333333037</v>
      </c>
      <c r="C126" s="124">
        <f ca="1">OFFSET(TblPop[[#This Row],[Peasants]],-1,0)+OFFSET(TblPop[[#This Row],[Net Peasant]],-1,0)+TblMili[[#This Row],[Release Draft]]</f>
        <v>1537</v>
      </c>
      <c r="D126" s="124">
        <f ca="1">TblMili[[#This Row],[Military]]</f>
        <v>846</v>
      </c>
      <c r="E126" s="124">
        <f ca="1">TblMili[[#This Row],[Draftees]]</f>
        <v>646</v>
      </c>
      <c r="F126" s="124">
        <f ca="1">TblPop[[#This Row],[Peasants]]+TblPop[[#This Row],[Military]]</f>
        <v>2383</v>
      </c>
      <c r="G126" s="180">
        <f ca="1">TblPop[[#This Row],[Military]]/TblPop[[#This Row],[Total]]</f>
        <v>0.35501468736886277</v>
      </c>
      <c r="H126" s="181">
        <f ca="1">MIN(TblPop[[#This Row],[Peasants]],TblPop[[#This Row],[Jobs]])</f>
        <v>1537</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646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Arch]]),(barracks_size + tech_8_3*TblTech[[#This Row],[8-3]])*TblConstr[[#This Row],[Tot Bar]])</f>
        <v>2383</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46.11</v>
      </c>
      <c r="Z126" s="124">
        <f ca="1">IF(TblPop[[#This Row],[Military%]]&lt;TblMili[[#This Row],[Draftrate]],ROUND(TblPop[[#This Row],[Peasants]]*Constants!$B$52,0), 0)</f>
        <v>0</v>
      </c>
      <c r="AA126" s="184"/>
      <c r="AB126" s="185">
        <f ca="1">Overview!$I$16 + IF(Magic!AD126&gt;0,Constants!$F$76)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44348.124999999702</v>
      </c>
      <c r="C127" s="124">
        <f ca="1">OFFSET(TblPop[[#This Row],[Peasants]],-1,0)+OFFSET(TblPop[[#This Row],[Net Peasant]],-1,0)+TblMili[[#This Row],[Release Draft]]</f>
        <v>1537</v>
      </c>
      <c r="D127" s="124">
        <f ca="1">TblMili[[#This Row],[Military]]</f>
        <v>846</v>
      </c>
      <c r="E127" s="124">
        <f ca="1">TblMili[[#This Row],[Draftees]]</f>
        <v>646</v>
      </c>
      <c r="F127" s="124">
        <f ca="1">TblPop[[#This Row],[Peasants]]+TblPop[[#This Row],[Military]]</f>
        <v>2383</v>
      </c>
      <c r="G127" s="180">
        <f ca="1">TblPop[[#This Row],[Military]]/TblPop[[#This Row],[Total]]</f>
        <v>0.35501468736886277</v>
      </c>
      <c r="H127" s="181">
        <f ca="1">MIN(TblPop[[#This Row],[Peasants]],TblPop[[#This Row],[Jobs]])</f>
        <v>1537</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646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Arch]]),(barracks_size + tech_8_3*TblTech[[#This Row],[8-3]])*TblConstr[[#This Row],[Tot Bar]])</f>
        <v>2383</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46.11</v>
      </c>
      <c r="Z127" s="124">
        <f ca="1">IF(TblPop[[#This Row],[Military%]]&lt;TblMili[[#This Row],[Draftrate]],ROUND(TblPop[[#This Row],[Peasants]]*Constants!$B$52,0), 0)</f>
        <v>0</v>
      </c>
      <c r="AA127" s="184"/>
      <c r="AB127" s="185">
        <f ca="1">Overview!$I$16 + IF(Magic!AD127&gt;0,Constants!$F$76)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44348.166666666366</v>
      </c>
      <c r="C128" s="124">
        <f ca="1">OFFSET(TblPop[[#This Row],[Peasants]],-1,0)+OFFSET(TblPop[[#This Row],[Net Peasant]],-1,0)+TblMili[[#This Row],[Release Draft]]</f>
        <v>1537</v>
      </c>
      <c r="D128" s="124">
        <f ca="1">TblMili[[#This Row],[Military]]</f>
        <v>846</v>
      </c>
      <c r="E128" s="124">
        <f ca="1">TblMili[[#This Row],[Draftees]]</f>
        <v>646</v>
      </c>
      <c r="F128" s="124">
        <f ca="1">TblPop[[#This Row],[Peasants]]+TblPop[[#This Row],[Military]]</f>
        <v>2383</v>
      </c>
      <c r="G128" s="180">
        <f ca="1">TblPop[[#This Row],[Military]]/TblPop[[#This Row],[Total]]</f>
        <v>0.35501468736886277</v>
      </c>
      <c r="H128" s="181">
        <f ca="1">MIN(TblPop[[#This Row],[Peasants]],TblPop[[#This Row],[Jobs]])</f>
        <v>1537</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646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Arch]]),(barracks_size + tech_8_3*TblTech[[#This Row],[8-3]])*TblConstr[[#This Row],[Tot Bar]])</f>
        <v>2383</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46.11</v>
      </c>
      <c r="Z128" s="124">
        <f ca="1">IF(TblPop[[#This Row],[Military%]]&lt;TblMili[[#This Row],[Draftrate]],ROUND(TblPop[[#This Row],[Peasants]]*Constants!$B$52,0), 0)</f>
        <v>0</v>
      </c>
      <c r="AA128" s="184"/>
      <c r="AB128" s="185">
        <f ca="1">Overview!$I$16 + IF(Magic!AD128&gt;0,Constants!$F$76)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44348.20833333303</v>
      </c>
      <c r="C129" s="124">
        <f ca="1">OFFSET(TblPop[[#This Row],[Peasants]],-1,0)+OFFSET(TblPop[[#This Row],[Net Peasant]],-1,0)+TblMili[[#This Row],[Release Draft]]</f>
        <v>1537</v>
      </c>
      <c r="D129" s="124">
        <f ca="1">TblMili[[#This Row],[Military]]</f>
        <v>846</v>
      </c>
      <c r="E129" s="124">
        <f ca="1">TblMili[[#This Row],[Draftees]]</f>
        <v>646</v>
      </c>
      <c r="F129" s="124">
        <f ca="1">TblPop[[#This Row],[Peasants]]+TblPop[[#This Row],[Military]]</f>
        <v>2383</v>
      </c>
      <c r="G129" s="180">
        <f ca="1">TblPop[[#This Row],[Military]]/TblPop[[#This Row],[Total]]</f>
        <v>0.35501468736886277</v>
      </c>
      <c r="H129" s="181">
        <f ca="1">MIN(TblPop[[#This Row],[Peasants]],TblPop[[#This Row],[Jobs]])</f>
        <v>1537</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646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Arch]]),(barracks_size + tech_8_3*TblTech[[#This Row],[8-3]])*TblConstr[[#This Row],[Tot Bar]])</f>
        <v>2383</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46.11</v>
      </c>
      <c r="Z129" s="124">
        <f ca="1">IF(TblPop[[#This Row],[Military%]]&lt;TblMili[[#This Row],[Draftrate]],ROUND(TblPop[[#This Row],[Peasants]]*Constants!$B$52,0), 0)</f>
        <v>0</v>
      </c>
      <c r="AA129" s="184"/>
      <c r="AB129" s="185">
        <f ca="1">Overview!$I$16 + IF(Magic!AD129&gt;0,Constants!$F$76)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44348.249999999694</v>
      </c>
      <c r="C130" s="124">
        <f ca="1">OFFSET(TblPop[[#This Row],[Peasants]],-1,0)+OFFSET(TblPop[[#This Row],[Net Peasant]],-1,0)+TblMili[[#This Row],[Release Draft]]</f>
        <v>1537</v>
      </c>
      <c r="D130" s="124">
        <f ca="1">TblMili[[#This Row],[Military]]</f>
        <v>846</v>
      </c>
      <c r="E130" s="124">
        <f ca="1">TblMili[[#This Row],[Draftees]]</f>
        <v>646</v>
      </c>
      <c r="F130" s="124">
        <f ca="1">TblPop[[#This Row],[Peasants]]+TblPop[[#This Row],[Military]]</f>
        <v>2383</v>
      </c>
      <c r="G130" s="180">
        <f ca="1">TblPop[[#This Row],[Military]]/TblPop[[#This Row],[Total]]</f>
        <v>0.35501468736886277</v>
      </c>
      <c r="H130" s="181">
        <f ca="1">MIN(TblPop[[#This Row],[Peasants]],TblPop[[#This Row],[Jobs]])</f>
        <v>1537</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646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Arch]]),(barracks_size + tech_8_3*TblTech[[#This Row],[8-3]])*TblConstr[[#This Row],[Tot Bar]])</f>
        <v>2383</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46.11</v>
      </c>
      <c r="Z130" s="124">
        <f ca="1">IF(TblPop[[#This Row],[Military%]]&lt;TblMili[[#This Row],[Draftrate]],ROUND(TblPop[[#This Row],[Peasants]]*Constants!$B$52,0), 0)</f>
        <v>0</v>
      </c>
      <c r="AA130" s="184"/>
      <c r="AB130" s="185">
        <f ca="1">Overview!$I$16 + IF(Magic!AD130&gt;0,Constants!$F$76)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44348.291666666359</v>
      </c>
      <c r="C131" s="124">
        <f ca="1">OFFSET(TblPop[[#This Row],[Peasants]],-1,0)+OFFSET(TblPop[[#This Row],[Net Peasant]],-1,0)+TblMili[[#This Row],[Release Draft]]</f>
        <v>1537</v>
      </c>
      <c r="D131" s="124">
        <f ca="1">TblMili[[#This Row],[Military]]</f>
        <v>846</v>
      </c>
      <c r="E131" s="124">
        <f ca="1">TblMili[[#This Row],[Draftees]]</f>
        <v>646</v>
      </c>
      <c r="F131" s="124">
        <f ca="1">TblPop[[#This Row],[Peasants]]+TblPop[[#This Row],[Military]]</f>
        <v>2383</v>
      </c>
      <c r="G131" s="180">
        <f ca="1">TblPop[[#This Row],[Military]]/TblPop[[#This Row],[Total]]</f>
        <v>0.35501468736886277</v>
      </c>
      <c r="H131" s="181">
        <f ca="1">MIN(TblPop[[#This Row],[Peasants]],TblPop[[#This Row],[Jobs]])</f>
        <v>1537</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646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Arch]]),(barracks_size + tech_8_3*TblTech[[#This Row],[8-3]])*TblConstr[[#This Row],[Tot Bar]])</f>
        <v>2383</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46.11</v>
      </c>
      <c r="Z131" s="124">
        <f ca="1">IF(TblPop[[#This Row],[Military%]]&lt;TblMili[[#This Row],[Draftrate]],ROUND(TblPop[[#This Row],[Peasants]]*Constants!$B$52,0), 0)</f>
        <v>0</v>
      </c>
      <c r="AA131" s="184"/>
      <c r="AB131" s="185">
        <f ca="1">Overview!$I$16 + IF(Magic!AD131&gt;0,Constants!$F$76)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44348.333333333023</v>
      </c>
      <c r="C132" s="124">
        <f ca="1">OFFSET(TblPop[[#This Row],[Peasants]],-1,0)+OFFSET(TblPop[[#This Row],[Net Peasant]],-1,0)+TblMili[[#This Row],[Release Draft]]</f>
        <v>1537</v>
      </c>
      <c r="D132" s="124">
        <f ca="1">TblMili[[#This Row],[Military]]</f>
        <v>846</v>
      </c>
      <c r="E132" s="124">
        <f ca="1">TblMili[[#This Row],[Draftees]]</f>
        <v>646</v>
      </c>
      <c r="F132" s="124">
        <f ca="1">TblPop[[#This Row],[Peasants]]+TblPop[[#This Row],[Military]]</f>
        <v>2383</v>
      </c>
      <c r="G132" s="180">
        <f ca="1">TblPop[[#This Row],[Military]]/TblPop[[#This Row],[Total]]</f>
        <v>0.35501468736886277</v>
      </c>
      <c r="H132" s="181">
        <f ca="1">MIN(TblPop[[#This Row],[Peasants]],TblPop[[#This Row],[Jobs]])</f>
        <v>1537</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646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Arch]]),(barracks_size + tech_8_3*TblTech[[#This Row],[8-3]])*TblConstr[[#This Row],[Tot Bar]])</f>
        <v>2383</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46.11</v>
      </c>
      <c r="Z132" s="124">
        <f ca="1">IF(TblPop[[#This Row],[Military%]]&lt;TblMili[[#This Row],[Draftrate]],ROUND(TblPop[[#This Row],[Peasants]]*Constants!$B$52,0), 0)</f>
        <v>0</v>
      </c>
      <c r="AA132" s="184"/>
      <c r="AB132" s="185">
        <f ca="1">Overview!$I$16 + IF(Magic!AD132&gt;0,Constants!$F$76)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44348.374999999687</v>
      </c>
      <c r="C133" s="124">
        <f ca="1">OFFSET(TblPop[[#This Row],[Peasants]],-1,0)+OFFSET(TblPop[[#This Row],[Net Peasant]],-1,0)+TblMili[[#This Row],[Release Draft]]</f>
        <v>1537</v>
      </c>
      <c r="D133" s="124">
        <f ca="1">TblMili[[#This Row],[Military]]</f>
        <v>846</v>
      </c>
      <c r="E133" s="124">
        <f ca="1">TblMili[[#This Row],[Draftees]]</f>
        <v>646</v>
      </c>
      <c r="F133" s="124">
        <f ca="1">TblPop[[#This Row],[Peasants]]+TblPop[[#This Row],[Military]]</f>
        <v>2383</v>
      </c>
      <c r="G133" s="180">
        <f ca="1">TblPop[[#This Row],[Military]]/TblPop[[#This Row],[Total]]</f>
        <v>0.35501468736886277</v>
      </c>
      <c r="H133" s="181">
        <f ca="1">MIN(TblPop[[#This Row],[Peasants]],TblPop[[#This Row],[Jobs]])</f>
        <v>1537</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646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Arch]]),(barracks_size + tech_8_3*TblTech[[#This Row],[8-3]])*TblConstr[[#This Row],[Tot Bar]])</f>
        <v>2383</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46.11</v>
      </c>
      <c r="Z133" s="124">
        <f ca="1">IF(TblPop[[#This Row],[Military%]]&lt;TblMili[[#This Row],[Draftrate]],ROUND(TblPop[[#This Row],[Peasants]]*Constants!$B$52,0), 0)</f>
        <v>0</v>
      </c>
      <c r="AA133" s="184"/>
      <c r="AB133" s="185">
        <f ca="1">Overview!$I$16 + IF(Magic!AD133&gt;0,Constants!$F$76)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44348.416666666351</v>
      </c>
      <c r="C134" s="124">
        <f ca="1">OFFSET(TblPop[[#This Row],[Peasants]],-1,0)+OFFSET(TblPop[[#This Row],[Net Peasant]],-1,0)+TblMili[[#This Row],[Release Draft]]</f>
        <v>1537</v>
      </c>
      <c r="D134" s="124">
        <f ca="1">TblMili[[#This Row],[Military]]</f>
        <v>846</v>
      </c>
      <c r="E134" s="124">
        <f ca="1">TblMili[[#This Row],[Draftees]]</f>
        <v>646</v>
      </c>
      <c r="F134" s="124">
        <f ca="1">TblPop[[#This Row],[Peasants]]+TblPop[[#This Row],[Military]]</f>
        <v>2383</v>
      </c>
      <c r="G134" s="180">
        <f ca="1">TblPop[[#This Row],[Military]]/TblPop[[#This Row],[Total]]</f>
        <v>0.35501468736886277</v>
      </c>
      <c r="H134" s="181">
        <f ca="1">MIN(TblPop[[#This Row],[Peasants]],TblPop[[#This Row],[Jobs]])</f>
        <v>1537</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646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Arch]]),(barracks_size + tech_8_3*TblTech[[#This Row],[8-3]])*TblConstr[[#This Row],[Tot Bar]])</f>
        <v>2383</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46.11</v>
      </c>
      <c r="Z134" s="124">
        <f ca="1">IF(TblPop[[#This Row],[Military%]]&lt;TblMili[[#This Row],[Draftrate]],ROUND(TblPop[[#This Row],[Peasants]]*Constants!$B$52,0), 0)</f>
        <v>0</v>
      </c>
      <c r="AA134" s="184"/>
      <c r="AB134" s="185">
        <f ca="1">Overview!$I$16 + IF(Magic!AD134&gt;0,Constants!$F$76)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44348.458333333016</v>
      </c>
      <c r="C135" s="124">
        <f ca="1">OFFSET(TblPop[[#This Row],[Peasants]],-1,0)+OFFSET(TblPop[[#This Row],[Net Peasant]],-1,0)+TblMili[[#This Row],[Release Draft]]</f>
        <v>1537</v>
      </c>
      <c r="D135" s="124">
        <f ca="1">TblMili[[#This Row],[Military]]</f>
        <v>846</v>
      </c>
      <c r="E135" s="124">
        <f ca="1">TblMili[[#This Row],[Draftees]]</f>
        <v>646</v>
      </c>
      <c r="F135" s="124">
        <f ca="1">TblPop[[#This Row],[Peasants]]+TblPop[[#This Row],[Military]]</f>
        <v>2383</v>
      </c>
      <c r="G135" s="180">
        <f ca="1">TblPop[[#This Row],[Military]]/TblPop[[#This Row],[Total]]</f>
        <v>0.35501468736886277</v>
      </c>
      <c r="H135" s="181">
        <f ca="1">MIN(TblPop[[#This Row],[Peasants]],TblPop[[#This Row],[Jobs]])</f>
        <v>1537</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646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Arch]]),(barracks_size + tech_8_3*TblTech[[#This Row],[8-3]])*TblConstr[[#This Row],[Tot Bar]])</f>
        <v>2383</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46.11</v>
      </c>
      <c r="Z135" s="124">
        <f ca="1">IF(TblPop[[#This Row],[Military%]]&lt;TblMili[[#This Row],[Draftrate]],ROUND(TblPop[[#This Row],[Peasants]]*Constants!$B$52,0), 0)</f>
        <v>0</v>
      </c>
      <c r="AA135" s="184"/>
      <c r="AB135" s="185">
        <f ca="1">Overview!$I$16 + IF(Magic!AD135&gt;0,Constants!$F$76)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44348.49999999968</v>
      </c>
      <c r="C136" s="124">
        <f ca="1">OFFSET(TblPop[[#This Row],[Peasants]],-1,0)+OFFSET(TblPop[[#This Row],[Net Peasant]],-1,0)+TblMili[[#This Row],[Release Draft]]</f>
        <v>1537</v>
      </c>
      <c r="D136" s="124">
        <f ca="1">TblMili[[#This Row],[Military]]</f>
        <v>846</v>
      </c>
      <c r="E136" s="124">
        <f ca="1">TblMili[[#This Row],[Draftees]]</f>
        <v>646</v>
      </c>
      <c r="F136" s="124">
        <f ca="1">TblPop[[#This Row],[Peasants]]+TblPop[[#This Row],[Military]]</f>
        <v>2383</v>
      </c>
      <c r="G136" s="180">
        <f ca="1">TblPop[[#This Row],[Military]]/TblPop[[#This Row],[Total]]</f>
        <v>0.35501468736886277</v>
      </c>
      <c r="H136" s="181">
        <f ca="1">MIN(TblPop[[#This Row],[Peasants]],TblPop[[#This Row],[Jobs]])</f>
        <v>1537</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646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Arch]]),(barracks_size + tech_8_3*TblTech[[#This Row],[8-3]])*TblConstr[[#This Row],[Tot Bar]])</f>
        <v>2383</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2325</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46.11</v>
      </c>
      <c r="Z136" s="124">
        <f ca="1">IF(TblPop[[#This Row],[Military%]]&lt;TblMili[[#This Row],[Draftrate]],ROUND(TblPop[[#This Row],[Peasants]]*Constants!$B$52,0), 0)</f>
        <v>0</v>
      </c>
      <c r="AA136" s="184"/>
      <c r="AB136" s="185" t="e">
        <f ca="1">Overview!$I$16 + IF(Magic!AD136&gt;0,Constants!$F$76)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4" t="s">
        <v>327</v>
      </c>
      <c r="D1269" s="535"/>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8" priority="1" stopIfTrue="1">
      <formula>OR(C4&lt;0,ROW()-3=$C$1270)</formula>
    </cfRule>
  </conditionalFormatting>
  <conditionalFormatting sqref="A1269:XFD1270">
    <cfRule type="expression" dxfId="857" priority="106" stopIfTrue="1">
      <formula>$C$1270&gt;144</formula>
    </cfRule>
  </conditionalFormatting>
  <conditionalFormatting sqref="A4:AC136">
    <cfRule type="expression" dxfId="856" priority="12" stopIfTrue="1">
      <formula>ROW()-3=$C$1270</formula>
    </cfRule>
    <cfRule type="expression" dxfId="855" priority="112">
      <formula>$A4=73</formula>
    </cfRule>
    <cfRule type="expression" dxfId="854" priority="113">
      <formula>ROUND(($A4-1)/12,0)=INT($A4-1)/12</formula>
    </cfRule>
  </conditionalFormatting>
  <conditionalFormatting sqref="A1:XFD3">
    <cfRule type="expression" dxfId="853"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7" t="s">
        <v>259</v>
      </c>
      <c r="T1" s="587"/>
      <c r="U1" s="587"/>
      <c r="AA1" s="587" t="s">
        <v>85</v>
      </c>
      <c r="AB1" s="587"/>
      <c r="AH1" s="587" t="s">
        <v>176</v>
      </c>
      <c r="AI1" s="587"/>
      <c r="AJ1" s="587"/>
      <c r="AK1" s="587"/>
      <c r="AL1" s="587"/>
      <c r="AM1" s="587"/>
      <c r="AO1" s="72" t="s">
        <v>19</v>
      </c>
      <c r="AT1" s="587" t="s">
        <v>196</v>
      </c>
      <c r="AU1" s="587"/>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44343</v>
      </c>
      <c r="C4" s="199"/>
      <c r="D4" s="200"/>
      <c r="E4" s="113">
        <f ca="1">TblConstr[[#This Row],[Land]]</f>
        <v>250</v>
      </c>
      <c r="F4" s="113">
        <f>TblPop[[#This Row],[Peasants]]</f>
        <v>1300</v>
      </c>
      <c r="G4" s="113">
        <f ca="1">TblMili[[#This Row],[Networth (2)]]</f>
        <v>6450</v>
      </c>
      <c r="H4" s="500">
        <f ca="1">start_plat - TblProd[[#This Row],[Expenses Platinum]] + IF(TblProd[[#This Row],[Plat Bonus]],TblPop[[#This Row],[Peasants]]*4)+days_late*days_late_plat + SUM(TblConstr[[#This Row],[Dest Hom]:[Dest Doc]])*Construction!AM4*tech_3_3_2*TblTech[[#This Row],[3-3]]</f>
        <v>99150</v>
      </c>
      <c r="I4" s="500">
        <f>start_food+days_late*days_late_food</f>
        <v>15000</v>
      </c>
      <c r="J4" s="500">
        <f ca="1">start_lumber - TblProd[[#This Row],[Expenses Lumber]]+days_late*days_late_lumber + SUM(TblConstr[[#This Row],[Dest Hom]:[Dest Doc]])*TblConstr[[#This Row],[CPA Lumber -DB]]*tech_3_3_2*TblTech[[#This Row],[3-3]]</f>
        <v>14912</v>
      </c>
      <c r="K4" s="500">
        <f ca="1">start_mana - TblProd[[#This Row],[Expenses Mana]]+days_late*days_late_mana</f>
        <v>0</v>
      </c>
      <c r="L4" s="500">
        <f ca="1">start_ore - TblProd[[#This Row],[Expenses Ore]]+days_late*days_late_ore</f>
        <v>0</v>
      </c>
      <c r="M4" s="500">
        <f>start_gems - TblProd[[#This Row],[Expenses Gems]]</f>
        <v>10000</v>
      </c>
      <c r="N4" s="500">
        <f>start_boats</f>
        <v>0</v>
      </c>
      <c r="O4" s="500">
        <f>start_prestige</f>
        <v>250</v>
      </c>
      <c r="P4" s="501">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851</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149.12</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850</v>
      </c>
      <c r="AU4" s="113">
        <f ca="1">TblConstr[[#This Row],[Total Lum Cost]]+TblImps[[#This Row],[L1]]-TblProd[[#This Row],[Bank Lumber]] + Military!$CH$25*TblMili[[#This Row],[Sec. rec. Cost]]</f>
        <v>88</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44343</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99150</v>
      </c>
      <c r="BJ4" s="113">
        <f>TblProd[[#This Row],[Food]]</f>
        <v>15000</v>
      </c>
      <c r="BK4" s="113">
        <f ca="1">TblProd[[#This Row],[Lumber]]</f>
        <v>14912</v>
      </c>
      <c r="BL4" s="113">
        <f ca="1">TblProd[[#This Row],[Mana]]</f>
        <v>0</v>
      </c>
      <c r="BM4" s="113">
        <f ca="1">TblProd[[#This Row],[Ore]]</f>
        <v>0</v>
      </c>
    </row>
    <row r="5" spans="1:65" x14ac:dyDescent="0.2">
      <c r="A5" s="178">
        <v>2</v>
      </c>
      <c r="B5" s="198">
        <f ca="1">TblImps[[#This Row],[Time]]</f>
        <v>44343.041666666664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104010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15763</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Row],[Techpoints]],-1,0)+(1+research_bonus)*(26*MIN((TblConstr[[#This Row],[Tot Sch]]/(TblProd[[#This Row],[Land]]-TblExplore[[#This Row],[Land Bonus]]*20))*100,40))-TblProd[[#This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157.63</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44343.041666666664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104010</v>
      </c>
      <c r="BJ5" s="113">
        <f ca="1">TblProd[[#This Row],[Food]]</f>
        <v>17030</v>
      </c>
      <c r="BK5" s="113">
        <f ca="1">TblProd[[#This Row],[Lumber]]</f>
        <v>15763</v>
      </c>
      <c r="BL5" s="113">
        <f ca="1">TblProd[[#This Row],[Mana]]</f>
        <v>0</v>
      </c>
      <c r="BM5" s="113">
        <f ca="1">TblProd[[#This Row],[Ore]]</f>
        <v>0</v>
      </c>
    </row>
    <row r="6" spans="1:65" x14ac:dyDescent="0.2">
      <c r="A6" s="178">
        <v>3</v>
      </c>
      <c r="B6" s="198">
        <f ca="1">TblImps[[#This Row],[Time]]</f>
        <v>44343.083333333328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108940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16605</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Row],[Techpoints]],-1,0)+(1+research_bonus)*(26*MIN((TblConstr[[#This Row],[Tot Sch]]/(TblProd[[#This Row],[Land]]-TblExplore[[#This Row],[Land Bonus]]*20))*100,40))-TblProd[[#This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834</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166.05</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44343.083333333328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108940</v>
      </c>
      <c r="BJ6" s="113">
        <f ca="1">TblProd[[#This Row],[Food]]</f>
        <v>19030</v>
      </c>
      <c r="BK6" s="113">
        <f ca="1">TblProd[[#This Row],[Lumber]]</f>
        <v>16605</v>
      </c>
      <c r="BL6" s="113">
        <f ca="1">TblProd[[#This Row],[Mana]]</f>
        <v>0</v>
      </c>
      <c r="BM6" s="113">
        <f ca="1">TblProd[[#This Row],[Ore]]</f>
        <v>0</v>
      </c>
    </row>
    <row r="7" spans="1:65" x14ac:dyDescent="0.2">
      <c r="A7" s="178">
        <v>4</v>
      </c>
      <c r="B7" s="198">
        <f ca="1">TblImps[[#This Row],[Time]]</f>
        <v>44343.124999999993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113940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17439</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Row],[Techpoints]],-1,0)+(1+research_bonus)*(26*MIN((TblConstr[[#This Row],[Tot Sch]]/(TblProd[[#This Row],[Land]]-TblExplore[[#This Row],[Land Bonus]]*20))*100,40))-TblProd[[#This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826</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174.39000000000001</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44343.124999999993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113940</v>
      </c>
      <c r="BJ7" s="113">
        <f ca="1">TblProd[[#This Row],[Food]]</f>
        <v>21000</v>
      </c>
      <c r="BK7" s="113">
        <f ca="1">TblProd[[#This Row],[Lumber]]</f>
        <v>17439</v>
      </c>
      <c r="BL7" s="113">
        <f ca="1">TblProd[[#This Row],[Mana]]</f>
        <v>0</v>
      </c>
      <c r="BM7" s="113">
        <f ca="1">TblProd[[#This Row],[Ore]]</f>
        <v>0</v>
      </c>
    </row>
    <row r="8" spans="1:65" x14ac:dyDescent="0.2">
      <c r="A8" s="178">
        <v>5</v>
      </c>
      <c r="B8" s="198">
        <f ca="1">TblImps[[#This Row],[Time]]</f>
        <v>44343.166666666657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119010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18265</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Row],[Techpoints]],-1,0)+(1+research_bonus)*(26*MIN((TblConstr[[#This Row],[Tot Sch]]/(TblProd[[#This Row],[Land]]-TblExplore[[#This Row],[Land Bonus]]*20))*100,40))-TblProd[[#This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182.65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44343.166666666657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119010</v>
      </c>
      <c r="BJ8" s="113">
        <f ca="1">TblProd[[#This Row],[Food]]</f>
        <v>22941</v>
      </c>
      <c r="BK8" s="113">
        <f ca="1">TblProd[[#This Row],[Lumber]]</f>
        <v>18265</v>
      </c>
      <c r="BL8" s="113">
        <f ca="1">TblProd[[#This Row],[Mana]]</f>
        <v>0</v>
      </c>
      <c r="BM8" s="113">
        <f ca="1">TblProd[[#This Row],[Ore]]</f>
        <v>0</v>
      </c>
    </row>
    <row r="9" spans="1:65" x14ac:dyDescent="0.2">
      <c r="A9" s="178">
        <v>6</v>
      </c>
      <c r="B9" s="198">
        <f ca="1">TblImps[[#This Row],[Time]]</f>
        <v>44343.208333333321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124153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19082</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Row],[Techpoints]],-1,0)+(1+research_bonus)*(26*MIN((TblConstr[[#This Row],[Tot Sch]]/(TblProd[[#This Row],[Land]]-TblExplore[[#This Row],[Land Bonus]]*20))*100,40))-TblProd[[#This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809</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190.82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44343.208333333321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124153</v>
      </c>
      <c r="BJ9" s="113">
        <f ca="1">TblProd[[#This Row],[Food]]</f>
        <v>24852</v>
      </c>
      <c r="BK9" s="113">
        <f ca="1">TblProd[[#This Row],[Lumber]]</f>
        <v>19082</v>
      </c>
      <c r="BL9" s="113">
        <f ca="1">TblProd[[#This Row],[Mana]]</f>
        <v>0</v>
      </c>
      <c r="BM9" s="113">
        <f ca="1">TblProd[[#This Row],[Ore]]</f>
        <v>0</v>
      </c>
    </row>
    <row r="10" spans="1:65" x14ac:dyDescent="0.2">
      <c r="A10" s="178">
        <v>7</v>
      </c>
      <c r="B10" s="198">
        <f ca="1">TblImps[[#This Row],[Time]]</f>
        <v>44343.249999999985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129372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19891</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Row],[Techpoints]],-1,0)+(1+research_bonus)*(26*MIN((TblConstr[[#This Row],[Tot Sch]]/(TblProd[[#This Row],[Land]]-TblExplore[[#This Row],[Land Bonus]]*20))*100,40))-TblProd[[#This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801</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198.91</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44343.249999999985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129372</v>
      </c>
      <c r="BJ10" s="113">
        <f ca="1">TblProd[[#This Row],[Food]]</f>
        <v>26733</v>
      </c>
      <c r="BK10" s="113">
        <f ca="1">TblProd[[#This Row],[Lumber]]</f>
        <v>19891</v>
      </c>
      <c r="BL10" s="113">
        <f ca="1">TblProd[[#This Row],[Mana]]</f>
        <v>0</v>
      </c>
      <c r="BM10" s="113">
        <f ca="1">TblProd[[#This Row],[Ore]]</f>
        <v>0</v>
      </c>
    </row>
    <row r="11" spans="1:65" x14ac:dyDescent="0.2">
      <c r="A11" s="178">
        <v>8</v>
      </c>
      <c r="B11" s="198">
        <f ca="1">TblImps[[#This Row],[Time]]</f>
        <v>44343.29166666665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134669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20692</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Row],[Techpoints]],-1,0)+(1+research_bonus)*(26*MIN((TblConstr[[#This Row],[Tot Sch]]/(TblProd[[#This Row],[Land]]-TblExplore[[#This Row],[Land Bonus]]*20))*100,40))-TblProd[[#This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793</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206.92000000000002</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44343.29166666665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134669</v>
      </c>
      <c r="BJ11" s="113">
        <f ca="1">TblProd[[#This Row],[Food]]</f>
        <v>28585</v>
      </c>
      <c r="BK11" s="113">
        <f ca="1">TblProd[[#This Row],[Lumber]]</f>
        <v>20692</v>
      </c>
      <c r="BL11" s="113">
        <f ca="1">TblProd[[#This Row],[Mana]]</f>
        <v>0</v>
      </c>
      <c r="BM11" s="113">
        <f ca="1">TblProd[[#This Row],[Ore]]</f>
        <v>0</v>
      </c>
    </row>
    <row r="12" spans="1:65" x14ac:dyDescent="0.2">
      <c r="A12" s="178">
        <v>9</v>
      </c>
      <c r="B12" s="198">
        <f ca="1">TblImps[[#This Row],[Time]]</f>
        <v>44343.333333333314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140042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21485</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Row],[Techpoints]],-1,0)+(1+research_bonus)*(26*MIN((TblConstr[[#This Row],[Tot Sch]]/(TblProd[[#This Row],[Land]]-TblExplore[[#This Row],[Land Bonus]]*20))*100,40))-TblProd[[#This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785</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214.85</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44343.333333333314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140042</v>
      </c>
      <c r="BJ12" s="113">
        <f ca="1">TblProd[[#This Row],[Food]]</f>
        <v>30407</v>
      </c>
      <c r="BK12" s="113">
        <f ca="1">TblProd[[#This Row],[Lumber]]</f>
        <v>21485</v>
      </c>
      <c r="BL12" s="113">
        <f ca="1">TblProd[[#This Row],[Mana]]</f>
        <v>0</v>
      </c>
      <c r="BM12" s="113">
        <f ca="1">TblProd[[#This Row],[Ore]]</f>
        <v>0</v>
      </c>
    </row>
    <row r="13" spans="1:65" x14ac:dyDescent="0.2">
      <c r="A13" s="178">
        <v>10</v>
      </c>
      <c r="B13" s="198">
        <f ca="1">TblImps[[#This Row],[Time]]</f>
        <v>44343.374999999978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145493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22270</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Row],[Techpoints]],-1,0)+(1+research_bonus)*(26*MIN((TblConstr[[#This Row],[Tot Sch]]/(TblProd[[#This Row],[Land]]-TblExplore[[#This Row],[Land Bonus]]*20))*100,40))-TblProd[[#This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777</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222.70000000000002</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44343.374999999978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145493</v>
      </c>
      <c r="BJ13" s="113">
        <f ca="1">TblProd[[#This Row],[Food]]</f>
        <v>32200</v>
      </c>
      <c r="BK13" s="113">
        <f ca="1">TblProd[[#This Row],[Lumber]]</f>
        <v>22270</v>
      </c>
      <c r="BL13" s="113">
        <f ca="1">TblProd[[#This Row],[Mana]]</f>
        <v>0</v>
      </c>
      <c r="BM13" s="113">
        <f ca="1">TblProd[[#This Row],[Ore]]</f>
        <v>0</v>
      </c>
    </row>
    <row r="14" spans="1:65" s="59" customFormat="1" x14ac:dyDescent="0.2">
      <c r="A14" s="178">
        <v>11</v>
      </c>
      <c r="B14" s="198">
        <f ca="1">TblImps[[#This Row],[Time]]</f>
        <v>44343.416666666642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151025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23047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Row],[Techpoints]],-1,0)+(1+research_bonus)*(26*MIN((TblConstr[[#This Row],[Tot Sch]]/(TblProd[[#This Row],[Land]]-TblExplore[[#This Row],[Land Bonus]]*20))*100,40))-TblProd[[#This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770</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230.47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44343.416666666642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151025</v>
      </c>
      <c r="BJ14" s="124">
        <f ca="1">TblProd[[#This Row],[Food]]</f>
        <v>33964</v>
      </c>
      <c r="BK14" s="124">
        <f ca="1">TblProd[[#This Row],[Lumber]]</f>
        <v>23047</v>
      </c>
      <c r="BL14" s="124">
        <f ca="1">TblProd[[#This Row],[Mana]]</f>
        <v>0</v>
      </c>
      <c r="BM14" s="124">
        <f ca="1">TblProd[[#This Row],[Ore]]</f>
        <v>0</v>
      </c>
    </row>
    <row r="15" spans="1:65" x14ac:dyDescent="0.2">
      <c r="A15" s="178">
        <v>12</v>
      </c>
      <c r="B15" s="198">
        <f ca="1">TblImps[[#This Row],[Time]]</f>
        <v>44343.458333333307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156641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23817</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Row],[Techpoints]],-1,0)+(1+research_bonus)*(26*MIN((TblConstr[[#This Row],[Tot Sch]]/(TblProd[[#This Row],[Land]]-TblExplore[[#This Row],[Land Bonus]]*20))*100,40))-TblProd[[#This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762</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238.17000000000002</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44343.458333333307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156641</v>
      </c>
      <c r="BJ15" s="113">
        <f ca="1">TblProd[[#This Row],[Food]]</f>
        <v>35699</v>
      </c>
      <c r="BK15" s="113">
        <f ca="1">TblProd[[#This Row],[Lumber]]</f>
        <v>23817</v>
      </c>
      <c r="BL15" s="113">
        <f ca="1">TblProd[[#This Row],[Mana]]</f>
        <v>0</v>
      </c>
      <c r="BM15" s="113">
        <f ca="1">TblProd[[#This Row],[Ore]]</f>
        <v>0</v>
      </c>
    </row>
    <row r="16" spans="1:65" x14ac:dyDescent="0.2">
      <c r="A16" s="178">
        <v>13</v>
      </c>
      <c r="B16" s="198">
        <f ca="1">TblImps[[#This Row],[Time]]</f>
        <v>44343.499999999971</v>
      </c>
      <c r="C16" s="199"/>
      <c r="D16" s="200"/>
      <c r="E16" s="113">
        <f ca="1">TblConstr[[#This Row],[Land]]</f>
        <v>250</v>
      </c>
      <c r="F16" s="113">
        <f ca="1">TblPop[[#This Row],[Peasants]]</f>
        <v>1643</v>
      </c>
      <c r="G16" s="113">
        <f ca="1">TblMili[[#This Row],[Networth (2)]]</f>
        <v>6455</v>
      </c>
      <c r="H16" s="113">
        <f ca="1">OFFSET(TblProd[[#This Row],[Platinum]],-1,0)+OFFSET(TblProd[[#This Row],[Plat/hr]],-1,0) - TblProd[[#This Row],[Expenses Platinum]] + IF(TblProd[[#This Row],[Plat Bonus]],TblPop[[#This Row],[Peasants]]*4) + SUM(TblConstr[[#This Row],[Dest Hom]:[Dest Doc]])*TblConstr[[#This Row],[CPA Platinum -DB]]*tech_3_3_2*TblTech[[#This Row],[3-3]]</f>
        <v>162311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24579</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Row],[Techpoints]],-1,0)+(1+research_bonus)*(26*MIN((TblConstr[[#This Row],[Tot Sch]]/(TblProd[[#This Row],[Land]]-TblExplore[[#This Row],[Land Bonus]]*20))*100,40))-TblProd[[#This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754</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245.79</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44343.499999999971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162311</v>
      </c>
      <c r="BJ16" s="113">
        <f ca="1">TblProd[[#This Row],[Food]]</f>
        <v>37405</v>
      </c>
      <c r="BK16" s="113">
        <f ca="1">TblProd[[#This Row],[Lumber]]</f>
        <v>24579</v>
      </c>
      <c r="BL16" s="113">
        <f ca="1">TblProd[[#This Row],[Mana]]</f>
        <v>0</v>
      </c>
      <c r="BM16" s="113">
        <f ca="1">TblProd[[#This Row],[Ore]]</f>
        <v>0</v>
      </c>
    </row>
    <row r="17" spans="1:65" x14ac:dyDescent="0.2">
      <c r="A17" s="178">
        <v>14</v>
      </c>
      <c r="B17" s="198">
        <f ca="1">TblImps[[#This Row],[Time]]</f>
        <v>44343.541666666635</v>
      </c>
      <c r="C17" s="199"/>
      <c r="D17" s="200"/>
      <c r="E17" s="113">
        <f ca="1">TblConstr[[#This Row],[Land]]</f>
        <v>250</v>
      </c>
      <c r="F17" s="113">
        <f ca="1">TblPop[[#This Row],[Peasants]]</f>
        <v>1676</v>
      </c>
      <c r="G17" s="113">
        <f ca="1">TblMili[[#This Row],[Networth (2)]]</f>
        <v>6455</v>
      </c>
      <c r="H17" s="113">
        <f ca="1">OFFSET(TblProd[[#This Row],[Platinum]],-1,0)+OFFSET(TblProd[[#This Row],[Plat/hr]],-1,0) - TblProd[[#This Row],[Expenses Platinum]] + IF(TblProd[[#This Row],[Plat Bonus]],TblPop[[#This Row],[Peasants]]*4) + SUM(TblConstr[[#This Row],[Dest Hom]:[Dest Doc]])*TblConstr[[#This Row],[CPA Platinum -DB]]*tech_3_3_2*TblTech[[#This Row],[3-3]]</f>
        <v>167981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25333</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Row],[Techpoints]],-1,0)+(1+research_bonus)*(26*MIN((TblConstr[[#This Row],[Tot Sch]]/(TblProd[[#This Row],[Land]]-TblExplore[[#This Row],[Land Bonus]]*20))*100,40))-TblProd[[#This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747</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253.33</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44343.541666666635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167981</v>
      </c>
      <c r="BJ17" s="113">
        <f ca="1">TblProd[[#This Row],[Food]]</f>
        <v>39082</v>
      </c>
      <c r="BK17" s="113">
        <f ca="1">TblProd[[#This Row],[Lumber]]</f>
        <v>25333</v>
      </c>
      <c r="BL17" s="113">
        <f ca="1">TblProd[[#This Row],[Mana]]</f>
        <v>0</v>
      </c>
      <c r="BM17" s="113">
        <f ca="1">TblProd[[#This Row],[Ore]]</f>
        <v>0</v>
      </c>
    </row>
    <row r="18" spans="1:65" x14ac:dyDescent="0.2">
      <c r="A18" s="178">
        <v>15</v>
      </c>
      <c r="B18" s="198">
        <f ca="1">TblImps[[#This Row],[Time]]</f>
        <v>44343.583333333299</v>
      </c>
      <c r="C18" s="199"/>
      <c r="D18" s="200"/>
      <c r="E18" s="113">
        <f ca="1">TblConstr[[#This Row],[Land]]</f>
        <v>250</v>
      </c>
      <c r="F18" s="113">
        <f ca="1">TblPop[[#This Row],[Peasants]]</f>
        <v>1709</v>
      </c>
      <c r="G18" s="113">
        <f ca="1">TblMili[[#This Row],[Networth (2)]]</f>
        <v>6455</v>
      </c>
      <c r="H18" s="113">
        <f ca="1">OFFSET(TblProd[[#This Row],[Platinum]],-1,0)+OFFSET(TblProd[[#This Row],[Plat/hr]],-1,0) - TblProd[[#This Row],[Expenses Platinum]] + IF(TblProd[[#This Row],[Plat Bonus]],TblPop[[#This Row],[Peasants]]*4) + SUM(TblConstr[[#This Row],[Dest Hom]:[Dest Doc]])*TblConstr[[#This Row],[CPA Platinum -DB]]*tech_3_3_2*TblTech[[#This Row],[3-3]]</f>
        <v>173651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26080</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Row],[Techpoints]],-1,0)+(1+research_bonus)*(26*MIN((TblConstr[[#This Row],[Tot Sch]]/(TblProd[[#This Row],[Land]]-TblExplore[[#This Row],[Land Bonus]]*20))*100,40))-TblProd[[#This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739</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260.8</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44343.583333333299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173651</v>
      </c>
      <c r="BJ18" s="113">
        <f ca="1">TblProd[[#This Row],[Food]]</f>
        <v>40730</v>
      </c>
      <c r="BK18" s="113">
        <f ca="1">TblProd[[#This Row],[Lumber]]</f>
        <v>26080</v>
      </c>
      <c r="BL18" s="113">
        <f ca="1">TblProd[[#This Row],[Mana]]</f>
        <v>0</v>
      </c>
      <c r="BM18" s="113">
        <f ca="1">TblProd[[#This Row],[Ore]]</f>
        <v>0</v>
      </c>
    </row>
    <row r="19" spans="1:65" x14ac:dyDescent="0.2">
      <c r="A19" s="178">
        <v>16</v>
      </c>
      <c r="B19" s="198">
        <f ca="1">TblImps[[#This Row],[Time]]</f>
        <v>44343.624999999964</v>
      </c>
      <c r="C19" s="199"/>
      <c r="D19" s="200"/>
      <c r="E19" s="113">
        <f ca="1">TblConstr[[#This Row],[Land]]</f>
        <v>250</v>
      </c>
      <c r="F19" s="113">
        <f ca="1">TblPop[[#This Row],[Peasants]]</f>
        <v>1743</v>
      </c>
      <c r="G19" s="113">
        <f ca="1">TblMili[[#This Row],[Networth (2)]]</f>
        <v>6455</v>
      </c>
      <c r="H19" s="113">
        <f ca="1">OFFSET(TblProd[[#This Row],[Platinum]],-1,0)+OFFSET(TblProd[[#This Row],[Plat/hr]],-1,0) - TblProd[[#This Row],[Expenses Platinum]] + IF(TblProd[[#This Row],[Plat Bonus]],TblPop[[#This Row],[Peasants]]*4) + SUM(TblConstr[[#This Row],[Dest Hom]:[Dest Doc]])*TblConstr[[#This Row],[CPA Platinum -DB]]*tech_3_3_2*TblTech[[#This Row],[3-3]]</f>
        <v>179321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26819</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Row],[Techpoints]],-1,0)+(1+research_bonus)*(26*MIN((TblConstr[[#This Row],[Tot Sch]]/(TblProd[[#This Row],[Land]]-TblExplore[[#This Row],[Land Bonus]]*20))*100,40))-TblProd[[#This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732</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268.19</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44343.624999999964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179321</v>
      </c>
      <c r="BJ19" s="113">
        <f ca="1">TblProd[[#This Row],[Food]]</f>
        <v>42349</v>
      </c>
      <c r="BK19" s="113">
        <f ca="1">TblProd[[#This Row],[Lumber]]</f>
        <v>26819</v>
      </c>
      <c r="BL19" s="113">
        <f ca="1">TblProd[[#This Row],[Mana]]</f>
        <v>0</v>
      </c>
      <c r="BM19" s="113">
        <f ca="1">TblProd[[#This Row],[Ore]]</f>
        <v>0</v>
      </c>
    </row>
    <row r="20" spans="1:65" x14ac:dyDescent="0.2">
      <c r="A20" s="178">
        <v>17</v>
      </c>
      <c r="B20" s="198">
        <f ca="1">TblImps[[#This Row],[Time]]</f>
        <v>44343.666666666628</v>
      </c>
      <c r="C20" s="199"/>
      <c r="D20" s="200"/>
      <c r="E20" s="113">
        <f ca="1">TblConstr[[#This Row],[Land]]</f>
        <v>250</v>
      </c>
      <c r="F20" s="113">
        <f ca="1">TblPop[[#This Row],[Peasants]]</f>
        <v>1778</v>
      </c>
      <c r="G20" s="113">
        <f ca="1">TblMili[[#This Row],[Networth (2)]]</f>
        <v>6455</v>
      </c>
      <c r="H20" s="113">
        <f ca="1">OFFSET(TblProd[[#This Row],[Platinum]],-1,0)+OFFSET(TblProd[[#This Row],[Plat/hr]],-1,0) - TblProd[[#This Row],[Expenses Platinum]] + IF(TblProd[[#This Row],[Plat Bonus]],TblPop[[#This Row],[Peasants]]*4) + SUM(TblConstr[[#This Row],[Dest Hom]:[Dest Doc]])*TblConstr[[#This Row],[CPA Platinum -DB]]*tech_3_3_2*TblTech[[#This Row],[3-3]]</f>
        <v>184991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27551</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Row],[Techpoints]],-1,0)+(1+research_bonus)*(26*MIN((TblConstr[[#This Row],[Tot Sch]]/(TblProd[[#This Row],[Land]]-TblExplore[[#This Row],[Land Bonus]]*20))*100,40))-TblProd[[#This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275.51</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44343.666666666628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184991</v>
      </c>
      <c r="BJ20" s="113">
        <f ca="1">TblProd[[#This Row],[Food]]</f>
        <v>43939</v>
      </c>
      <c r="BK20" s="113">
        <f ca="1">TblProd[[#This Row],[Lumber]]</f>
        <v>27551</v>
      </c>
      <c r="BL20" s="113">
        <f ca="1">TblProd[[#This Row],[Mana]]</f>
        <v>0</v>
      </c>
      <c r="BM20" s="113">
        <f ca="1">TblProd[[#This Row],[Ore]]</f>
        <v>0</v>
      </c>
    </row>
    <row r="21" spans="1:65" x14ac:dyDescent="0.2">
      <c r="A21" s="178">
        <v>18</v>
      </c>
      <c r="B21" s="198">
        <f ca="1">TblImps[[#This Row],[Time]]</f>
        <v>44343.708333333292</v>
      </c>
      <c r="C21" s="199"/>
      <c r="D21" s="200"/>
      <c r="E21" s="113">
        <f ca="1">TblConstr[[#This Row],[Land]]</f>
        <v>250</v>
      </c>
      <c r="F21" s="113">
        <f ca="1">TblPop[[#This Row],[Peasants]]</f>
        <v>1813</v>
      </c>
      <c r="G21" s="113">
        <f ca="1">TblMili[[#This Row],[Networth (2)]]</f>
        <v>6455</v>
      </c>
      <c r="H21" s="113">
        <f ca="1">OFFSET(TblProd[[#This Row],[Platinum]],-1,0)+OFFSET(TblProd[[#This Row],[Plat/hr]],-1,0) - TblProd[[#This Row],[Expenses Platinum]] + IF(TblProd[[#This Row],[Plat Bonus]],TblPop[[#This Row],[Peasants]]*4) + SUM(TblConstr[[#This Row],[Dest Hom]:[Dest Doc]])*TblConstr[[#This Row],[CPA Platinum -DB]]*tech_3_3_2*TblTech[[#This Row],[3-3]]</f>
        <v>190661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28275</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Row],[Techpoints]],-1,0)+(1+research_bonus)*(26*MIN((TblConstr[[#This Row],[Tot Sch]]/(TblProd[[#This Row],[Land]]-TblExplore[[#This Row],[Land Bonus]]*20))*100,40))-TblProd[[#This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1532</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5670.0000000000009</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593</v>
      </c>
      <c r="AQ21" s="113">
        <f ca="1">TblProd[[#This Row],[Lumber]]*lumber_rot * (1 + tech_2_1*TblTech[[#This Row],[2-1]] + tech_2_8*TblTech[[#This Row],[2-8]] + tech_5_2*TblTech[[#This Row],[5-2]])</f>
        <v>282.75</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44343.708333333292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190661</v>
      </c>
      <c r="BJ21" s="113">
        <f ca="1">TblProd[[#This Row],[Food]]</f>
        <v>45500</v>
      </c>
      <c r="BK21" s="113">
        <f ca="1">TblProd[[#This Row],[Lumber]]</f>
        <v>28275</v>
      </c>
      <c r="BL21" s="113">
        <f ca="1">TblProd[[#This Row],[Mana]]</f>
        <v>0</v>
      </c>
      <c r="BM21" s="113">
        <f ca="1">TblProd[[#This Row],[Ore]]</f>
        <v>0</v>
      </c>
    </row>
    <row r="22" spans="1:65" x14ac:dyDescent="0.2">
      <c r="A22" s="178">
        <v>19</v>
      </c>
      <c r="B22" s="198">
        <f ca="1">TblImps[[#This Row],[Time]]</f>
        <v>44343.749999999956</v>
      </c>
      <c r="C22" s="199"/>
      <c r="D22" s="200"/>
      <c r="E22" s="113">
        <f ca="1">TblConstr[[#This Row],[Land]]</f>
        <v>250</v>
      </c>
      <c r="F22" s="113">
        <f ca="1">TblPop[[#This Row],[Peasants]]</f>
        <v>1806</v>
      </c>
      <c r="G22" s="113">
        <f ca="1">TblMili[[#This Row],[Networth (2)]]</f>
        <v>6455</v>
      </c>
      <c r="H22" s="113">
        <f ca="1">OFFSET(TblProd[[#This Row],[Platinum]],-1,0)+OFFSET(TblProd[[#This Row],[Plat/hr]],-1,0) - TblProd[[#This Row],[Expenses Platinum]] + IF(TblProd[[#This Row],[Plat Bonus]],TblPop[[#This Row],[Peasants]]*4) + SUM(TblConstr[[#This Row],[Dest Hom]:[Dest Doc]])*TblConstr[[#This Row],[CPA Platinum -DB]]*tech_3_3_2*TblTech[[#This Row],[3-3]]</f>
        <v>196331</v>
      </c>
      <c r="I22" s="113">
        <f ca="1">OFFSET(TblProd[[#This Row],[Food]],-1,0)+OFFSET(TblProd[[#This Row],[Food/hr]],-1,0)+ROUNDUP((TblConstr[[#This Row],[Farms]]*80+TblConstr[[#This Row],[Docks]]*35)*(1+OFFSET(TblProd[[#This Row],[Bonus Food/hr]],-1,0)),0)</f>
        <v>47032</v>
      </c>
      <c r="J22" s="113">
        <f ca="1">OFFSET(TblProd[[#This Row],[Lumber]],-1,0)+OFFSET(TblProd[[#This Row],[Lumber/hr]],-1,0) - TblProd[[#This Row],[Expenses Lumber]] + SUM(TblConstr[[#This Row],[Dest Hom]:[Dest Doc]])*TblConstr[[#This Row],[CPA Lumber -DB]]*tech_3_3_2*TblTech[[#This Row],[3-3]]</f>
        <v>28992</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Row],[Techpoints]],-1,0)+(1+research_bonus)*(26*MIN((TblConstr[[#This Row],[Tot Sch]]/(TblProd[[#This Row],[Land]]-TblExplore[[#This Row],[Land Bonus]]*20))*100,40))-TblProd[[#This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1514</v>
      </c>
      <c r="U22" s="113">
        <f ca="1">ROUND(TblProd[[#This Row],[Raw Lumber/hr]]*(1+TblProd[[#This Row],[Bonus Lumber/hr]])-TblProd[[#This Row],[Lumber rot]],0)</f>
        <v>710</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470.32</v>
      </c>
      <c r="AP22" s="113">
        <f ca="1">(1+race_food_consumption)*TblPop[[#This Row],[Total]]*food_per_person*(1+tech_1_10*TblTech[[#This Row],[1-10]]+tech_7_5*TblTech[[#This Row],[7-5]])</f>
        <v>595.75</v>
      </c>
      <c r="AQ22" s="113">
        <f ca="1">TblProd[[#This Row],[Lumber]]*lumber_rot * (1 + tech_2_1*TblTech[[#This Row],[2-1]] + tech_2_8*TblTech[[#This Row],[2-8]] + tech_5_2*TblTech[[#This Row],[5-2]])</f>
        <v>289.92</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44343.749999999956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196331</v>
      </c>
      <c r="BJ22" s="113">
        <f ca="1">TblProd[[#This Row],[Food]]</f>
        <v>47032</v>
      </c>
      <c r="BK22" s="113">
        <f ca="1">TblProd[[#This Row],[Lumber]]</f>
        <v>28992</v>
      </c>
      <c r="BL22" s="113">
        <f ca="1">TblProd[[#This Row],[Mana]]</f>
        <v>0</v>
      </c>
      <c r="BM22" s="113">
        <f ca="1">TblProd[[#This Row],[Ore]]</f>
        <v>0</v>
      </c>
    </row>
    <row r="23" spans="1:65" x14ac:dyDescent="0.2">
      <c r="A23" s="178">
        <v>20</v>
      </c>
      <c r="B23" s="198">
        <f ca="1">TblImps[[#This Row],[Time]]</f>
        <v>44343.791666666621</v>
      </c>
      <c r="C23" s="199"/>
      <c r="D23" s="200"/>
      <c r="E23" s="113">
        <f ca="1">TblConstr[[#This Row],[Land]]</f>
        <v>250</v>
      </c>
      <c r="F23" s="113">
        <f ca="1">TblPop[[#This Row],[Peasants]]</f>
        <v>1788</v>
      </c>
      <c r="G23" s="113">
        <f ca="1">TblMili[[#This Row],[Networth (2)]]</f>
        <v>6455</v>
      </c>
      <c r="H23" s="113">
        <f ca="1">OFFSET(TblProd[[#This Row],[Platinum]],-1,0)+OFFSET(TblProd[[#This Row],[Plat/hr]],-1,0) - TblProd[[#This Row],[Expenses Platinum]] + IF(TblProd[[#This Row],[Plat Bonus]],TblPop[[#This Row],[Peasants]]*4) + SUM(TblConstr[[#This Row],[Dest Hom]:[Dest Doc]])*TblConstr[[#This Row],[CPA Platinum -DB]]*tech_3_3_2*TblTech[[#This Row],[3-3]]</f>
        <v>202001</v>
      </c>
      <c r="I23" s="113">
        <f ca="1">OFFSET(TblProd[[#This Row],[Food]],-1,0)+OFFSET(TblProd[[#This Row],[Food/hr]],-1,0)+ROUNDUP((TblConstr[[#This Row],[Farms]]*80+TblConstr[[#This Row],[Docks]]*35)*(1+OFFSET(TblProd[[#This Row],[Bonus Food/hr]],-1,0)),0)</f>
        <v>48546</v>
      </c>
      <c r="J23" s="113">
        <f ca="1">OFFSET(TblProd[[#This Row],[Lumber]],-1,0)+OFFSET(TblProd[[#This Row],[Lumber/hr]],-1,0) - TblProd[[#This Row],[Expenses Lumber]] + SUM(TblConstr[[#This Row],[Dest Hom]:[Dest Doc]])*TblConstr[[#This Row],[CPA Lumber -DB]]*tech_3_3_2*TblTech[[#This Row],[3-3]]</f>
        <v>29702</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Row],[Techpoints]],-1,0)+(1+research_bonus)*(26*MIN((TblConstr[[#This Row],[Tot Sch]]/(TblProd[[#This Row],[Land]]-TblExplore[[#This Row],[Land Bonus]]*20))*100,40))-TblProd[[#This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1499</v>
      </c>
      <c r="U23" s="113">
        <f ca="1">ROUND(TblProd[[#This Row],[Raw Lumber/hr]]*(1+TblProd[[#This Row],[Bonus Lumber/hr]])-TblProd[[#This Row],[Lumber rot]],0)</f>
        <v>703</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485.46000000000004</v>
      </c>
      <c r="AP23" s="113">
        <f ca="1">(1+race_food_consumption)*TblPop[[#This Row],[Total]]*food_per_person*(1+tech_1_10*TblTech[[#This Row],[1-10]]+tech_7_5*TblTech[[#This Row],[7-5]])</f>
        <v>595.75</v>
      </c>
      <c r="AQ23" s="113">
        <f ca="1">TblProd[[#This Row],[Lumber]]*lumber_rot * (1 + tech_2_1*TblTech[[#This Row],[2-1]] + tech_2_8*TblTech[[#This Row],[2-8]] + tech_5_2*TblTech[[#This Row],[5-2]])</f>
        <v>297.02</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44343.791666666621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202001</v>
      </c>
      <c r="BJ23" s="113">
        <f ca="1">TblProd[[#This Row],[Food]]</f>
        <v>48546</v>
      </c>
      <c r="BK23" s="113">
        <f ca="1">TblProd[[#This Row],[Lumber]]</f>
        <v>29702</v>
      </c>
      <c r="BL23" s="113">
        <f ca="1">TblProd[[#This Row],[Mana]]</f>
        <v>0</v>
      </c>
      <c r="BM23" s="113">
        <f ca="1">TblProd[[#This Row],[Ore]]</f>
        <v>0</v>
      </c>
    </row>
    <row r="24" spans="1:65" x14ac:dyDescent="0.2">
      <c r="A24" s="178">
        <v>21</v>
      </c>
      <c r="B24" s="198">
        <f ca="1">TblImps[[#This Row],[Time]]</f>
        <v>44343.833333333285</v>
      </c>
      <c r="C24" s="199"/>
      <c r="D24" s="200"/>
      <c r="E24" s="113">
        <f ca="1">TblConstr[[#This Row],[Land]]</f>
        <v>250</v>
      </c>
      <c r="F24" s="113">
        <f ca="1">TblPop[[#This Row],[Peasants]]</f>
        <v>1770</v>
      </c>
      <c r="G24" s="113">
        <f ca="1">TblMili[[#This Row],[Networth (2)]]</f>
        <v>6455</v>
      </c>
      <c r="H24" s="113">
        <f ca="1">OFFSET(TblProd[[#This Row],[Platinum]],-1,0)+OFFSET(TblProd[[#This Row],[Plat/hr]],-1,0) - TblProd[[#This Row],[Expenses Platinum]] + IF(TblProd[[#This Row],[Plat Bonus]],TblPop[[#This Row],[Peasants]]*4) + SUM(TblConstr[[#This Row],[Dest Hom]:[Dest Doc]])*TblConstr[[#This Row],[CPA Platinum -DB]]*tech_3_3_2*TblTech[[#This Row],[3-3]]</f>
        <v>207671</v>
      </c>
      <c r="I24" s="113">
        <f ca="1">OFFSET(TblProd[[#This Row],[Food]],-1,0)+OFFSET(TblProd[[#This Row],[Food/hr]],-1,0)+ROUNDUP((TblConstr[[#This Row],[Farms]]*80+TblConstr[[#This Row],[Docks]]*35)*(1+OFFSET(TblProd[[#This Row],[Bonus Food/hr]],-1,0)),0)</f>
        <v>50045</v>
      </c>
      <c r="J24" s="113">
        <f ca="1">OFFSET(TblProd[[#This Row],[Lumber]],-1,0)+OFFSET(TblProd[[#This Row],[Lumber/hr]],-1,0) - TblProd[[#This Row],[Expenses Lumber]] + SUM(TblConstr[[#This Row],[Dest Hom]:[Dest Doc]])*TblConstr[[#This Row],[CPA Lumber -DB]]*tech_3_3_2*TblTech[[#This Row],[3-3]]</f>
        <v>30405</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Row],[Techpoints]],-1,0)+(1+research_bonus)*(26*MIN((TblConstr[[#This Row],[Tot Sch]]/(TblProd[[#This Row],[Land]]-TblExplore[[#This Row],[Land Bonus]]*20))*100,40))-TblProd[[#This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1484</v>
      </c>
      <c r="U24" s="113">
        <f ca="1">ROUND(TblProd[[#This Row],[Raw Lumber/hr]]*(1+TblProd[[#This Row],[Bonus Lumber/hr]])-TblProd[[#This Row],[Lumber rot]],0)</f>
        <v>696</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500.45</v>
      </c>
      <c r="AP24" s="113">
        <f ca="1">(1+race_food_consumption)*TblPop[[#This Row],[Total]]*food_per_person*(1+tech_1_10*TblTech[[#This Row],[1-10]]+tech_7_5*TblTech[[#This Row],[7-5]])</f>
        <v>595.75</v>
      </c>
      <c r="AQ24" s="113">
        <f ca="1">TblProd[[#This Row],[Lumber]]*lumber_rot * (1 + tech_2_1*TblTech[[#This Row],[2-1]] + tech_2_8*TblTech[[#This Row],[2-8]] + tech_5_2*TblTech[[#This Row],[5-2]])</f>
        <v>304.05</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44343.833333333285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207671</v>
      </c>
      <c r="BJ24" s="113">
        <f ca="1">TblProd[[#This Row],[Food]]</f>
        <v>50045</v>
      </c>
      <c r="BK24" s="113">
        <f ca="1">TblProd[[#This Row],[Lumber]]</f>
        <v>30405</v>
      </c>
      <c r="BL24" s="113">
        <f ca="1">TblProd[[#This Row],[Mana]]</f>
        <v>0</v>
      </c>
      <c r="BM24" s="113">
        <f ca="1">TblProd[[#This Row],[Ore]]</f>
        <v>0</v>
      </c>
    </row>
    <row r="25" spans="1:65" x14ac:dyDescent="0.2">
      <c r="A25" s="178">
        <v>22</v>
      </c>
      <c r="B25" s="198">
        <f ca="1">TblImps[[#This Row],[Time]]</f>
        <v>44343.874999999949</v>
      </c>
      <c r="C25" s="199"/>
      <c r="D25" s="200"/>
      <c r="E25" s="113">
        <f ca="1">TblConstr[[#This Row],[Land]]</f>
        <v>250</v>
      </c>
      <c r="F25" s="113">
        <f ca="1">TblPop[[#This Row],[Peasants]]</f>
        <v>1752</v>
      </c>
      <c r="G25" s="113">
        <f ca="1">TblMili[[#This Row],[Networth (2)]]</f>
        <v>6455</v>
      </c>
      <c r="H25" s="113">
        <f ca="1">OFFSET(TblProd[[#This Row],[Platinum]],-1,0)+OFFSET(TblProd[[#This Row],[Plat/hr]],-1,0) - TblProd[[#This Row],[Expenses Platinum]] + IF(TblProd[[#This Row],[Plat Bonus]],TblPop[[#This Row],[Peasants]]*4) + SUM(TblConstr[[#This Row],[Dest Hom]:[Dest Doc]])*TblConstr[[#This Row],[CPA Platinum -DB]]*tech_3_3_2*TblTech[[#This Row],[3-3]]</f>
        <v>213341</v>
      </c>
      <c r="I25" s="113">
        <f ca="1">OFFSET(TblProd[[#This Row],[Food]],-1,0)+OFFSET(TblProd[[#This Row],[Food/hr]],-1,0)+ROUNDUP((TblConstr[[#This Row],[Farms]]*80+TblConstr[[#This Row],[Docks]]*35)*(1+OFFSET(TblProd[[#This Row],[Bonus Food/hr]],-1,0)),0)</f>
        <v>51529</v>
      </c>
      <c r="J25" s="113">
        <f ca="1">OFFSET(TblProd[[#This Row],[Lumber]],-1,0)+OFFSET(TblProd[[#This Row],[Lumber/hr]],-1,0) - TblProd[[#This Row],[Expenses Lumber]] + SUM(TblConstr[[#This Row],[Dest Hom]:[Dest Doc]])*TblConstr[[#This Row],[CPA Lumber -DB]]*tech_3_3_2*TblTech[[#This Row],[3-3]]</f>
        <v>31101</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Row],[Techpoints]],-1,0)+(1+research_bonus)*(26*MIN((TblConstr[[#This Row],[Tot Sch]]/(TblProd[[#This Row],[Land]]-TblExplore[[#This Row],[Land Bonus]]*20))*100,40))-TblProd[[#This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1469</v>
      </c>
      <c r="U25" s="113">
        <f ca="1">ROUND(TblProd[[#This Row],[Raw Lumber/hr]]*(1+TblProd[[#This Row],[Bonus Lumber/hr]])-TblProd[[#This Row],[Lumber rot]],0)</f>
        <v>689</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515.29</v>
      </c>
      <c r="AP25" s="113">
        <f ca="1">(1+race_food_consumption)*TblPop[[#This Row],[Total]]*food_per_person*(1+tech_1_10*TblTech[[#This Row],[1-10]]+tech_7_5*TblTech[[#This Row],[7-5]])</f>
        <v>595.75</v>
      </c>
      <c r="AQ25" s="113">
        <f ca="1">TblProd[[#This Row],[Lumber]]*lumber_rot * (1 + tech_2_1*TblTech[[#This Row],[2-1]] + tech_2_8*TblTech[[#This Row],[2-8]] + tech_5_2*TblTech[[#This Row],[5-2]])</f>
        <v>311.01</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44343.874999999949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213341</v>
      </c>
      <c r="BJ25" s="113">
        <f ca="1">TblProd[[#This Row],[Food]]</f>
        <v>51529</v>
      </c>
      <c r="BK25" s="113">
        <f ca="1">TblProd[[#This Row],[Lumber]]</f>
        <v>31101</v>
      </c>
      <c r="BL25" s="113">
        <f ca="1">TblProd[[#This Row],[Mana]]</f>
        <v>0</v>
      </c>
      <c r="BM25" s="113">
        <f ca="1">TblProd[[#This Row],[Ore]]</f>
        <v>0</v>
      </c>
    </row>
    <row r="26" spans="1:65" x14ac:dyDescent="0.2">
      <c r="A26" s="178">
        <v>23</v>
      </c>
      <c r="B26" s="198">
        <f ca="1">TblImps[[#This Row],[Time]]</f>
        <v>44343.916666666613</v>
      </c>
      <c r="C26" s="199"/>
      <c r="D26" s="200"/>
      <c r="E26" s="113">
        <f ca="1">TblConstr[[#This Row],[Land]]</f>
        <v>250</v>
      </c>
      <c r="F26" s="113">
        <f ca="1">TblPop[[#This Row],[Peasants]]</f>
        <v>1734</v>
      </c>
      <c r="G26" s="113">
        <f ca="1">TblMili[[#This Row],[Networth (2)]]</f>
        <v>6455</v>
      </c>
      <c r="H26" s="113">
        <f ca="1">OFFSET(TblProd[[#This Row],[Platinum]],-1,0)+OFFSET(TblProd[[#This Row],[Plat/hr]],-1,0) - TblProd[[#This Row],[Expenses Platinum]] + IF(TblProd[[#This Row],[Plat Bonus]],TblPop[[#This Row],[Peasants]]*4) + SUM(TblConstr[[#This Row],[Dest Hom]:[Dest Doc]])*TblConstr[[#This Row],[CPA Platinum -DB]]*tech_3_3_2*TblTech[[#This Row],[3-3]]</f>
        <v>219011</v>
      </c>
      <c r="I26" s="113">
        <f ca="1">OFFSET(TblProd[[#This Row],[Food]],-1,0)+OFFSET(TblProd[[#This Row],[Food/hr]],-1,0)+ROUNDUP((TblConstr[[#This Row],[Farms]]*80+TblConstr[[#This Row],[Docks]]*35)*(1+OFFSET(TblProd[[#This Row],[Bonus Food/hr]],-1,0)),0)</f>
        <v>52998</v>
      </c>
      <c r="J26" s="113">
        <f ca="1">OFFSET(TblProd[[#This Row],[Lumber]],-1,0)+OFFSET(TblProd[[#This Row],[Lumber/hr]],-1,0) - TblProd[[#This Row],[Expenses Lumber]] + SUM(TblConstr[[#This Row],[Dest Hom]:[Dest Doc]])*TblConstr[[#This Row],[CPA Lumber -DB]]*tech_3_3_2*TblTech[[#This Row],[3-3]]</f>
        <v>31790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Row],[Techpoints]],-1,0)+(1+research_bonus)*(26*MIN((TblConstr[[#This Row],[Tot Sch]]/(TblProd[[#This Row],[Land]]-TblExplore[[#This Row],[Land Bonus]]*20))*100,40))-TblProd[[#This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1454</v>
      </c>
      <c r="U26" s="113">
        <f ca="1">ROUND(TblProd[[#This Row],[Raw Lumber/hr]]*(1+TblProd[[#This Row],[Bonus Lumber/hr]])-TblProd[[#This Row],[Lumber rot]],0)</f>
        <v>682</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529.98</v>
      </c>
      <c r="AP26" s="113">
        <f ca="1">(1+race_food_consumption)*TblPop[[#This Row],[Total]]*food_per_person*(1+tech_1_10*TblTech[[#This Row],[1-10]]+tech_7_5*TblTech[[#This Row],[7-5]])</f>
        <v>595.75</v>
      </c>
      <c r="AQ26" s="113">
        <f ca="1">TblProd[[#This Row],[Lumber]]*lumber_rot * (1 + tech_2_1*TblTech[[#This Row],[2-1]] + tech_2_8*TblTech[[#This Row],[2-8]] + tech_5_2*TblTech[[#This Row],[5-2]])</f>
        <v>317.90000000000003</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44343.916666666613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219011</v>
      </c>
      <c r="BJ26" s="113">
        <f ca="1">TblProd[[#This Row],[Food]]</f>
        <v>52998</v>
      </c>
      <c r="BK26" s="113">
        <f ca="1">TblProd[[#This Row],[Lumber]]</f>
        <v>31790</v>
      </c>
      <c r="BL26" s="113">
        <f ca="1">TblProd[[#This Row],[Mana]]</f>
        <v>0</v>
      </c>
      <c r="BM26" s="113">
        <f ca="1">TblProd[[#This Row],[Ore]]</f>
        <v>0</v>
      </c>
    </row>
    <row r="27" spans="1:65" x14ac:dyDescent="0.2">
      <c r="A27" s="178">
        <v>24</v>
      </c>
      <c r="B27" s="198">
        <f ca="1">TblImps[[#This Row],[Time]]</f>
        <v>44343.958333333278</v>
      </c>
      <c r="C27" s="199"/>
      <c r="D27" s="200"/>
      <c r="E27" s="113">
        <f ca="1">TblConstr[[#This Row],[Land]]</f>
        <v>250</v>
      </c>
      <c r="F27" s="113">
        <f ca="1">TblPop[[#This Row],[Peasants]]</f>
        <v>1717</v>
      </c>
      <c r="G27" s="113">
        <f ca="1">TblMili[[#This Row],[Networth (2)]]</f>
        <v>6455</v>
      </c>
      <c r="H27" s="113">
        <f ca="1">OFFSET(TblProd[[#This Row],[Platinum]],-1,0)+OFFSET(TblProd[[#This Row],[Plat/hr]],-1,0) - TblProd[[#This Row],[Expenses Platinum]] + IF(TblProd[[#This Row],[Plat Bonus]],TblPop[[#This Row],[Peasants]]*4) + SUM(TblConstr[[#This Row],[Dest Hom]:[Dest Doc]])*TblConstr[[#This Row],[CPA Platinum -DB]]*tech_3_3_2*TblTech[[#This Row],[3-3]]</f>
        <v>224681</v>
      </c>
      <c r="I27" s="113">
        <f ca="1">OFFSET(TblProd[[#This Row],[Food]],-1,0)+OFFSET(TblProd[[#This Row],[Food/hr]],-1,0)+ROUNDUP((TblConstr[[#This Row],[Farms]]*80+TblConstr[[#This Row],[Docks]]*35)*(1+OFFSET(TblProd[[#This Row],[Bonus Food/hr]],-1,0)),0)</f>
        <v>54452</v>
      </c>
      <c r="J27" s="113">
        <f ca="1">OFFSET(TblProd[[#This Row],[Lumber]],-1,0)+OFFSET(TblProd[[#This Row],[Lumber/hr]],-1,0) - TblProd[[#This Row],[Expenses Lumber]] + SUM(TblConstr[[#This Row],[Dest Hom]:[Dest Doc]])*TblConstr[[#This Row],[CPA Lumber -DB]]*tech_3_3_2*TblTech[[#This Row],[3-3]]</f>
        <v>32472</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Row],[Techpoints]],-1,0)+(1+research_bonus)*(26*MIN((TblConstr[[#This Row],[Tot Sch]]/(TblProd[[#This Row],[Land]]-TblExplore[[#This Row],[Land Bonus]]*20))*100,40))-TblProd[[#This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1440</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5670.0000000000009</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544.52</v>
      </c>
      <c r="AP27" s="113">
        <f ca="1">(1+race_food_consumption)*TblPop[[#This Row],[Total]]*food_per_person*(1+tech_1_10*TblTech[[#This Row],[1-10]]+tech_7_5*TblTech[[#This Row],[7-5]])</f>
        <v>595.75</v>
      </c>
      <c r="AQ27" s="113">
        <f ca="1">TblProd[[#This Row],[Lumber]]*lumber_rot * (1 + tech_2_1*TblTech[[#This Row],[2-1]] + tech_2_8*TblTech[[#This Row],[2-8]] + tech_5_2*TblTech[[#This Row],[5-2]])</f>
        <v>324.72000000000003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44343.958333333278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224681</v>
      </c>
      <c r="BJ27" s="113">
        <f ca="1">TblProd[[#This Row],[Food]]</f>
        <v>54452</v>
      </c>
      <c r="BK27" s="113">
        <f ca="1">TblProd[[#This Row],[Lumber]]</f>
        <v>32472</v>
      </c>
      <c r="BL27" s="113">
        <f ca="1">TblProd[[#This Row],[Mana]]</f>
        <v>0</v>
      </c>
      <c r="BM27" s="113">
        <f ca="1">TblProd[[#This Row],[Ore]]</f>
        <v>0</v>
      </c>
    </row>
    <row r="28" spans="1:65" x14ac:dyDescent="0.2">
      <c r="A28" s="178">
        <v>25</v>
      </c>
      <c r="B28" s="198">
        <f ca="1">TblImps[[#This Row],[Time]]</f>
        <v>44343.999999999942</v>
      </c>
      <c r="C28" s="199"/>
      <c r="D28" s="200"/>
      <c r="E28" s="113">
        <f ca="1">TblConstr[[#This Row],[Land]]</f>
        <v>250</v>
      </c>
      <c r="F28" s="113">
        <f ca="1">TblPop[[#This Row],[Peasants]]</f>
        <v>1700</v>
      </c>
      <c r="G28" s="113">
        <f ca="1">TblMili[[#This Row],[Networth (2)]]</f>
        <v>6455</v>
      </c>
      <c r="H28" s="113">
        <f ca="1">OFFSET(TblProd[[#This Row],[Platinum]],-1,0)+OFFSET(TblProd[[#This Row],[Plat/hr]],-1,0) - TblProd[[#This Row],[Expenses Platinum]] + IF(TblProd[[#This Row],[Plat Bonus]],TblPop[[#This Row],[Peasants]]*4) + SUM(TblConstr[[#This Row],[Dest Hom]:[Dest Doc]])*TblConstr[[#This Row],[CPA Platinum -DB]]*tech_3_3_2*TblTech[[#This Row],[3-3]]</f>
        <v>230351</v>
      </c>
      <c r="I28" s="113">
        <f ca="1">OFFSET(TblProd[[#This Row],[Food]],-1,0)+OFFSET(TblProd[[#This Row],[Food/hr]],-1,0)+ROUNDUP((TblConstr[[#This Row],[Farms]]*80+TblConstr[[#This Row],[Docks]]*35)*(1+OFFSET(TblProd[[#This Row],[Bonus Food/hr]],-1,0)),0)</f>
        <v>55892</v>
      </c>
      <c r="J28" s="113">
        <f ca="1">OFFSET(TblProd[[#This Row],[Lumber]],-1,0)+OFFSET(TblProd[[#This Row],[Lumber/hr]],-1,0) - TblProd[[#This Row],[Expenses Lumber]] + SUM(TblConstr[[#This Row],[Dest Hom]:[Dest Doc]])*TblConstr[[#This Row],[CPA Lumber -DB]]*tech_3_3_2*TblTech[[#This Row],[3-3]]</f>
        <v>33147</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Row],[Techpoints]],-1,0)+(1+research_bonus)*(26*MIN((TblConstr[[#This Row],[Tot Sch]]/(TblProd[[#This Row],[Land]]-TblExplore[[#This Row],[Land Bonus]]*20))*100,40))-TblProd[[#This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1425</v>
      </c>
      <c r="U28" s="113">
        <f ca="1">ROUND(TblProd[[#This Row],[Raw Lumber/hr]]*(1+TblProd[[#This Row],[Bonus Lumber/hr]])-TblProd[[#This Row],[Lumber rot]],0)</f>
        <v>669</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558.91999999999996</v>
      </c>
      <c r="AP28" s="113">
        <f ca="1">(1+race_food_consumption)*TblPop[[#This Row],[Total]]*food_per_person*(1+tech_1_10*TblTech[[#This Row],[1-10]]+tech_7_5*TblTech[[#This Row],[7-5]])</f>
        <v>595.75</v>
      </c>
      <c r="AQ28" s="113">
        <f ca="1">TblProd[[#This Row],[Lumber]]*lumber_rot * (1 + tech_2_1*TblTech[[#This Row],[2-1]] + tech_2_8*TblTech[[#This Row],[2-8]] + tech_5_2*TblTech[[#This Row],[5-2]])</f>
        <v>331.47</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44343.999999999942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230351</v>
      </c>
      <c r="BJ28" s="113">
        <f ca="1">TblProd[[#This Row],[Food]]</f>
        <v>55892</v>
      </c>
      <c r="BK28" s="113">
        <f ca="1">TblProd[[#This Row],[Lumber]]</f>
        <v>33147</v>
      </c>
      <c r="BL28" s="113">
        <f ca="1">TblProd[[#This Row],[Mana]]</f>
        <v>0</v>
      </c>
      <c r="BM28" s="113">
        <f ca="1">TblProd[[#This Row],[Ore]]</f>
        <v>0</v>
      </c>
    </row>
    <row r="29" spans="1:65" x14ac:dyDescent="0.2">
      <c r="A29" s="178">
        <v>26</v>
      </c>
      <c r="B29" s="198">
        <f ca="1">TblImps[[#This Row],[Time]]</f>
        <v>44344.041666666606</v>
      </c>
      <c r="C29" s="199"/>
      <c r="D29" s="200"/>
      <c r="E29" s="113">
        <f ca="1">TblConstr[[#This Row],[Land]]</f>
        <v>250</v>
      </c>
      <c r="F29" s="113">
        <f ca="1">TblPop[[#This Row],[Peasants]]</f>
        <v>1683</v>
      </c>
      <c r="G29" s="113">
        <f ca="1">TblMili[[#This Row],[Networth (2)]]</f>
        <v>6455</v>
      </c>
      <c r="H29" s="113">
        <f ca="1">OFFSET(TblProd[[#This Row],[Platinum]],-1,0)+OFFSET(TblProd[[#This Row],[Plat/hr]],-1,0) - TblProd[[#This Row],[Expenses Platinum]] + IF(TblProd[[#This Row],[Plat Bonus]],TblPop[[#This Row],[Peasants]]*4) + SUM(TblConstr[[#This Row],[Dest Hom]:[Dest Doc]])*TblConstr[[#This Row],[CPA Platinum -DB]]*tech_3_3_2*TblTech[[#This Row],[3-3]]</f>
        <v>236021</v>
      </c>
      <c r="I29" s="113">
        <f ca="1">OFFSET(TblProd[[#This Row],[Food]],-1,0)+OFFSET(TblProd[[#This Row],[Food/hr]],-1,0)+ROUNDUP((TblConstr[[#This Row],[Farms]]*80+TblConstr[[#This Row],[Docks]]*35)*(1+OFFSET(TblProd[[#This Row],[Bonus Food/hr]],-1,0)),0)</f>
        <v>57317</v>
      </c>
      <c r="J29" s="113">
        <f ca="1">OFFSET(TblProd[[#This Row],[Lumber]],-1,0)+OFFSET(TblProd[[#This Row],[Lumber/hr]],-1,0) - TblProd[[#This Row],[Expenses Lumber]] + SUM(TblConstr[[#This Row],[Dest Hom]:[Dest Doc]])*TblConstr[[#This Row],[CPA Lumber -DB]]*tech_3_3_2*TblTech[[#This Row],[3-3]]</f>
        <v>33816</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Row],[Techpoints]],-1,0)+(1+research_bonus)*(26*MIN((TblConstr[[#This Row],[Tot Sch]]/(TblProd[[#This Row],[Land]]-TblExplore[[#This Row],[Land Bonus]]*20))*100,40))-TblProd[[#This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1411</v>
      </c>
      <c r="U29" s="113">
        <f ca="1">ROUND(TblProd[[#This Row],[Raw Lumber/hr]]*(1+TblProd[[#This Row],[Bonus Lumber/hr]])-TblProd[[#This Row],[Lumber rot]],0)</f>
        <v>662</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573.16999999999996</v>
      </c>
      <c r="AP29" s="113">
        <f ca="1">(1+race_food_consumption)*TblPop[[#This Row],[Total]]*food_per_person*(1+tech_1_10*TblTech[[#This Row],[1-10]]+tech_7_5*TblTech[[#This Row],[7-5]])</f>
        <v>595.75</v>
      </c>
      <c r="AQ29" s="113">
        <f ca="1">TblProd[[#This Row],[Lumber]]*lumber_rot * (1 + tech_2_1*TblTech[[#This Row],[2-1]] + tech_2_8*TblTech[[#This Row],[2-8]] + tech_5_2*TblTech[[#This Row],[5-2]])</f>
        <v>338.16</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44344.041666666606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236021</v>
      </c>
      <c r="BJ29" s="113">
        <f ca="1">TblProd[[#This Row],[Food]]</f>
        <v>57317</v>
      </c>
      <c r="BK29" s="113">
        <f ca="1">TblProd[[#This Row],[Lumber]]</f>
        <v>33816</v>
      </c>
      <c r="BL29" s="113">
        <f ca="1">TblProd[[#This Row],[Mana]]</f>
        <v>0</v>
      </c>
      <c r="BM29" s="113">
        <f ca="1">TblProd[[#This Row],[Ore]]</f>
        <v>0</v>
      </c>
    </row>
    <row r="30" spans="1:65" x14ac:dyDescent="0.2">
      <c r="A30" s="178">
        <v>27</v>
      </c>
      <c r="B30" s="198">
        <f ca="1">TblImps[[#This Row],[Time]]</f>
        <v>44344.08333333327</v>
      </c>
      <c r="C30" s="199"/>
      <c r="D30" s="200"/>
      <c r="E30" s="113">
        <f ca="1">TblConstr[[#This Row],[Land]]</f>
        <v>250</v>
      </c>
      <c r="F30" s="113">
        <f ca="1">TblPop[[#This Row],[Peasants]]</f>
        <v>1666</v>
      </c>
      <c r="G30" s="113">
        <f ca="1">TblMili[[#This Row],[Networth (2)]]</f>
        <v>6455</v>
      </c>
      <c r="H30" s="113">
        <f ca="1">OFFSET(TblProd[[#This Row],[Platinum]],-1,0)+OFFSET(TblProd[[#This Row],[Plat/hr]],-1,0) - TblProd[[#This Row],[Expenses Platinum]] + IF(TblProd[[#This Row],[Plat Bonus]],TblPop[[#This Row],[Peasants]]*4) + SUM(TblConstr[[#This Row],[Dest Hom]:[Dest Doc]])*TblConstr[[#This Row],[CPA Platinum -DB]]*tech_3_3_2*TblTech[[#This Row],[3-3]]</f>
        <v>241691</v>
      </c>
      <c r="I30" s="113">
        <f ca="1">OFFSET(TblProd[[#This Row],[Food]],-1,0)+OFFSET(TblProd[[#This Row],[Food/hr]],-1,0)+ROUNDUP((TblConstr[[#This Row],[Farms]]*80+TblConstr[[#This Row],[Docks]]*35)*(1+OFFSET(TblProd[[#This Row],[Bonus Food/hr]],-1,0)),0)</f>
        <v>58728</v>
      </c>
      <c r="J30" s="113">
        <f ca="1">OFFSET(TblProd[[#This Row],[Lumber]],-1,0)+OFFSET(TblProd[[#This Row],[Lumber/hr]],-1,0) - TblProd[[#This Row],[Expenses Lumber]] + SUM(TblConstr[[#This Row],[Dest Hom]:[Dest Doc]])*TblConstr[[#This Row],[CPA Lumber -DB]]*tech_3_3_2*TblTech[[#This Row],[3-3]]</f>
        <v>34478</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Row],[Techpoints]],-1,0)+(1+research_bonus)*(26*MIN((TblConstr[[#This Row],[Tot Sch]]/(TblProd[[#This Row],[Land]]-TblExplore[[#This Row],[Land Bonus]]*20))*100,40))-TblProd[[#This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1397</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5670.0000000000009</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587.28</v>
      </c>
      <c r="AP30" s="113">
        <f ca="1">(1+race_food_consumption)*TblPop[[#This Row],[Total]]*food_per_person*(1+tech_1_10*TblTech[[#This Row],[1-10]]+tech_7_5*TblTech[[#This Row],[7-5]])</f>
        <v>595.75</v>
      </c>
      <c r="AQ30" s="113">
        <f ca="1">TblProd[[#This Row],[Lumber]]*lumber_rot * (1 + tech_2_1*TblTech[[#This Row],[2-1]] + tech_2_8*TblTech[[#This Row],[2-8]] + tech_5_2*TblTech[[#This Row],[5-2]])</f>
        <v>344.78000000000003</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44344.08333333327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241691</v>
      </c>
      <c r="BJ30" s="113">
        <f ca="1">TblProd[[#This Row],[Food]]</f>
        <v>58728</v>
      </c>
      <c r="BK30" s="113">
        <f ca="1">TblProd[[#This Row],[Lumber]]</f>
        <v>34478</v>
      </c>
      <c r="BL30" s="113">
        <f ca="1">TblProd[[#This Row],[Mana]]</f>
        <v>0</v>
      </c>
      <c r="BM30" s="113">
        <f ca="1">TblProd[[#This Row],[Ore]]</f>
        <v>0</v>
      </c>
    </row>
    <row r="31" spans="1:65" x14ac:dyDescent="0.2">
      <c r="A31" s="178">
        <v>28</v>
      </c>
      <c r="B31" s="198">
        <f ca="1">TblImps[[#This Row],[Time]]</f>
        <v>44344.124999999935</v>
      </c>
      <c r="C31" s="199"/>
      <c r="D31" s="200"/>
      <c r="E31" s="113">
        <f ca="1">TblConstr[[#This Row],[Land]]</f>
        <v>250</v>
      </c>
      <c r="F31" s="113">
        <f ca="1">TblPop[[#This Row],[Peasants]]</f>
        <v>1649</v>
      </c>
      <c r="G31" s="113">
        <f ca="1">TblMili[[#This Row],[Networth (2)]]</f>
        <v>6455</v>
      </c>
      <c r="H31" s="113">
        <f ca="1">OFFSET(TblProd[[#This Row],[Platinum]],-1,0)+OFFSET(TblProd[[#This Row],[Plat/hr]],-1,0) - TblProd[[#This Row],[Expenses Platinum]] + IF(TblProd[[#This Row],[Plat Bonus]],TblPop[[#This Row],[Peasants]]*4) + SUM(TblConstr[[#This Row],[Dest Hom]:[Dest Doc]])*TblConstr[[#This Row],[CPA Platinum -DB]]*tech_3_3_2*TblTech[[#This Row],[3-3]]</f>
        <v>247361</v>
      </c>
      <c r="I31" s="113">
        <f ca="1">OFFSET(TblProd[[#This Row],[Food]],-1,0)+OFFSET(TblProd[[#This Row],[Food/hr]],-1,0)+ROUNDUP((TblConstr[[#This Row],[Farms]]*80+TblConstr[[#This Row],[Docks]]*35)*(1+OFFSET(TblProd[[#This Row],[Bonus Food/hr]],-1,0)),0)</f>
        <v>60125</v>
      </c>
      <c r="J31" s="113">
        <f ca="1">OFFSET(TblProd[[#This Row],[Lumber]],-1,0)+OFFSET(TblProd[[#This Row],[Lumber/hr]],-1,0) - TblProd[[#This Row],[Expenses Lumber]] + SUM(TblConstr[[#This Row],[Dest Hom]:[Dest Doc]])*TblConstr[[#This Row],[CPA Lumber -DB]]*tech_3_3_2*TblTech[[#This Row],[3-3]]</f>
        <v>35133</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Row],[Techpoints]],-1,0)+(1+research_bonus)*(26*MIN((TblConstr[[#This Row],[Tot Sch]]/(TblProd[[#This Row],[Land]]-TblExplore[[#This Row],[Land Bonus]]*20))*100,40))-TblProd[[#This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1383</v>
      </c>
      <c r="U31" s="113">
        <f ca="1">ROUND(TblProd[[#This Row],[Raw Lumber/hr]]*(1+TblProd[[#This Row],[Bonus Lumber/hr]])-TblProd[[#This Row],[Lumber rot]],0)</f>
        <v>649</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601.25</v>
      </c>
      <c r="AP31" s="113">
        <f ca="1">(1+race_food_consumption)*TblPop[[#This Row],[Total]]*food_per_person*(1+tech_1_10*TblTech[[#This Row],[1-10]]+tech_7_5*TblTech[[#This Row],[7-5]])</f>
        <v>595.75</v>
      </c>
      <c r="AQ31" s="113">
        <f ca="1">TblProd[[#This Row],[Lumber]]*lumber_rot * (1 + tech_2_1*TblTech[[#This Row],[2-1]] + tech_2_8*TblTech[[#This Row],[2-8]] + tech_5_2*TblTech[[#This Row],[5-2]])</f>
        <v>351.33</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44344.124999999935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247361</v>
      </c>
      <c r="BJ31" s="113">
        <f ca="1">TblProd[[#This Row],[Food]]</f>
        <v>60125</v>
      </c>
      <c r="BK31" s="113">
        <f ca="1">TblProd[[#This Row],[Lumber]]</f>
        <v>35133</v>
      </c>
      <c r="BL31" s="113">
        <f ca="1">TblProd[[#This Row],[Mana]]</f>
        <v>0</v>
      </c>
      <c r="BM31" s="113">
        <f ca="1">TblProd[[#This Row],[Ore]]</f>
        <v>0</v>
      </c>
    </row>
    <row r="32" spans="1:65" x14ac:dyDescent="0.2">
      <c r="A32" s="178">
        <v>29</v>
      </c>
      <c r="B32" s="198">
        <f ca="1">TblImps[[#This Row],[Time]]</f>
        <v>44344.166666666599</v>
      </c>
      <c r="C32" s="199"/>
      <c r="D32" s="200"/>
      <c r="E32" s="113">
        <f ca="1">TblConstr[[#This Row],[Land]]</f>
        <v>250</v>
      </c>
      <c r="F32" s="113">
        <f ca="1">TblPop[[#This Row],[Peasants]]</f>
        <v>1633</v>
      </c>
      <c r="G32" s="113">
        <f ca="1">TblMili[[#This Row],[Networth (2)]]</f>
        <v>6455</v>
      </c>
      <c r="H32" s="113">
        <f ca="1">OFFSET(TblProd[[#This Row],[Platinum]],-1,0)+OFFSET(TblProd[[#This Row],[Plat/hr]],-1,0) - TblProd[[#This Row],[Expenses Platinum]] + IF(TblProd[[#This Row],[Plat Bonus]],TblPop[[#This Row],[Peasants]]*4) + SUM(TblConstr[[#This Row],[Dest Hom]:[Dest Doc]])*TblConstr[[#This Row],[CPA Platinum -DB]]*tech_3_3_2*TblTech[[#This Row],[3-3]]</f>
        <v>253031</v>
      </c>
      <c r="I32" s="113">
        <f ca="1">OFFSET(TblProd[[#This Row],[Food]],-1,0)+OFFSET(TblProd[[#This Row],[Food/hr]],-1,0)+ROUNDUP((TblConstr[[#This Row],[Farms]]*80+TblConstr[[#This Row],[Docks]]*35)*(1+OFFSET(TblProd[[#This Row],[Bonus Food/hr]],-1,0)),0)</f>
        <v>61508</v>
      </c>
      <c r="J32" s="113">
        <f ca="1">OFFSET(TblProd[[#This Row],[Lumber]],-1,0)+OFFSET(TblProd[[#This Row],[Lumber/hr]],-1,0) - TblProd[[#This Row],[Expenses Lumber]] + SUM(TblConstr[[#This Row],[Dest Hom]:[Dest Doc]])*TblConstr[[#This Row],[CPA Lumber -DB]]*tech_3_3_2*TblTech[[#This Row],[3-3]]</f>
        <v>35782</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Row],[Techpoints]],-1,0)+(1+research_bonus)*(26*MIN((TblConstr[[#This Row],[Tot Sch]]/(TblProd[[#This Row],[Land]]-TblExplore[[#This Row],[Land Bonus]]*20))*100,40))-TblProd[[#This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1369</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615.08000000000004</v>
      </c>
      <c r="AP32" s="113">
        <f ca="1">(1+race_food_consumption)*TblPop[[#This Row],[Total]]*food_per_person*(1+tech_1_10*TblTech[[#This Row],[1-10]]+tech_7_5*TblTech[[#This Row],[7-5]])</f>
        <v>595.75</v>
      </c>
      <c r="AQ32" s="113">
        <f ca="1">TblProd[[#This Row],[Lumber]]*lumber_rot * (1 + tech_2_1*TblTech[[#This Row],[2-1]] + tech_2_8*TblTech[[#This Row],[2-8]] + tech_5_2*TblTech[[#This Row],[5-2]])</f>
        <v>357.82</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44344.166666666599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253031</v>
      </c>
      <c r="BJ32" s="113">
        <f ca="1">TblProd[[#This Row],[Food]]</f>
        <v>61508</v>
      </c>
      <c r="BK32" s="113">
        <f ca="1">TblProd[[#This Row],[Lumber]]</f>
        <v>35782</v>
      </c>
      <c r="BL32" s="113">
        <f ca="1">TblProd[[#This Row],[Mana]]</f>
        <v>0</v>
      </c>
      <c r="BM32" s="113">
        <f ca="1">TblProd[[#This Row],[Ore]]</f>
        <v>0</v>
      </c>
    </row>
    <row r="33" spans="1:65" x14ac:dyDescent="0.2">
      <c r="A33" s="178">
        <v>30</v>
      </c>
      <c r="B33" s="198">
        <f ca="1">TblImps[[#This Row],[Time]]</f>
        <v>44344.208333333263</v>
      </c>
      <c r="C33" s="199"/>
      <c r="D33" s="200"/>
      <c r="E33" s="113">
        <f ca="1">TblConstr[[#This Row],[Land]]</f>
        <v>250</v>
      </c>
      <c r="F33" s="113">
        <f ca="1">TblPop[[#This Row],[Peasants]]</f>
        <v>1617</v>
      </c>
      <c r="G33" s="113">
        <f ca="1">TblMili[[#This Row],[Networth (2)]]</f>
        <v>6455</v>
      </c>
      <c r="H33" s="113">
        <f ca="1">OFFSET(TblProd[[#This Row],[Platinum]],-1,0)+OFFSET(TblProd[[#This Row],[Plat/hr]],-1,0) - TblProd[[#This Row],[Expenses Platinum]] + IF(TblProd[[#This Row],[Plat Bonus]],TblPop[[#This Row],[Peasants]]*4) + SUM(TblConstr[[#This Row],[Dest Hom]:[Dest Doc]])*TblConstr[[#This Row],[CPA Platinum -DB]]*tech_3_3_2*TblTech[[#This Row],[3-3]]</f>
        <v>258701</v>
      </c>
      <c r="I33" s="113">
        <f ca="1">OFFSET(TblProd[[#This Row],[Food]],-1,0)+OFFSET(TblProd[[#This Row],[Food/hr]],-1,0)+ROUNDUP((TblConstr[[#This Row],[Farms]]*80+TblConstr[[#This Row],[Docks]]*35)*(1+OFFSET(TblProd[[#This Row],[Bonus Food/hr]],-1,0)),0)</f>
        <v>62877</v>
      </c>
      <c r="J33" s="113">
        <f ca="1">OFFSET(TblProd[[#This Row],[Lumber]],-1,0)+OFFSET(TblProd[[#This Row],[Lumber/hr]],-1,0) - TblProd[[#This Row],[Expenses Lumber]] + SUM(TblConstr[[#This Row],[Dest Hom]:[Dest Doc]])*TblConstr[[#This Row],[CPA Lumber -DB]]*tech_3_3_2*TblTech[[#This Row],[3-3]]</f>
        <v>36424</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Row],[Techpoints]],-1,0)+(1+research_bonus)*(26*MIN((TblConstr[[#This Row],[Tot Sch]]/(TblProd[[#This Row],[Land]]-TblExplore[[#This Row],[Land Bonus]]*20))*100,40))-TblProd[[#This Row],[Required]]*TblTech[[#This Row],[…]],0) + IF(TblProd[[#This Row],[Plat Bonus]]&lt;&gt;"",750,0)</f>
        <v>0</v>
      </c>
      <c r="Q33" s="113">
        <v>10000</v>
      </c>
      <c r="R33" s="184"/>
      <c r="S33" s="113">
        <f ca="1">ROUNDDOWN(TblProd[[#This Row],[Raw Plat/hr]]*(1+TblProd[[#This Row],[Bonus Plat/hr]]),0)</f>
        <v>5670</v>
      </c>
      <c r="T33" s="113">
        <f ca="1">ROUND(TblProd[[#This Row],[Raw Food/hr]]*(1+TblProd[[#This Row],[Bonus Food/hr]])-TblProd[[#This Row],[Food decay]]-TblProd[[#This Row],[Food eaten]],0)</f>
        <v>1355</v>
      </c>
      <c r="U33" s="113">
        <f ca="1">ROUND(TblProd[[#This Row],[Raw Lumber/hr]]*(1+TblProd[[#This Row],[Bonus Lumber/hr]])-TblProd[[#This Row],[Lumber rot]],0)</f>
        <v>636</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5670.0000000000009</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628.77</v>
      </c>
      <c r="AP33" s="113">
        <f ca="1">(1+race_food_consumption)*TblPop[[#This Row],[Total]]*food_per_person*(1+tech_1_10*TblTech[[#This Row],[1-10]]+tech_7_5*TblTech[[#This Row],[7-5]])</f>
        <v>595.75</v>
      </c>
      <c r="AQ33" s="113">
        <f ca="1">TblProd[[#This Row],[Lumber]]*lumber_rot * (1 + tech_2_1*TblTech[[#This Row],[2-1]] + tech_2_8*TblTech[[#This Row],[2-8]] + tech_5_2*TblTech[[#This Row],[5-2]])</f>
        <v>364.24</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44344.208333333263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258701</v>
      </c>
      <c r="BJ33" s="113">
        <f ca="1">TblProd[[#This Row],[Food]]</f>
        <v>62877</v>
      </c>
      <c r="BK33" s="113">
        <f ca="1">TblProd[[#This Row],[Lumber]]</f>
        <v>36424</v>
      </c>
      <c r="BL33" s="113">
        <f ca="1">TblProd[[#This Row],[Mana]]</f>
        <v>0</v>
      </c>
      <c r="BM33" s="113">
        <f ca="1">TblProd[[#This Row],[Ore]]</f>
        <v>0</v>
      </c>
    </row>
    <row r="34" spans="1:65" x14ac:dyDescent="0.2">
      <c r="A34" s="178">
        <v>31</v>
      </c>
      <c r="B34" s="198">
        <f ca="1">TblImps[[#This Row],[Time]]</f>
        <v>44344.249999999927</v>
      </c>
      <c r="C34" s="199"/>
      <c r="D34" s="200"/>
      <c r="E34" s="113">
        <f ca="1">TblConstr[[#This Row],[Land]]</f>
        <v>250</v>
      </c>
      <c r="F34" s="113">
        <f ca="1">TblPop[[#This Row],[Peasants]]</f>
        <v>1601</v>
      </c>
      <c r="G34" s="113">
        <f ca="1">TblMili[[#This Row],[Networth (2)]]</f>
        <v>6455</v>
      </c>
      <c r="H34" s="113">
        <f ca="1">OFFSET(TblProd[[#This Row],[Platinum]],-1,0)+OFFSET(TblProd[[#This Row],[Plat/hr]],-1,0) - TblProd[[#This Row],[Expenses Platinum]] + IF(TblProd[[#This Row],[Plat Bonus]],TblPop[[#This Row],[Peasants]]*4) + SUM(TblConstr[[#This Row],[Dest Hom]:[Dest Doc]])*TblConstr[[#This Row],[CPA Platinum -DB]]*tech_3_3_2*TblTech[[#This Row],[3-3]]</f>
        <v>264371</v>
      </c>
      <c r="I34" s="113">
        <f ca="1">OFFSET(TblProd[[#This Row],[Food]],-1,0)+OFFSET(TblProd[[#This Row],[Food/hr]],-1,0)+ROUNDUP((TblConstr[[#This Row],[Farms]]*80+TblConstr[[#This Row],[Docks]]*35)*(1+OFFSET(TblProd[[#This Row],[Bonus Food/hr]],-1,0)),0)</f>
        <v>64232</v>
      </c>
      <c r="J34" s="113">
        <f ca="1">OFFSET(TblProd[[#This Row],[Lumber]],-1,0)+OFFSET(TblProd[[#This Row],[Lumber/hr]],-1,0) - TblProd[[#This Row],[Expenses Lumber]] + SUM(TblConstr[[#This Row],[Dest Hom]:[Dest Doc]])*TblConstr[[#This Row],[CPA Lumber -DB]]*tech_3_3_2*TblTech[[#This Row],[3-3]]</f>
        <v>37060</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Row],[Techpoints]],-1,0)+(1+research_bonus)*(26*MIN((TblConstr[[#This Row],[Tot Sch]]/(TblProd[[#This Row],[Land]]-TblExplore[[#This Row],[Land Bonus]]*20))*100,40))-TblProd[[#This Row],[Required]]*TblTech[[#This Row],[…]],0) + IF(TblProd[[#This Row],[Plat Bonus]]&lt;&gt;"",750,0)</f>
        <v>0</v>
      </c>
      <c r="Q34" s="113">
        <v>10000</v>
      </c>
      <c r="R34" s="184"/>
      <c r="S34" s="113">
        <f ca="1">ROUNDDOWN(TblProd[[#This Row],[Raw Plat/hr]]*(1+TblProd[[#This Row],[Bonus Plat/hr]]),0)</f>
        <v>5670</v>
      </c>
      <c r="T34" s="113">
        <f ca="1">ROUND(TblProd[[#This Row],[Raw Food/hr]]*(1+TblProd[[#This Row],[Bonus Food/hr]])-TblProd[[#This Row],[Food decay]]-TblProd[[#This Row],[Food eaten]],0)</f>
        <v>1342</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5670.0000000000009</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642.32000000000005</v>
      </c>
      <c r="AP34" s="113">
        <f ca="1">(1+race_food_consumption)*TblPop[[#This Row],[Total]]*food_per_person*(1+tech_1_10*TblTech[[#This Row],[1-10]]+tech_7_5*TblTech[[#This Row],[7-5]])</f>
        <v>595.75</v>
      </c>
      <c r="AQ34" s="113">
        <f ca="1">TblProd[[#This Row],[Lumber]]*lumber_rot * (1 + tech_2_1*TblTech[[#This Row],[2-1]] + tech_2_8*TblTech[[#This Row],[2-8]] + tech_5_2*TblTech[[#This Row],[5-2]])</f>
        <v>370.6</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44344.249999999927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264371</v>
      </c>
      <c r="BJ34" s="113">
        <f ca="1">TblProd[[#This Row],[Food]]</f>
        <v>64232</v>
      </c>
      <c r="BK34" s="113">
        <f ca="1">TblProd[[#This Row],[Lumber]]</f>
        <v>37060</v>
      </c>
      <c r="BL34" s="113">
        <f ca="1">TblProd[[#This Row],[Mana]]</f>
        <v>0</v>
      </c>
      <c r="BM34" s="113">
        <f ca="1">TblProd[[#This Row],[Ore]]</f>
        <v>0</v>
      </c>
    </row>
    <row r="35" spans="1:65" x14ac:dyDescent="0.2">
      <c r="A35" s="178">
        <v>32</v>
      </c>
      <c r="B35" s="198">
        <f ca="1">TblImps[[#This Row],[Time]]</f>
        <v>44344.291666666591</v>
      </c>
      <c r="C35" s="199"/>
      <c r="D35" s="200"/>
      <c r="E35" s="113">
        <f ca="1">TblConstr[[#This Row],[Land]]</f>
        <v>250</v>
      </c>
      <c r="F35" s="113">
        <f ca="1">TblPop[[#This Row],[Peasants]]</f>
        <v>1585</v>
      </c>
      <c r="G35" s="113">
        <f ca="1">TblMili[[#This Row],[Networth (2)]]</f>
        <v>6455</v>
      </c>
      <c r="H35" s="113">
        <f ca="1">OFFSET(TblProd[[#This Row],[Platinum]],-1,0)+OFFSET(TblProd[[#This Row],[Plat/hr]],-1,0) - TblProd[[#This Row],[Expenses Platinum]] + IF(TblProd[[#This Row],[Plat Bonus]],TblPop[[#This Row],[Peasants]]*4) + SUM(TblConstr[[#This Row],[Dest Hom]:[Dest Doc]])*TblConstr[[#This Row],[CPA Platinum -DB]]*tech_3_3_2*TblTech[[#This Row],[3-3]]</f>
        <v>270041</v>
      </c>
      <c r="I35" s="113">
        <f ca="1">OFFSET(TblProd[[#This Row],[Food]],-1,0)+OFFSET(TblProd[[#This Row],[Food/hr]],-1,0)+ROUNDUP((TblConstr[[#This Row],[Farms]]*80+TblConstr[[#This Row],[Docks]]*35)*(1+OFFSET(TblProd[[#This Row],[Bonus Food/hr]],-1,0)),0)</f>
        <v>65574</v>
      </c>
      <c r="J35" s="113">
        <f ca="1">OFFSET(TblProd[[#This Row],[Lumber]],-1,0)+OFFSET(TblProd[[#This Row],[Lumber/hr]],-1,0) - TblProd[[#This Row],[Expenses Lumber]] + SUM(TblConstr[[#This Row],[Dest Hom]:[Dest Doc]])*TblConstr[[#This Row],[CPA Lumber -DB]]*tech_3_3_2*TblTech[[#This Row],[3-3]]</f>
        <v>37689</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Row],[Techpoints]],-1,0)+(1+research_bonus)*(26*MIN((TblConstr[[#This Row],[Tot Sch]]/(TblProd[[#This Row],[Land]]-TblExplore[[#This Row],[Land Bonus]]*20))*100,40))-TblProd[[#This Row],[Required]]*TblTech[[#This Row],[…]],0) + IF(TblProd[[#This Row],[Plat Bonus]]&lt;&gt;"",750,0)</f>
        <v>0</v>
      </c>
      <c r="Q35" s="113">
        <v>10000</v>
      </c>
      <c r="R35" s="184"/>
      <c r="S35" s="113">
        <f ca="1">ROUNDDOWN(TblProd[[#This Row],[Raw Plat/hr]]*(1+TblProd[[#This Row],[Bonus Plat/hr]]),0)</f>
        <v>5629</v>
      </c>
      <c r="T35" s="113">
        <f ca="1">ROUND(TblProd[[#This Row],[Raw Food/hr]]*(1+TblProd[[#This Row],[Bonus Food/hr]])-TblProd[[#This Row],[Food decay]]-TblProd[[#This Row],[Food eaten]],0)</f>
        <v>1329</v>
      </c>
      <c r="U35" s="113">
        <f ca="1">ROUND(TblProd[[#This Row],[Raw Lumber/hr]]*(1+TblProd[[#This Row],[Bonus Lumber/hr]])-TblProd[[#This Row],[Lumber rot]],0)</f>
        <v>623</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5629.5</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655.74</v>
      </c>
      <c r="AP35" s="113">
        <f ca="1">(1+race_food_consumption)*TblPop[[#This Row],[Total]]*food_per_person*(1+tech_1_10*TblTech[[#This Row],[1-10]]+tech_7_5*TblTech[[#This Row],[7-5]])</f>
        <v>595.75</v>
      </c>
      <c r="AQ35" s="113">
        <f ca="1">TblProd[[#This Row],[Lumber]]*lumber_rot * (1 + tech_2_1*TblTech[[#This Row],[2-1]] + tech_2_8*TblTech[[#This Row],[2-8]] + tech_5_2*TblTech[[#This Row],[5-2]])</f>
        <v>376.89</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44344.291666666591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270041</v>
      </c>
      <c r="BJ35" s="113">
        <f ca="1">TblProd[[#This Row],[Food]]</f>
        <v>65574</v>
      </c>
      <c r="BK35" s="113">
        <f ca="1">TblProd[[#This Row],[Lumber]]</f>
        <v>37689</v>
      </c>
      <c r="BL35" s="113">
        <f ca="1">TblProd[[#This Row],[Mana]]</f>
        <v>0</v>
      </c>
      <c r="BM35" s="113">
        <f ca="1">TblProd[[#This Row],[Ore]]</f>
        <v>0</v>
      </c>
    </row>
    <row r="36" spans="1:65" x14ac:dyDescent="0.2">
      <c r="A36" s="178">
        <v>33</v>
      </c>
      <c r="B36" s="198">
        <f ca="1">TblImps[[#This Row],[Time]]</f>
        <v>44344.333333333256</v>
      </c>
      <c r="C36" s="199"/>
      <c r="D36" s="200"/>
      <c r="E36" s="113">
        <f ca="1">TblConstr[[#This Row],[Land]]</f>
        <v>250</v>
      </c>
      <c r="F36" s="113">
        <f ca="1">TblPop[[#This Row],[Peasants]]</f>
        <v>1569</v>
      </c>
      <c r="G36" s="113">
        <f ca="1">TblMili[[#This Row],[Networth (2)]]</f>
        <v>6455</v>
      </c>
      <c r="H36" s="113">
        <f ca="1">OFFSET(TblProd[[#This Row],[Platinum]],-1,0)+OFFSET(TblProd[[#This Row],[Plat/hr]],-1,0) - TblProd[[#This Row],[Expenses Platinum]] + IF(TblProd[[#This Row],[Plat Bonus]],TblPop[[#This Row],[Peasants]]*4) + SUM(TblConstr[[#This Row],[Dest Hom]:[Dest Doc]])*TblConstr[[#This Row],[CPA Platinum -DB]]*tech_3_3_2*TblTech[[#This Row],[3-3]]</f>
        <v>275670</v>
      </c>
      <c r="I36" s="113">
        <f ca="1">OFFSET(TblProd[[#This Row],[Food]],-1,0)+OFFSET(TblProd[[#This Row],[Food/hr]],-1,0)+ROUNDUP((TblConstr[[#This Row],[Farms]]*80+TblConstr[[#This Row],[Docks]]*35)*(1+OFFSET(TblProd[[#This Row],[Bonus Food/hr]],-1,0)),0)</f>
        <v>66903</v>
      </c>
      <c r="J36" s="113">
        <f ca="1">OFFSET(TblProd[[#This Row],[Lumber]],-1,0)+OFFSET(TblProd[[#This Row],[Lumber/hr]],-1,0) - TblProd[[#This Row],[Expenses Lumber]] + SUM(TblConstr[[#This Row],[Dest Hom]:[Dest Doc]])*TblConstr[[#This Row],[CPA Lumber -DB]]*tech_3_3_2*TblTech[[#This Row],[3-3]]</f>
        <v>38312</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Row],[Techpoints]],-1,0)+(1+research_bonus)*(26*MIN((TblConstr[[#This Row],[Tot Sch]]/(TblProd[[#This Row],[Land]]-TblExplore[[#This Row],[Land Bonus]]*20))*100,40))-TblProd[[#This Row],[Required]]*TblTech[[#This Row],[…]],0) + IF(TblProd[[#This Row],[Plat Bonus]]&lt;&gt;"",750,0)</f>
        <v>0</v>
      </c>
      <c r="Q36" s="113">
        <v>10000</v>
      </c>
      <c r="R36" s="184"/>
      <c r="S36" s="113">
        <f ca="1">ROUNDDOWN(TblProd[[#This Row],[Raw Plat/hr]]*(1+TblProd[[#This Row],[Bonus Plat/hr]]),0)</f>
        <v>5586</v>
      </c>
      <c r="T36" s="113">
        <f ca="1">ROUND(TblProd[[#This Row],[Raw Food/hr]]*(1+TblProd[[#This Row],[Bonus Food/hr]])-TblProd[[#This Row],[Food decay]]-TblProd[[#This Row],[Food eaten]],0)</f>
        <v>1315</v>
      </c>
      <c r="U36" s="113">
        <f ca="1">ROUND(TblProd[[#This Row],[Raw Lumber/hr]]*(1+TblProd[[#This Row],[Bonus Lumber/hr]])-TblProd[[#This Row],[Lumber rot]],0)</f>
        <v>617</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5586.3</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669.03</v>
      </c>
      <c r="AP36" s="113">
        <f ca="1">(1+race_food_consumption)*TblPop[[#This Row],[Total]]*food_per_person*(1+tech_1_10*TblTech[[#This Row],[1-10]]+tech_7_5*TblTech[[#This Row],[7-5]])</f>
        <v>595.75</v>
      </c>
      <c r="AQ36" s="113">
        <f ca="1">TblProd[[#This Row],[Lumber]]*lumber_rot * (1 + tech_2_1*TblTech[[#This Row],[2-1]] + tech_2_8*TblTech[[#This Row],[2-8]] + tech_5_2*TblTech[[#This Row],[5-2]])</f>
        <v>383.12</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44344.333333333256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275670</v>
      </c>
      <c r="BJ36" s="113">
        <f ca="1">TblProd[[#This Row],[Food]]</f>
        <v>66903</v>
      </c>
      <c r="BK36" s="113">
        <f ca="1">TblProd[[#This Row],[Lumber]]</f>
        <v>38312</v>
      </c>
      <c r="BL36" s="113">
        <f ca="1">TblProd[[#This Row],[Mana]]</f>
        <v>0</v>
      </c>
      <c r="BM36" s="113">
        <f ca="1">TblProd[[#This Row],[Ore]]</f>
        <v>0</v>
      </c>
    </row>
    <row r="37" spans="1:65" x14ac:dyDescent="0.2">
      <c r="A37" s="178">
        <v>34</v>
      </c>
      <c r="B37" s="198">
        <f ca="1">TblImps[[#This Row],[Time]]</f>
        <v>44344.37499999992</v>
      </c>
      <c r="C37" s="199"/>
      <c r="D37" s="200"/>
      <c r="E37" s="113">
        <f ca="1">TblConstr[[#This Row],[Land]]</f>
        <v>250</v>
      </c>
      <c r="F37" s="113">
        <f ca="1">TblPop[[#This Row],[Peasants]]</f>
        <v>1553</v>
      </c>
      <c r="G37" s="113">
        <f ca="1">TblMili[[#This Row],[Networth (2)]]</f>
        <v>6455</v>
      </c>
      <c r="H37" s="113">
        <f ca="1">OFFSET(TblProd[[#This Row],[Platinum]],-1,0)+OFFSET(TblProd[[#This Row],[Plat/hr]],-1,0) - TblProd[[#This Row],[Expenses Platinum]] + IF(TblProd[[#This Row],[Plat Bonus]],TblPop[[#This Row],[Peasants]]*4) + SUM(TblConstr[[#This Row],[Dest Hom]:[Dest Doc]])*TblConstr[[#This Row],[CPA Platinum -DB]]*tech_3_3_2*TblTech[[#This Row],[3-3]]</f>
        <v>281256</v>
      </c>
      <c r="I37" s="113">
        <f ca="1">OFFSET(TblProd[[#This Row],[Food]],-1,0)+OFFSET(TblProd[[#This Row],[Food/hr]],-1,0)+ROUNDUP((TblConstr[[#This Row],[Farms]]*80+TblConstr[[#This Row],[Docks]]*35)*(1+OFFSET(TblProd[[#This Row],[Bonus Food/hr]],-1,0)),0)</f>
        <v>68218</v>
      </c>
      <c r="J37" s="113">
        <f ca="1">OFFSET(TblProd[[#This Row],[Lumber]],-1,0)+OFFSET(TblProd[[#This Row],[Lumber/hr]],-1,0) - TblProd[[#This Row],[Expenses Lumber]] + SUM(TblConstr[[#This Row],[Dest Hom]:[Dest Doc]])*TblConstr[[#This Row],[CPA Lumber -DB]]*tech_3_3_2*TblTech[[#This Row],[3-3]]</f>
        <v>38929</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Row],[Techpoints]],-1,0)+(1+research_bonus)*(26*MIN((TblConstr[[#This Row],[Tot Sch]]/(TblProd[[#This Row],[Land]]-TblExplore[[#This Row],[Land Bonus]]*20))*100,40))-TblProd[[#This Row],[Required]]*TblTech[[#This Row],[…]],0) + IF(TblProd[[#This Row],[Plat Bonus]]&lt;&gt;"",750,0)</f>
        <v>0</v>
      </c>
      <c r="Q37" s="113">
        <v>10000</v>
      </c>
      <c r="R37" s="184"/>
      <c r="S37" s="113">
        <f ca="1">ROUNDDOWN(TblProd[[#This Row],[Raw Plat/hr]]*(1+TblProd[[#This Row],[Bonus Plat/hr]]),0)</f>
        <v>5543</v>
      </c>
      <c r="T37" s="113">
        <f ca="1">ROUND(TblProd[[#This Row],[Raw Food/hr]]*(1+TblProd[[#This Row],[Bonus Food/hr]])-TblProd[[#This Row],[Food decay]]-TblProd[[#This Row],[Food eaten]],0)</f>
        <v>1302</v>
      </c>
      <c r="U37" s="113">
        <f ca="1">ROUND(TblProd[[#This Row],[Raw Lumber/hr]]*(1+TblProd[[#This Row],[Bonus Lumber/hr]])-TblProd[[#This Row],[Lumber rot]],0)</f>
        <v>611</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5543.1</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682.18000000000006</v>
      </c>
      <c r="AP37" s="113">
        <f ca="1">(1+race_food_consumption)*TblPop[[#This Row],[Total]]*food_per_person*(1+tech_1_10*TblTech[[#This Row],[1-10]]+tech_7_5*TblTech[[#This Row],[7-5]])</f>
        <v>595.75</v>
      </c>
      <c r="AQ37" s="113">
        <f ca="1">TblProd[[#This Row],[Lumber]]*lumber_rot * (1 + tech_2_1*TblTech[[#This Row],[2-1]] + tech_2_8*TblTech[[#This Row],[2-8]] + tech_5_2*TblTech[[#This Row],[5-2]])</f>
        <v>389.29</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44344.37499999992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281256</v>
      </c>
      <c r="BJ37" s="113">
        <f ca="1">TblProd[[#This Row],[Food]]</f>
        <v>68218</v>
      </c>
      <c r="BK37" s="113">
        <f ca="1">TblProd[[#This Row],[Lumber]]</f>
        <v>38929</v>
      </c>
      <c r="BL37" s="113">
        <f ca="1">TblProd[[#This Row],[Mana]]</f>
        <v>0</v>
      </c>
      <c r="BM37" s="113">
        <f ca="1">TblProd[[#This Row],[Ore]]</f>
        <v>0</v>
      </c>
    </row>
    <row r="38" spans="1:65" x14ac:dyDescent="0.2">
      <c r="A38" s="178">
        <v>35</v>
      </c>
      <c r="B38" s="198">
        <f ca="1">TblImps[[#This Row],[Time]]</f>
        <v>44344.416666666584</v>
      </c>
      <c r="C38" s="199"/>
      <c r="D38" s="200"/>
      <c r="E38" s="113">
        <f ca="1">TblConstr[[#This Row],[Land]]</f>
        <v>250</v>
      </c>
      <c r="F38" s="113">
        <f ca="1">TblPop[[#This Row],[Peasants]]</f>
        <v>1537</v>
      </c>
      <c r="G38" s="113">
        <f ca="1">TblMili[[#This Row],[Networth (2)]]</f>
        <v>6455</v>
      </c>
      <c r="H38" s="113">
        <f ca="1">OFFSET(TblProd[[#This Row],[Platinum]],-1,0)+OFFSET(TblProd[[#This Row],[Plat/hr]],-1,0) - TblProd[[#This Row],[Expenses Platinum]] + IF(TblProd[[#This Row],[Plat Bonus]],TblPop[[#This Row],[Peasants]]*4) + SUM(TblConstr[[#This Row],[Dest Hom]:[Dest Doc]])*TblConstr[[#This Row],[CPA Platinum -DB]]*tech_3_3_2*TblTech[[#This Row],[3-3]]</f>
        <v>286799</v>
      </c>
      <c r="I38" s="113">
        <f ca="1">OFFSET(TblProd[[#This Row],[Food]],-1,0)+OFFSET(TblProd[[#This Row],[Food/hr]],-1,0)+ROUNDUP((TblConstr[[#This Row],[Farms]]*80+TblConstr[[#This Row],[Docks]]*35)*(1+OFFSET(TblProd[[#This Row],[Bonus Food/hr]],-1,0)),0)</f>
        <v>69520</v>
      </c>
      <c r="J38" s="113">
        <f ca="1">OFFSET(TblProd[[#This Row],[Lumber]],-1,0)+OFFSET(TblProd[[#This Row],[Lumber/hr]],-1,0) - TblProd[[#This Row],[Expenses Lumber]] + SUM(TblConstr[[#This Row],[Dest Hom]:[Dest Doc]])*TblConstr[[#This Row],[CPA Lumber -DB]]*tech_3_3_2*TblTech[[#This Row],[3-3]]</f>
        <v>39540</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Row],[Techpoints]],-1,0)+(1+research_bonus)*(26*MIN((TblConstr[[#This Row],[Tot Sch]]/(TblProd[[#This Row],[Land]]-TblExplore[[#This Row],[Land Bonus]]*20))*100,40))-TblProd[[#This Row],[Required]]*TblTech[[#This Row],[…]],0) + IF(TblProd[[#This Row],[Plat Bonus]]&lt;&gt;"",750,0)</f>
        <v>0</v>
      </c>
      <c r="Q38" s="113">
        <v>10000</v>
      </c>
      <c r="R38" s="184"/>
      <c r="S38" s="113">
        <f ca="1">ROUNDDOWN(TblProd[[#This Row],[Raw Plat/hr]]*(1+TblProd[[#This Row],[Bonus Plat/hr]]),0)</f>
        <v>5499</v>
      </c>
      <c r="T38" s="113">
        <f ca="1">ROUND(TblProd[[#This Row],[Raw Food/hr]]*(1+TblProd[[#This Row],[Bonus Food/hr]])-TblProd[[#This Row],[Food decay]]-TblProd[[#This Row],[Food eaten]],0)</f>
        <v>1289</v>
      </c>
      <c r="U38" s="113">
        <f ca="1">ROUND(TblProd[[#This Row],[Raw Lumber/hr]]*(1+TblProd[[#This Row],[Bonus Lumber/hr]])-TblProd[[#This Row],[Lumber rot]],0)</f>
        <v>605</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5499.9000000000005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695.2</v>
      </c>
      <c r="AP38" s="113">
        <f ca="1">(1+race_food_consumption)*TblPop[[#This Row],[Total]]*food_per_person*(1+tech_1_10*TblTech[[#This Row],[1-10]]+tech_7_5*TblTech[[#This Row],[7-5]])</f>
        <v>595.75</v>
      </c>
      <c r="AQ38" s="113">
        <f ca="1">TblProd[[#This Row],[Lumber]]*lumber_rot * (1 + tech_2_1*TblTech[[#This Row],[2-1]] + tech_2_8*TblTech[[#This Row],[2-8]] + tech_5_2*TblTech[[#This Row],[5-2]])</f>
        <v>395.40000000000003</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44344.416666666584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286799</v>
      </c>
      <c r="BJ38" s="113">
        <f ca="1">TblProd[[#This Row],[Food]]</f>
        <v>69520</v>
      </c>
      <c r="BK38" s="113">
        <f ca="1">TblProd[[#This Row],[Lumber]]</f>
        <v>39540</v>
      </c>
      <c r="BL38" s="113">
        <f ca="1">TblProd[[#This Row],[Mana]]</f>
        <v>0</v>
      </c>
      <c r="BM38" s="113">
        <f ca="1">TblProd[[#This Row],[Ore]]</f>
        <v>0</v>
      </c>
    </row>
    <row r="39" spans="1:65" x14ac:dyDescent="0.2">
      <c r="A39" s="178">
        <v>36</v>
      </c>
      <c r="B39" s="198">
        <f ca="1">TblImps[[#This Row],[Time]]</f>
        <v>44344.458333333248</v>
      </c>
      <c r="C39" s="199"/>
      <c r="D39" s="200"/>
      <c r="E39" s="113">
        <f ca="1">TblConstr[[#This Row],[Land]]</f>
        <v>250</v>
      </c>
      <c r="F39" s="113">
        <f ca="1">TblPop[[#This Row],[Peasants]]</f>
        <v>1537</v>
      </c>
      <c r="G39" s="113">
        <f ca="1">TblMili[[#This Row],[Networth (2)]]</f>
        <v>6455</v>
      </c>
      <c r="H39" s="113">
        <f ca="1">OFFSET(TblProd[[#This Row],[Platinum]],-1,0)+OFFSET(TblProd[[#This Row],[Plat/hr]],-1,0) - TblProd[[#This Row],[Expenses Platinum]] + IF(TblProd[[#This Row],[Plat Bonus]],TblPop[[#This Row],[Peasants]]*4) + SUM(TblConstr[[#This Row],[Dest Hom]:[Dest Doc]])*TblConstr[[#This Row],[CPA Platinum -DB]]*tech_3_3_2*TblTech[[#This Row],[3-3]]</f>
        <v>292298</v>
      </c>
      <c r="I39" s="113">
        <f ca="1">OFFSET(TblProd[[#This Row],[Food]],-1,0)+OFFSET(TblProd[[#This Row],[Food/hr]],-1,0)+ROUNDUP((TblConstr[[#This Row],[Farms]]*80+TblConstr[[#This Row],[Docks]]*35)*(1+OFFSET(TblProd[[#This Row],[Bonus Food/hr]],-1,0)),0)</f>
        <v>70809</v>
      </c>
      <c r="J39" s="113">
        <f ca="1">OFFSET(TblProd[[#This Row],[Lumber]],-1,0)+OFFSET(TblProd[[#This Row],[Lumber/hr]],-1,0) - TblProd[[#This Row],[Expenses Lumber]] + SUM(TblConstr[[#This Row],[Dest Hom]:[Dest Doc]])*TblConstr[[#This Row],[CPA Lumber -DB]]*tech_3_3_2*TblTech[[#This Row],[3-3]]</f>
        <v>40145</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Row],[Techpoints]],-1,0)+(1+research_bonus)*(26*MIN((TblConstr[[#This Row],[Tot Sch]]/(TblProd[[#This Row],[Land]]-TblExplore[[#This Row],[Land Bonus]]*20))*100,40))-TblProd[[#This Row],[Required]]*TblTech[[#This Row],[…]],0) + IF(TblProd[[#This Row],[Plat Bonus]]&lt;&gt;"",750,0)</f>
        <v>0</v>
      </c>
      <c r="Q39" s="113">
        <v>10000</v>
      </c>
      <c r="R39" s="184"/>
      <c r="S39" s="113">
        <f ca="1">ROUNDDOWN(TblProd[[#This Row],[Raw Plat/hr]]*(1+TblProd[[#This Row],[Bonus Plat/hr]]),0)</f>
        <v>5499</v>
      </c>
      <c r="T39" s="113">
        <f ca="1">ROUND(TblProd[[#This Row],[Raw Food/hr]]*(1+TblProd[[#This Row],[Bonus Food/hr]])-TblProd[[#This Row],[Food decay]]-TblProd[[#This Row],[Food eaten]],0)</f>
        <v>1276</v>
      </c>
      <c r="U39" s="113">
        <f ca="1">ROUND(TblProd[[#This Row],[Raw Lumber/hr]]*(1+TblProd[[#This Row],[Bonus Lumber/hr]])-TblProd[[#This Row],[Lumber rot]],0)</f>
        <v>599</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5499.9000000000005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708.09</v>
      </c>
      <c r="AP39" s="113">
        <f ca="1">(1+race_food_consumption)*TblPop[[#This Row],[Total]]*food_per_person*(1+tech_1_10*TblTech[[#This Row],[1-10]]+tech_7_5*TblTech[[#This Row],[7-5]])</f>
        <v>595.75</v>
      </c>
      <c r="AQ39" s="113">
        <f ca="1">TblProd[[#This Row],[Lumber]]*lumber_rot * (1 + tech_2_1*TblTech[[#This Row],[2-1]] + tech_2_8*TblTech[[#This Row],[2-8]] + tech_5_2*TblTech[[#This Row],[5-2]])</f>
        <v>401.45</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44344.458333333248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292298</v>
      </c>
      <c r="BJ39" s="113">
        <f ca="1">TblProd[[#This Row],[Food]]</f>
        <v>70809</v>
      </c>
      <c r="BK39" s="113">
        <f ca="1">TblProd[[#This Row],[Lumber]]</f>
        <v>40145</v>
      </c>
      <c r="BL39" s="113">
        <f ca="1">TblProd[[#This Row],[Mana]]</f>
        <v>0</v>
      </c>
      <c r="BM39" s="113">
        <f ca="1">TblProd[[#This Row],[Ore]]</f>
        <v>0</v>
      </c>
    </row>
    <row r="40" spans="1:65" x14ac:dyDescent="0.2">
      <c r="A40" s="178">
        <v>37</v>
      </c>
      <c r="B40" s="198">
        <f ca="1">TblImps[[#This Row],[Time]]</f>
        <v>44344.499999999913</v>
      </c>
      <c r="C40" s="199"/>
      <c r="D40" s="200"/>
      <c r="E40" s="113">
        <f ca="1">TblConstr[[#This Row],[Land]]</f>
        <v>250</v>
      </c>
      <c r="F40" s="113">
        <f ca="1">TblPop[[#This Row],[Peasants]]</f>
        <v>1537</v>
      </c>
      <c r="G40" s="113">
        <f ca="1">TblMili[[#This Row],[Networth (2)]]</f>
        <v>6455</v>
      </c>
      <c r="H40" s="113">
        <f ca="1">OFFSET(TblProd[[#This Row],[Platinum]],-1,0)+OFFSET(TblProd[[#This Row],[Plat/hr]],-1,0) - TblProd[[#This Row],[Expenses Platinum]] + IF(TblProd[[#This Row],[Plat Bonus]],TblPop[[#This Row],[Peasants]]*4) + SUM(TblConstr[[#This Row],[Dest Hom]:[Dest Doc]])*TblConstr[[#This Row],[CPA Platinum -DB]]*tech_3_3_2*TblTech[[#This Row],[3-3]]</f>
        <v>297797</v>
      </c>
      <c r="I40" s="113">
        <f ca="1">OFFSET(TblProd[[#This Row],[Food]],-1,0)+OFFSET(TblProd[[#This Row],[Food/hr]],-1,0)+ROUNDUP((TblConstr[[#This Row],[Farms]]*80+TblConstr[[#This Row],[Docks]]*35)*(1+OFFSET(TblProd[[#This Row],[Bonus Food/hr]],-1,0)),0)</f>
        <v>72085</v>
      </c>
      <c r="J40" s="113">
        <f ca="1">OFFSET(TblProd[[#This Row],[Lumber]],-1,0)+OFFSET(TblProd[[#This Row],[Lumber/hr]],-1,0) - TblProd[[#This Row],[Expenses Lumber]] + SUM(TblConstr[[#This Row],[Dest Hom]:[Dest Doc]])*TblConstr[[#This Row],[CPA Lumber -DB]]*tech_3_3_2*TblTech[[#This Row],[3-3]]</f>
        <v>40744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Row],[Techpoints]],-1,0)+(1+research_bonus)*(26*MIN((TblConstr[[#This Row],[Tot Sch]]/(TblProd[[#This Row],[Land]]-TblExplore[[#This Row],[Land Bonus]]*20))*100,40))-TblProd[[#This Row],[Required]]*TblTech[[#This Row],[…]],0) + IF(TblProd[[#This Row],[Plat Bonus]]&lt;&gt;"",750,0)</f>
        <v>0</v>
      </c>
      <c r="Q40" s="113">
        <v>10000</v>
      </c>
      <c r="R40" s="184"/>
      <c r="S40" s="113">
        <f ca="1">ROUNDDOWN(TblProd[[#This Row],[Raw Plat/hr]]*(1+TblProd[[#This Row],[Bonus Plat/hr]]),0)</f>
        <v>5499</v>
      </c>
      <c r="T40" s="113">
        <f ca="1">ROUND(TblProd[[#This Row],[Raw Food/hr]]*(1+TblProd[[#This Row],[Bonus Food/hr]])-TblProd[[#This Row],[Food decay]]-TblProd[[#This Row],[Food eaten]],0)</f>
        <v>1263</v>
      </c>
      <c r="U40" s="113">
        <f ca="1">ROUND(TblProd[[#This Row],[Raw Lumber/hr]]*(1+TblProd[[#This Row],[Bonus Lumber/hr]])-TblProd[[#This Row],[Lumber rot]],0)</f>
        <v>593</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5499.9000000000005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720.85</v>
      </c>
      <c r="AP40" s="113">
        <f ca="1">(1+race_food_consumption)*TblPop[[#This Row],[Total]]*food_per_person*(1+tech_1_10*TblTech[[#This Row],[1-10]]+tech_7_5*TblTech[[#This Row],[7-5]])</f>
        <v>595.75</v>
      </c>
      <c r="AQ40" s="113">
        <f ca="1">TblProd[[#This Row],[Lumber]]*lumber_rot * (1 + tech_2_1*TblTech[[#This Row],[2-1]] + tech_2_8*TblTech[[#This Row],[2-8]] + tech_5_2*TblTech[[#This Row],[5-2]])</f>
        <v>407.44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44344.499999999913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297797</v>
      </c>
      <c r="BJ40" s="113">
        <f ca="1">TblProd[[#This Row],[Food]]</f>
        <v>72085</v>
      </c>
      <c r="BK40" s="113">
        <f ca="1">TblProd[[#This Row],[Lumber]]</f>
        <v>40744</v>
      </c>
      <c r="BL40" s="113">
        <f ca="1">TblProd[[#This Row],[Mana]]</f>
        <v>0</v>
      </c>
      <c r="BM40" s="113">
        <f ca="1">TblProd[[#This Row],[Ore]]</f>
        <v>0</v>
      </c>
    </row>
    <row r="41" spans="1:65" x14ac:dyDescent="0.2">
      <c r="A41" s="178">
        <v>38</v>
      </c>
      <c r="B41" s="198">
        <f ca="1">TblImps[[#This Row],[Time]]</f>
        <v>44344.541666666577</v>
      </c>
      <c r="C41" s="199"/>
      <c r="D41" s="200"/>
      <c r="E41" s="113">
        <f ca="1">TblConstr[[#This Row],[Land]]</f>
        <v>250</v>
      </c>
      <c r="F41" s="113">
        <f ca="1">TblPop[[#This Row],[Peasants]]</f>
        <v>1537</v>
      </c>
      <c r="G41" s="113">
        <f ca="1">TblMili[[#This Row],[Networth (2)]]</f>
        <v>6455</v>
      </c>
      <c r="H41" s="113">
        <f ca="1">OFFSET(TblProd[[#This Row],[Platinum]],-1,0)+OFFSET(TblProd[[#This Row],[Plat/hr]],-1,0) - TblProd[[#This Row],[Expenses Platinum]] + IF(TblProd[[#This Row],[Plat Bonus]],TblPop[[#This Row],[Peasants]]*4) + SUM(TblConstr[[#This Row],[Dest Hom]:[Dest Doc]])*TblConstr[[#This Row],[CPA Platinum -DB]]*tech_3_3_2*TblTech[[#This Row],[3-3]]</f>
        <v>303296</v>
      </c>
      <c r="I41" s="113">
        <f ca="1">OFFSET(TblProd[[#This Row],[Food]],-1,0)+OFFSET(TblProd[[#This Row],[Food/hr]],-1,0)+ROUNDUP((TblConstr[[#This Row],[Farms]]*80+TblConstr[[#This Row],[Docks]]*35)*(1+OFFSET(TblProd[[#This Row],[Bonus Food/hr]],-1,0)),0)</f>
        <v>73348</v>
      </c>
      <c r="J41" s="113">
        <f ca="1">OFFSET(TblProd[[#This Row],[Lumber]],-1,0)+OFFSET(TblProd[[#This Row],[Lumber/hr]],-1,0) - TblProd[[#This Row],[Expenses Lumber]] + SUM(TblConstr[[#This Row],[Dest Hom]:[Dest Doc]])*TblConstr[[#This Row],[CPA Lumber -DB]]*tech_3_3_2*TblTech[[#This Row],[3-3]]</f>
        <v>41337</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Row],[Techpoints]],-1,0)+(1+research_bonus)*(26*MIN((TblConstr[[#This Row],[Tot Sch]]/(TblProd[[#This Row],[Land]]-TblExplore[[#This Row],[Land Bonus]]*20))*100,40))-TblProd[[#This Row],[Required]]*TblTech[[#This Row],[…]],0) + IF(TblProd[[#This Row],[Plat Bonus]]&lt;&gt;"",750,0)</f>
        <v>0</v>
      </c>
      <c r="Q41" s="113">
        <v>10000</v>
      </c>
      <c r="R41" s="184"/>
      <c r="S41" s="113">
        <f ca="1">ROUNDDOWN(TblProd[[#This Row],[Raw Plat/hr]]*(1+TblProd[[#This Row],[Bonus Plat/hr]]),0)</f>
        <v>5499</v>
      </c>
      <c r="T41" s="113">
        <f ca="1">ROUND(TblProd[[#This Row],[Raw Food/hr]]*(1+TblProd[[#This Row],[Bonus Food/hr]])-TblProd[[#This Row],[Food decay]]-TblProd[[#This Row],[Food eaten]],0)</f>
        <v>1251</v>
      </c>
      <c r="U41" s="113">
        <f ca="1">ROUND(TblProd[[#This Row],[Raw Lumber/hr]]*(1+TblProd[[#This Row],[Bonus Lumber/hr]])-TblProd[[#This Row],[Lumber rot]],0)</f>
        <v>587</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5499.9000000000005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733.48</v>
      </c>
      <c r="AP41" s="113">
        <f ca="1">(1+race_food_consumption)*TblPop[[#This Row],[Total]]*food_per_person*(1+tech_1_10*TblTech[[#This Row],[1-10]]+tech_7_5*TblTech[[#This Row],[7-5]])</f>
        <v>595.75</v>
      </c>
      <c r="AQ41" s="113">
        <f ca="1">TblProd[[#This Row],[Lumber]]*lumber_rot * (1 + tech_2_1*TblTech[[#This Row],[2-1]] + tech_2_8*TblTech[[#This Row],[2-8]] + tech_5_2*TblTech[[#This Row],[5-2]])</f>
        <v>413.37</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44344.541666666577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303296</v>
      </c>
      <c r="BJ41" s="113">
        <f ca="1">TblProd[[#This Row],[Food]]</f>
        <v>73348</v>
      </c>
      <c r="BK41" s="113">
        <f ca="1">TblProd[[#This Row],[Lumber]]</f>
        <v>41337</v>
      </c>
      <c r="BL41" s="113">
        <f ca="1">TblProd[[#This Row],[Mana]]</f>
        <v>0</v>
      </c>
      <c r="BM41" s="113">
        <f ca="1">TblProd[[#This Row],[Ore]]</f>
        <v>0</v>
      </c>
    </row>
    <row r="42" spans="1:65" x14ac:dyDescent="0.2">
      <c r="A42" s="178">
        <v>39</v>
      </c>
      <c r="B42" s="198">
        <f ca="1">TblImps[[#This Row],[Time]]</f>
        <v>44344.583333333241</v>
      </c>
      <c r="C42" s="199"/>
      <c r="D42" s="200"/>
      <c r="E42" s="113">
        <f ca="1">TblConstr[[#This Row],[Land]]</f>
        <v>250</v>
      </c>
      <c r="F42" s="113">
        <f ca="1">TblPop[[#This Row],[Peasants]]</f>
        <v>1537</v>
      </c>
      <c r="G42" s="113">
        <f ca="1">TblMili[[#This Row],[Networth (2)]]</f>
        <v>6455</v>
      </c>
      <c r="H42" s="113">
        <f ca="1">OFFSET(TblProd[[#This Row],[Platinum]],-1,0)+OFFSET(TblProd[[#This Row],[Plat/hr]],-1,0) - TblProd[[#This Row],[Expenses Platinum]] + IF(TblProd[[#This Row],[Plat Bonus]],TblPop[[#This Row],[Peasants]]*4) + SUM(TblConstr[[#This Row],[Dest Hom]:[Dest Doc]])*TblConstr[[#This Row],[CPA Platinum -DB]]*tech_3_3_2*TblTech[[#This Row],[3-3]]</f>
        <v>308795</v>
      </c>
      <c r="I42" s="113">
        <f ca="1">OFFSET(TblProd[[#This Row],[Food]],-1,0)+OFFSET(TblProd[[#This Row],[Food/hr]],-1,0)+ROUNDUP((TblConstr[[#This Row],[Farms]]*80+TblConstr[[#This Row],[Docks]]*35)*(1+OFFSET(TblProd[[#This Row],[Bonus Food/hr]],-1,0)),0)</f>
        <v>74599</v>
      </c>
      <c r="J42" s="113">
        <f ca="1">OFFSET(TblProd[[#This Row],[Lumber]],-1,0)+OFFSET(TblProd[[#This Row],[Lumber/hr]],-1,0) - TblProd[[#This Row],[Expenses Lumber]] + SUM(TblConstr[[#This Row],[Dest Hom]:[Dest Doc]])*TblConstr[[#This Row],[CPA Lumber -DB]]*tech_3_3_2*TblTech[[#This Row],[3-3]]</f>
        <v>41924</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Row],[Techpoints]],-1,0)+(1+research_bonus)*(26*MIN((TblConstr[[#This Row],[Tot Sch]]/(TblProd[[#This Row],[Land]]-TblExplore[[#This Row],[Land Bonus]]*20))*100,40))-TblProd[[#This Row],[Required]]*TblTech[[#This Row],[…]],0) + IF(TblProd[[#This Row],[Plat Bonus]]&lt;&gt;"",750,0)</f>
        <v>0</v>
      </c>
      <c r="Q42" s="113">
        <v>10000</v>
      </c>
      <c r="R42" s="184"/>
      <c r="S42" s="113">
        <f ca="1">ROUNDDOWN(TblProd[[#This Row],[Raw Plat/hr]]*(1+TblProd[[#This Row],[Bonus Plat/hr]]),0)</f>
        <v>5499</v>
      </c>
      <c r="T42" s="113">
        <f ca="1">ROUND(TblProd[[#This Row],[Raw Food/hr]]*(1+TblProd[[#This Row],[Bonus Food/hr]])-TblProd[[#This Row],[Food decay]]-TblProd[[#This Row],[Food eaten]],0)</f>
        <v>1238</v>
      </c>
      <c r="U42" s="113">
        <f ca="1">ROUND(TblProd[[#This Row],[Raw Lumber/hr]]*(1+TblProd[[#This Row],[Bonus Lumber/hr]])-TblProd[[#This Row],[Lumber rot]],0)</f>
        <v>581</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5499.9000000000005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745.99</v>
      </c>
      <c r="AP42" s="113">
        <f ca="1">(1+race_food_consumption)*TblPop[[#This Row],[Total]]*food_per_person*(1+tech_1_10*TblTech[[#This Row],[1-10]]+tech_7_5*TblTech[[#This Row],[7-5]])</f>
        <v>595.75</v>
      </c>
      <c r="AQ42" s="113">
        <f ca="1">TblProd[[#This Row],[Lumber]]*lumber_rot * (1 + tech_2_1*TblTech[[#This Row],[2-1]] + tech_2_8*TblTech[[#This Row],[2-8]] + tech_5_2*TblTech[[#This Row],[5-2]])</f>
        <v>419.24</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44344.583333333241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308795</v>
      </c>
      <c r="BJ42" s="113">
        <f ca="1">TblProd[[#This Row],[Food]]</f>
        <v>74599</v>
      </c>
      <c r="BK42" s="113">
        <f ca="1">TblProd[[#This Row],[Lumber]]</f>
        <v>41924</v>
      </c>
      <c r="BL42" s="113">
        <f ca="1">TblProd[[#This Row],[Mana]]</f>
        <v>0</v>
      </c>
      <c r="BM42" s="113">
        <f ca="1">TblProd[[#This Row],[Ore]]</f>
        <v>0</v>
      </c>
    </row>
    <row r="43" spans="1:65" x14ac:dyDescent="0.2">
      <c r="A43" s="178">
        <v>40</v>
      </c>
      <c r="B43" s="198">
        <f ca="1">TblImps[[#This Row],[Time]]</f>
        <v>44344.624999999905</v>
      </c>
      <c r="C43" s="199"/>
      <c r="D43" s="200"/>
      <c r="E43" s="113">
        <f ca="1">TblConstr[[#This Row],[Land]]</f>
        <v>250</v>
      </c>
      <c r="F43" s="113">
        <f ca="1">TblPop[[#This Row],[Peasants]]</f>
        <v>1537</v>
      </c>
      <c r="G43" s="113">
        <f ca="1">TblMili[[#This Row],[Networth (2)]]</f>
        <v>6455</v>
      </c>
      <c r="H43" s="113">
        <f ca="1">OFFSET(TblProd[[#This Row],[Platinum]],-1,0)+OFFSET(TblProd[[#This Row],[Plat/hr]],-1,0) - TblProd[[#This Row],[Expenses Platinum]] + IF(TblProd[[#This Row],[Plat Bonus]],TblPop[[#This Row],[Peasants]]*4) + SUM(TblConstr[[#This Row],[Dest Hom]:[Dest Doc]])*TblConstr[[#This Row],[CPA Platinum -DB]]*tech_3_3_2*TblTech[[#This Row],[3-3]]</f>
        <v>314294</v>
      </c>
      <c r="I43" s="113">
        <f ca="1">OFFSET(TblProd[[#This Row],[Food]],-1,0)+OFFSET(TblProd[[#This Row],[Food/hr]],-1,0)+ROUNDUP((TblConstr[[#This Row],[Farms]]*80+TblConstr[[#This Row],[Docks]]*35)*(1+OFFSET(TblProd[[#This Row],[Bonus Food/hr]],-1,0)),0)</f>
        <v>75837</v>
      </c>
      <c r="J43" s="113">
        <f ca="1">OFFSET(TblProd[[#This Row],[Lumber]],-1,0)+OFFSET(TblProd[[#This Row],[Lumber/hr]],-1,0) - TblProd[[#This Row],[Expenses Lumber]] + SUM(TblConstr[[#This Row],[Dest Hom]:[Dest Doc]])*TblConstr[[#This Row],[CPA Lumber -DB]]*tech_3_3_2*TblTech[[#This Row],[3-3]]</f>
        <v>42505</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Row],[Techpoints]],-1,0)+(1+research_bonus)*(26*MIN((TblConstr[[#This Row],[Tot Sch]]/(TblProd[[#This Row],[Land]]-TblExplore[[#This Row],[Land Bonus]]*20))*100,40))-TblProd[[#This Row],[Required]]*TblTech[[#This Row],[…]],0) + IF(TblProd[[#This Row],[Plat Bonus]]&lt;&gt;"",750,0)</f>
        <v>0</v>
      </c>
      <c r="Q43" s="113">
        <v>10000</v>
      </c>
      <c r="R43" s="184"/>
      <c r="S43" s="113">
        <f ca="1">ROUNDDOWN(TblProd[[#This Row],[Raw Plat/hr]]*(1+TblProd[[#This Row],[Bonus Plat/hr]]),0)</f>
        <v>5499</v>
      </c>
      <c r="T43" s="113">
        <f ca="1">ROUND(TblProd[[#This Row],[Raw Food/hr]]*(1+TblProd[[#This Row],[Bonus Food/hr]])-TblProd[[#This Row],[Food decay]]-TblProd[[#This Row],[Food eaten]],0)</f>
        <v>1226</v>
      </c>
      <c r="U43" s="113">
        <f ca="1">ROUND(TblProd[[#This Row],[Raw Lumber/hr]]*(1+TblProd[[#This Row],[Bonus Lumber/hr]])-TblProd[[#This Row],[Lumber rot]],0)</f>
        <v>575</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5499.9000000000005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758.37</v>
      </c>
      <c r="AP43" s="113">
        <f ca="1">(1+race_food_consumption)*TblPop[[#This Row],[Total]]*food_per_person*(1+tech_1_10*TblTech[[#This Row],[1-10]]+tech_7_5*TblTech[[#This Row],[7-5]])</f>
        <v>595.75</v>
      </c>
      <c r="AQ43" s="113">
        <f ca="1">TblProd[[#This Row],[Lumber]]*lumber_rot * (1 + tech_2_1*TblTech[[#This Row],[2-1]] + tech_2_8*TblTech[[#This Row],[2-8]] + tech_5_2*TblTech[[#This Row],[5-2]])</f>
        <v>425.05</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44344.624999999905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314294</v>
      </c>
      <c r="BJ43" s="113">
        <f ca="1">TblProd[[#This Row],[Food]]</f>
        <v>75837</v>
      </c>
      <c r="BK43" s="113">
        <f ca="1">TblProd[[#This Row],[Lumber]]</f>
        <v>42505</v>
      </c>
      <c r="BL43" s="113">
        <f ca="1">TblProd[[#This Row],[Mana]]</f>
        <v>0</v>
      </c>
      <c r="BM43" s="113">
        <f ca="1">TblProd[[#This Row],[Ore]]</f>
        <v>0</v>
      </c>
    </row>
    <row r="44" spans="1:65" x14ac:dyDescent="0.2">
      <c r="A44" s="178">
        <v>41</v>
      </c>
      <c r="B44" s="198">
        <f ca="1">TblImps[[#This Row],[Time]]</f>
        <v>44344.66666666657</v>
      </c>
      <c r="C44" s="199"/>
      <c r="D44" s="200"/>
      <c r="E44" s="113">
        <f ca="1">TblConstr[[#This Row],[Land]]</f>
        <v>250</v>
      </c>
      <c r="F44" s="113">
        <f ca="1">TblPop[[#This Row],[Peasants]]</f>
        <v>1537</v>
      </c>
      <c r="G44" s="113">
        <f ca="1">TblMili[[#This Row],[Networth (2)]]</f>
        <v>6455</v>
      </c>
      <c r="H44" s="113">
        <f ca="1">OFFSET(TblProd[[#This Row],[Platinum]],-1,0)+OFFSET(TblProd[[#This Row],[Plat/hr]],-1,0) - TblProd[[#This Row],[Expenses Platinum]] + IF(TblProd[[#This Row],[Plat Bonus]],TblPop[[#This Row],[Peasants]]*4) + SUM(TblConstr[[#This Row],[Dest Hom]:[Dest Doc]])*TblConstr[[#This Row],[CPA Platinum -DB]]*tech_3_3_2*TblTech[[#This Row],[3-3]]</f>
        <v>319793</v>
      </c>
      <c r="I44" s="113">
        <f ca="1">OFFSET(TblProd[[#This Row],[Food]],-1,0)+OFFSET(TblProd[[#This Row],[Food/hr]],-1,0)+ROUNDUP((TblConstr[[#This Row],[Farms]]*80+TblConstr[[#This Row],[Docks]]*35)*(1+OFFSET(TblProd[[#This Row],[Bonus Food/hr]],-1,0)),0)</f>
        <v>77063</v>
      </c>
      <c r="J44" s="113">
        <f ca="1">OFFSET(TblProd[[#This Row],[Lumber]],-1,0)+OFFSET(TblProd[[#This Row],[Lumber/hr]],-1,0) - TblProd[[#This Row],[Expenses Lumber]] + SUM(TblConstr[[#This Row],[Dest Hom]:[Dest Doc]])*TblConstr[[#This Row],[CPA Lumber -DB]]*tech_3_3_2*TblTech[[#This Row],[3-3]]</f>
        <v>43080</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Row],[Techpoints]],-1,0)+(1+research_bonus)*(26*MIN((TblConstr[[#This Row],[Tot Sch]]/(TblProd[[#This Row],[Land]]-TblExplore[[#This Row],[Land Bonus]]*20))*100,40))-TblProd[[#This Row],[Required]]*TblTech[[#This Row],[…]],0) + IF(TblProd[[#This Row],[Plat Bonus]]&lt;&gt;"",750,0)</f>
        <v>0</v>
      </c>
      <c r="Q44" s="113">
        <v>10000</v>
      </c>
      <c r="R44" s="184"/>
      <c r="S44" s="113">
        <f ca="1">ROUNDDOWN(TblProd[[#This Row],[Raw Plat/hr]]*(1+TblProd[[#This Row],[Bonus Plat/hr]]),0)</f>
        <v>5499</v>
      </c>
      <c r="T44" s="113">
        <f ca="1">ROUND(TblProd[[#This Row],[Raw Food/hr]]*(1+TblProd[[#This Row],[Bonus Food/hr]])-TblProd[[#This Row],[Food decay]]-TblProd[[#This Row],[Food eaten]],0)</f>
        <v>1214</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5499.9000000000005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770.63</v>
      </c>
      <c r="AP44" s="113">
        <f ca="1">(1+race_food_consumption)*TblPop[[#This Row],[Total]]*food_per_person*(1+tech_1_10*TblTech[[#This Row],[1-10]]+tech_7_5*TblTech[[#This Row],[7-5]])</f>
        <v>595.75</v>
      </c>
      <c r="AQ44" s="113">
        <f ca="1">TblProd[[#This Row],[Lumber]]*lumber_rot * (1 + tech_2_1*TblTech[[#This Row],[2-1]] + tech_2_8*TblTech[[#This Row],[2-8]] + tech_5_2*TblTech[[#This Row],[5-2]])</f>
        <v>430.8</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44344.66666666657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319793</v>
      </c>
      <c r="BJ44" s="113">
        <f ca="1">TblProd[[#This Row],[Food]]</f>
        <v>77063</v>
      </c>
      <c r="BK44" s="113">
        <f ca="1">TblProd[[#This Row],[Lumber]]</f>
        <v>43080</v>
      </c>
      <c r="BL44" s="113">
        <f ca="1">TblProd[[#This Row],[Mana]]</f>
        <v>0</v>
      </c>
      <c r="BM44" s="113">
        <f ca="1">TblProd[[#This Row],[Ore]]</f>
        <v>0</v>
      </c>
    </row>
    <row r="45" spans="1:65" x14ac:dyDescent="0.2">
      <c r="A45" s="178">
        <v>42</v>
      </c>
      <c r="B45" s="198">
        <f ca="1">TblImps[[#This Row],[Time]]</f>
        <v>44344.708333333234</v>
      </c>
      <c r="C45" s="199"/>
      <c r="D45" s="200"/>
      <c r="E45" s="113">
        <f ca="1">TblConstr[[#This Row],[Land]]</f>
        <v>250</v>
      </c>
      <c r="F45" s="113">
        <f ca="1">TblPop[[#This Row],[Peasants]]</f>
        <v>1537</v>
      </c>
      <c r="G45" s="113">
        <f ca="1">TblMili[[#This Row],[Networth (2)]]</f>
        <v>6455</v>
      </c>
      <c r="H45" s="113">
        <f ca="1">OFFSET(TblProd[[#This Row],[Platinum]],-1,0)+OFFSET(TblProd[[#This Row],[Plat/hr]],-1,0) - TblProd[[#This Row],[Expenses Platinum]] + IF(TblProd[[#This Row],[Plat Bonus]],TblPop[[#This Row],[Peasants]]*4) + SUM(TblConstr[[#This Row],[Dest Hom]:[Dest Doc]])*TblConstr[[#This Row],[CPA Platinum -DB]]*tech_3_3_2*TblTech[[#This Row],[3-3]]</f>
        <v>325292</v>
      </c>
      <c r="I45" s="113">
        <f ca="1">OFFSET(TblProd[[#This Row],[Food]],-1,0)+OFFSET(TblProd[[#This Row],[Food/hr]],-1,0)+ROUNDUP((TblConstr[[#This Row],[Farms]]*80+TblConstr[[#This Row],[Docks]]*35)*(1+OFFSET(TblProd[[#This Row],[Bonus Food/hr]],-1,0)),0)</f>
        <v>78277</v>
      </c>
      <c r="J45" s="113">
        <f ca="1">OFFSET(TblProd[[#This Row],[Lumber]],-1,0)+OFFSET(TblProd[[#This Row],[Lumber/hr]],-1,0) - TblProd[[#This Row],[Expenses Lumber]] + SUM(TblConstr[[#This Row],[Dest Hom]:[Dest Doc]])*TblConstr[[#This Row],[CPA Lumber -DB]]*tech_3_3_2*TblTech[[#This Row],[3-3]]</f>
        <v>43649</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Row],[Techpoints]],-1,0)+(1+research_bonus)*(26*MIN((TblConstr[[#This Row],[Tot Sch]]/(TblProd[[#This Row],[Land]]-TblExplore[[#This Row],[Land Bonus]]*20))*100,40))-TblProd[[#This Row],[Required]]*TblTech[[#This Row],[…]],0) + IF(TblProd[[#This Row],[Plat Bonus]]&lt;&gt;"",750,0)</f>
        <v>0</v>
      </c>
      <c r="Q45" s="113">
        <v>10000</v>
      </c>
      <c r="R45" s="184"/>
      <c r="S45" s="113">
        <f ca="1">ROUNDDOWN(TblProd[[#This Row],[Raw Plat/hr]]*(1+TblProd[[#This Row],[Bonus Plat/hr]]),0)</f>
        <v>5499</v>
      </c>
      <c r="T45" s="113">
        <f ca="1">ROUND(TblProd[[#This Row],[Raw Food/hr]]*(1+TblProd[[#This Row],[Bonus Food/hr]])-TblProd[[#This Row],[Food decay]]-TblProd[[#This Row],[Food eaten]],0)</f>
        <v>1201</v>
      </c>
      <c r="U45" s="113">
        <f ca="1">ROUND(TblProd[[#This Row],[Raw Lumber/hr]]*(1+TblProd[[#This Row],[Bonus Lumber/hr]])-TblProd[[#This Row],[Lumber rot]],0)</f>
        <v>564</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5499.9000000000005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782.77</v>
      </c>
      <c r="AP45" s="113">
        <f ca="1">(1+race_food_consumption)*TblPop[[#This Row],[Total]]*food_per_person*(1+tech_1_10*TblTech[[#This Row],[1-10]]+tech_7_5*TblTech[[#This Row],[7-5]])</f>
        <v>595.75</v>
      </c>
      <c r="AQ45" s="113">
        <f ca="1">TblProd[[#This Row],[Lumber]]*lumber_rot * (1 + tech_2_1*TblTech[[#This Row],[2-1]] + tech_2_8*TblTech[[#This Row],[2-8]] + tech_5_2*TblTech[[#This Row],[5-2]])</f>
        <v>436.49</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44344.708333333234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325292</v>
      </c>
      <c r="BJ45" s="113">
        <f ca="1">TblProd[[#This Row],[Food]]</f>
        <v>78277</v>
      </c>
      <c r="BK45" s="113">
        <f ca="1">TblProd[[#This Row],[Lumber]]</f>
        <v>43649</v>
      </c>
      <c r="BL45" s="113">
        <f ca="1">TblProd[[#This Row],[Mana]]</f>
        <v>0</v>
      </c>
      <c r="BM45" s="113">
        <f ca="1">TblProd[[#This Row],[Ore]]</f>
        <v>0</v>
      </c>
    </row>
    <row r="46" spans="1:65" x14ac:dyDescent="0.2">
      <c r="A46" s="178">
        <v>43</v>
      </c>
      <c r="B46" s="198">
        <f ca="1">TblImps[[#This Row],[Time]]</f>
        <v>44344.749999999898</v>
      </c>
      <c r="C46" s="199"/>
      <c r="D46" s="200"/>
      <c r="E46" s="113">
        <f ca="1">TblConstr[[#This Row],[Land]]</f>
        <v>250</v>
      </c>
      <c r="F46" s="113">
        <f ca="1">TblPop[[#This Row],[Peasants]]</f>
        <v>1537</v>
      </c>
      <c r="G46" s="113">
        <f ca="1">TblMili[[#This Row],[Networth (2)]]</f>
        <v>6455</v>
      </c>
      <c r="H46" s="113">
        <f ca="1">OFFSET(TblProd[[#This Row],[Platinum]],-1,0)+OFFSET(TblProd[[#This Row],[Plat/hr]],-1,0) - TblProd[[#This Row],[Expenses Platinum]] + IF(TblProd[[#This Row],[Plat Bonus]],TblPop[[#This Row],[Peasants]]*4) + SUM(TblConstr[[#This Row],[Dest Hom]:[Dest Doc]])*TblConstr[[#This Row],[CPA Platinum -DB]]*tech_3_3_2*TblTech[[#This Row],[3-3]]</f>
        <v>330791</v>
      </c>
      <c r="I46" s="113">
        <f ca="1">OFFSET(TblProd[[#This Row],[Food]],-1,0)+OFFSET(TblProd[[#This Row],[Food/hr]],-1,0)+ROUNDUP((TblConstr[[#This Row],[Farms]]*80+TblConstr[[#This Row],[Docks]]*35)*(1+OFFSET(TblProd[[#This Row],[Bonus Food/hr]],-1,0)),0)</f>
        <v>79478</v>
      </c>
      <c r="J46" s="113">
        <f ca="1">OFFSET(TblProd[[#This Row],[Lumber]],-1,0)+OFFSET(TblProd[[#This Row],[Lumber/hr]],-1,0) - TblProd[[#This Row],[Expenses Lumber]] + SUM(TblConstr[[#This Row],[Dest Hom]:[Dest Doc]])*TblConstr[[#This Row],[CPA Lumber -DB]]*tech_3_3_2*TblTech[[#This Row],[3-3]]</f>
        <v>44213</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Row],[Techpoints]],-1,0)+(1+research_bonus)*(26*MIN((TblConstr[[#This Row],[Tot Sch]]/(TblProd[[#This Row],[Land]]-TblExplore[[#This Row],[Land Bonus]]*20))*100,40))-TblProd[[#This Row],[Required]]*TblTech[[#This Row],[…]],0) + IF(TblProd[[#This Row],[Plat Bonus]]&lt;&gt;"",750,0)</f>
        <v>0</v>
      </c>
      <c r="Q46" s="113">
        <v>10000</v>
      </c>
      <c r="R46" s="184"/>
      <c r="S46" s="113">
        <f ca="1">ROUNDDOWN(TblProd[[#This Row],[Raw Plat/hr]]*(1+TblProd[[#This Row],[Bonus Plat/hr]]),0)</f>
        <v>5499</v>
      </c>
      <c r="T46" s="113">
        <f ca="1">ROUND(TblProd[[#This Row],[Raw Food/hr]]*(1+TblProd[[#This Row],[Bonus Food/hr]])-TblProd[[#This Row],[Food decay]]-TblProd[[#This Row],[Food eaten]],0)</f>
        <v>1189</v>
      </c>
      <c r="U46" s="113">
        <f ca="1">ROUND(TblProd[[#This Row],[Raw Lumber/hr]]*(1+TblProd[[#This Row],[Bonus Lumber/hr]])-TblProd[[#This Row],[Lumber rot]],0)</f>
        <v>558</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5499.9000000000005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794.78</v>
      </c>
      <c r="AP46" s="113">
        <f ca="1">(1+race_food_consumption)*TblPop[[#This Row],[Total]]*food_per_person*(1+tech_1_10*TblTech[[#This Row],[1-10]]+tech_7_5*TblTech[[#This Row],[7-5]])</f>
        <v>595.75</v>
      </c>
      <c r="AQ46" s="113">
        <f ca="1">TblProd[[#This Row],[Lumber]]*lumber_rot * (1 + tech_2_1*TblTech[[#This Row],[2-1]] + tech_2_8*TblTech[[#This Row],[2-8]] + tech_5_2*TblTech[[#This Row],[5-2]])</f>
        <v>442.13</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44344.749999999898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330791</v>
      </c>
      <c r="BJ46" s="113">
        <f ca="1">TblProd[[#This Row],[Food]]</f>
        <v>79478</v>
      </c>
      <c r="BK46" s="113">
        <f ca="1">TblProd[[#This Row],[Lumber]]</f>
        <v>44213</v>
      </c>
      <c r="BL46" s="113">
        <f ca="1">TblProd[[#This Row],[Mana]]</f>
        <v>0</v>
      </c>
      <c r="BM46" s="113">
        <f ca="1">TblProd[[#This Row],[Ore]]</f>
        <v>0</v>
      </c>
    </row>
    <row r="47" spans="1:65" x14ac:dyDescent="0.2">
      <c r="A47" s="178">
        <v>44</v>
      </c>
      <c r="B47" s="198">
        <f ca="1">TblImps[[#This Row],[Time]]</f>
        <v>44344.791666666562</v>
      </c>
      <c r="C47" s="199"/>
      <c r="D47" s="200"/>
      <c r="E47" s="113">
        <f ca="1">TblConstr[[#This Row],[Land]]</f>
        <v>250</v>
      </c>
      <c r="F47" s="113">
        <f ca="1">TblPop[[#This Row],[Peasants]]</f>
        <v>1537</v>
      </c>
      <c r="G47" s="113">
        <f ca="1">TblMili[[#This Row],[Networth (2)]]</f>
        <v>6455</v>
      </c>
      <c r="H47" s="113">
        <f ca="1">OFFSET(TblProd[[#This Row],[Platinum]],-1,0)+OFFSET(TblProd[[#This Row],[Plat/hr]],-1,0) - TblProd[[#This Row],[Expenses Platinum]] + IF(TblProd[[#This Row],[Plat Bonus]],TblPop[[#This Row],[Peasants]]*4) + SUM(TblConstr[[#This Row],[Dest Hom]:[Dest Doc]])*TblConstr[[#This Row],[CPA Platinum -DB]]*tech_3_3_2*TblTech[[#This Row],[3-3]]</f>
        <v>336290</v>
      </c>
      <c r="I47" s="113">
        <f ca="1">OFFSET(TblProd[[#This Row],[Food]],-1,0)+OFFSET(TblProd[[#This Row],[Food/hr]],-1,0)+ROUNDUP((TblConstr[[#This Row],[Farms]]*80+TblConstr[[#This Row],[Docks]]*35)*(1+OFFSET(TblProd[[#This Row],[Bonus Food/hr]],-1,0)),0)</f>
        <v>80667</v>
      </c>
      <c r="J47" s="113">
        <f ca="1">OFFSET(TblProd[[#This Row],[Lumber]],-1,0)+OFFSET(TblProd[[#This Row],[Lumber/hr]],-1,0) - TblProd[[#This Row],[Expenses Lumber]] + SUM(TblConstr[[#This Row],[Dest Hom]:[Dest Doc]])*TblConstr[[#This Row],[CPA Lumber -DB]]*tech_3_3_2*TblTech[[#This Row],[3-3]]</f>
        <v>44771</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Row],[Techpoints]],-1,0)+(1+research_bonus)*(26*MIN((TblConstr[[#This Row],[Tot Sch]]/(TblProd[[#This Row],[Land]]-TblExplore[[#This Row],[Land Bonus]]*20))*100,40))-TblProd[[#This Row],[Required]]*TblTech[[#This Row],[…]],0) + IF(TblProd[[#This Row],[Plat Bonus]]&lt;&gt;"",750,0)</f>
        <v>0</v>
      </c>
      <c r="Q47" s="113">
        <v>10000</v>
      </c>
      <c r="R47" s="184"/>
      <c r="S47" s="113">
        <f ca="1">ROUNDDOWN(TblProd[[#This Row],[Raw Plat/hr]]*(1+TblProd[[#This Row],[Bonus Plat/hr]]),0)</f>
        <v>5499</v>
      </c>
      <c r="T47" s="113">
        <f ca="1">ROUND(TblProd[[#This Row],[Raw Food/hr]]*(1+TblProd[[#This Row],[Bonus Food/hr]])-TblProd[[#This Row],[Food decay]]-TblProd[[#This Row],[Food eaten]],0)</f>
        <v>1178</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5499.9000000000005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806.67000000000007</v>
      </c>
      <c r="AP47" s="113">
        <f ca="1">(1+race_food_consumption)*TblPop[[#This Row],[Total]]*food_per_person*(1+tech_1_10*TblTech[[#This Row],[1-10]]+tech_7_5*TblTech[[#This Row],[7-5]])</f>
        <v>595.75</v>
      </c>
      <c r="AQ47" s="113">
        <f ca="1">TblProd[[#This Row],[Lumber]]*lumber_rot * (1 + tech_2_1*TblTech[[#This Row],[2-1]] + tech_2_8*TblTech[[#This Row],[2-8]] + tech_5_2*TblTech[[#This Row],[5-2]])</f>
        <v>447.71000000000004</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44344.791666666562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336290</v>
      </c>
      <c r="BJ47" s="113">
        <f ca="1">TblProd[[#This Row],[Food]]</f>
        <v>80667</v>
      </c>
      <c r="BK47" s="113">
        <f ca="1">TblProd[[#This Row],[Lumber]]</f>
        <v>44771</v>
      </c>
      <c r="BL47" s="113">
        <f ca="1">TblProd[[#This Row],[Mana]]</f>
        <v>0</v>
      </c>
      <c r="BM47" s="113">
        <f ca="1">TblProd[[#This Row],[Ore]]</f>
        <v>0</v>
      </c>
    </row>
    <row r="48" spans="1:65" x14ac:dyDescent="0.2">
      <c r="A48" s="178">
        <v>45</v>
      </c>
      <c r="B48" s="198">
        <f ca="1">TblImps[[#This Row],[Time]]</f>
        <v>44344.833333333227</v>
      </c>
      <c r="C48" s="199"/>
      <c r="D48" s="200"/>
      <c r="E48" s="113">
        <f ca="1">TblConstr[[#This Row],[Land]]</f>
        <v>250</v>
      </c>
      <c r="F48" s="113">
        <f ca="1">TblPop[[#This Row],[Peasants]]</f>
        <v>1537</v>
      </c>
      <c r="G48" s="113">
        <f ca="1">TblMili[[#This Row],[Networth (2)]]</f>
        <v>6455</v>
      </c>
      <c r="H48" s="113">
        <f ca="1">OFFSET(TblProd[[#This Row],[Platinum]],-1,0)+OFFSET(TblProd[[#This Row],[Plat/hr]],-1,0) - TblProd[[#This Row],[Expenses Platinum]] + IF(TblProd[[#This Row],[Plat Bonus]],TblPop[[#This Row],[Peasants]]*4) + SUM(TblConstr[[#This Row],[Dest Hom]:[Dest Doc]])*TblConstr[[#This Row],[CPA Platinum -DB]]*tech_3_3_2*TblTech[[#This Row],[3-3]]</f>
        <v>341789</v>
      </c>
      <c r="I48" s="113">
        <f ca="1">OFFSET(TblProd[[#This Row],[Food]],-1,0)+OFFSET(TblProd[[#This Row],[Food/hr]],-1,0)+ROUNDUP((TblConstr[[#This Row],[Farms]]*80+TblConstr[[#This Row],[Docks]]*35)*(1+OFFSET(TblProd[[#This Row],[Bonus Food/hr]],-1,0)),0)</f>
        <v>81845</v>
      </c>
      <c r="J48" s="113">
        <f ca="1">OFFSET(TblProd[[#This Row],[Lumber]],-1,0)+OFFSET(TblProd[[#This Row],[Lumber/hr]],-1,0) - TblProd[[#This Row],[Expenses Lumber]] + SUM(TblConstr[[#This Row],[Dest Hom]:[Dest Doc]])*TblConstr[[#This Row],[CPA Lumber -DB]]*tech_3_3_2*TblTech[[#This Row],[3-3]]</f>
        <v>45323</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Row],[Techpoints]],-1,0)+(1+research_bonus)*(26*MIN((TblConstr[[#This Row],[Tot Sch]]/(TblProd[[#This Row],[Land]]-TblExplore[[#This Row],[Land Bonus]]*20))*100,40))-TblProd[[#This Row],[Required]]*TblTech[[#This Row],[…]],0) + IF(TblProd[[#This Row],[Plat Bonus]]&lt;&gt;"",750,0)</f>
        <v>0</v>
      </c>
      <c r="Q48" s="113">
        <v>10000</v>
      </c>
      <c r="R48" s="184"/>
      <c r="S48" s="113">
        <f ca="1">ROUNDDOWN(TblProd[[#This Row],[Raw Plat/hr]]*(1+TblProd[[#This Row],[Bonus Plat/hr]]),0)</f>
        <v>5499</v>
      </c>
      <c r="T48" s="113">
        <f ca="1">ROUND(TblProd[[#This Row],[Raw Food/hr]]*(1+TblProd[[#This Row],[Bonus Food/hr]])-TblProd[[#This Row],[Food decay]]-TblProd[[#This Row],[Food eaten]],0)</f>
        <v>1166</v>
      </c>
      <c r="U48" s="113">
        <f ca="1">ROUND(TblProd[[#This Row],[Raw Lumber/hr]]*(1+TblProd[[#This Row],[Bonus Lumber/hr]])-TblProd[[#This Row],[Lumber rot]],0)</f>
        <v>547</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5499.9000000000005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818.45</v>
      </c>
      <c r="AP48" s="113">
        <f ca="1">(1+race_food_consumption)*TblPop[[#This Row],[Total]]*food_per_person*(1+tech_1_10*TblTech[[#This Row],[1-10]]+tech_7_5*TblTech[[#This Row],[7-5]])</f>
        <v>595.75</v>
      </c>
      <c r="AQ48" s="113">
        <f ca="1">TblProd[[#This Row],[Lumber]]*lumber_rot * (1 + tech_2_1*TblTech[[#This Row],[2-1]] + tech_2_8*TblTech[[#This Row],[2-8]] + tech_5_2*TblTech[[#This Row],[5-2]])</f>
        <v>453.23</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44344.833333333227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341789</v>
      </c>
      <c r="BJ48" s="113">
        <f ca="1">TblProd[[#This Row],[Food]]</f>
        <v>81845</v>
      </c>
      <c r="BK48" s="113">
        <f ca="1">TblProd[[#This Row],[Lumber]]</f>
        <v>45323</v>
      </c>
      <c r="BL48" s="113">
        <f ca="1">TblProd[[#This Row],[Mana]]</f>
        <v>0</v>
      </c>
      <c r="BM48" s="113">
        <f ca="1">TblProd[[#This Row],[Ore]]</f>
        <v>0</v>
      </c>
    </row>
    <row r="49" spans="1:65" x14ac:dyDescent="0.2">
      <c r="A49" s="178">
        <v>46</v>
      </c>
      <c r="B49" s="198">
        <f ca="1">TblImps[[#This Row],[Time]]</f>
        <v>44344.874999999891</v>
      </c>
      <c r="C49" s="199"/>
      <c r="D49" s="200"/>
      <c r="E49" s="113">
        <f ca="1">TblConstr[[#This Row],[Land]]</f>
        <v>250</v>
      </c>
      <c r="F49" s="113">
        <f ca="1">TblPop[[#This Row],[Peasants]]</f>
        <v>1537</v>
      </c>
      <c r="G49" s="113">
        <f ca="1">TblMili[[#This Row],[Networth (2)]]</f>
        <v>6455</v>
      </c>
      <c r="H49" s="113">
        <f ca="1">OFFSET(TblProd[[#This Row],[Platinum]],-1,0)+OFFSET(TblProd[[#This Row],[Plat/hr]],-1,0) - TblProd[[#This Row],[Expenses Platinum]] + IF(TblProd[[#This Row],[Plat Bonus]],TblPop[[#This Row],[Peasants]]*4) + SUM(TblConstr[[#This Row],[Dest Hom]:[Dest Doc]])*TblConstr[[#This Row],[CPA Platinum -DB]]*tech_3_3_2*TblTech[[#This Row],[3-3]]</f>
        <v>347288</v>
      </c>
      <c r="I49" s="113">
        <f ca="1">OFFSET(TblProd[[#This Row],[Food]],-1,0)+OFFSET(TblProd[[#This Row],[Food/hr]],-1,0)+ROUNDUP((TblConstr[[#This Row],[Farms]]*80+TblConstr[[#This Row],[Docks]]*35)*(1+OFFSET(TblProd[[#This Row],[Bonus Food/hr]],-1,0)),0)</f>
        <v>83011</v>
      </c>
      <c r="J49" s="113">
        <f ca="1">OFFSET(TblProd[[#This Row],[Lumber]],-1,0)+OFFSET(TblProd[[#This Row],[Lumber/hr]],-1,0) - TblProd[[#This Row],[Expenses Lumber]] + SUM(TblConstr[[#This Row],[Dest Hom]:[Dest Doc]])*TblConstr[[#This Row],[CPA Lumber -DB]]*tech_3_3_2*TblTech[[#This Row],[3-3]]</f>
        <v>45870</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Row],[Techpoints]],-1,0)+(1+research_bonus)*(26*MIN((TblConstr[[#This Row],[Tot Sch]]/(TblProd[[#This Row],[Land]]-TblExplore[[#This Row],[Land Bonus]]*20))*100,40))-TblProd[[#This Row],[Required]]*TblTech[[#This Row],[…]],0) + IF(TblProd[[#This Row],[Plat Bonus]]&lt;&gt;"",750,0)</f>
        <v>0</v>
      </c>
      <c r="Q49" s="113">
        <v>10000</v>
      </c>
      <c r="R49" s="184"/>
      <c r="S49" s="113">
        <f ca="1">ROUNDDOWN(TblProd[[#This Row],[Raw Plat/hr]]*(1+TblProd[[#This Row],[Bonus Plat/hr]]),0)</f>
        <v>5499</v>
      </c>
      <c r="T49" s="113">
        <f ca="1">ROUND(TblProd[[#This Row],[Raw Food/hr]]*(1+TblProd[[#This Row],[Bonus Food/hr]])-TblProd[[#This Row],[Food decay]]-TblProd[[#This Row],[Food eaten]],0)</f>
        <v>1154</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5499.9000000000005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830.11</v>
      </c>
      <c r="AP49" s="113">
        <f ca="1">(1+race_food_consumption)*TblPop[[#This Row],[Total]]*food_per_person*(1+tech_1_10*TblTech[[#This Row],[1-10]]+tech_7_5*TblTech[[#This Row],[7-5]])</f>
        <v>595.75</v>
      </c>
      <c r="AQ49" s="113">
        <f ca="1">TblProd[[#This Row],[Lumber]]*lumber_rot * (1 + tech_2_1*TblTech[[#This Row],[2-1]] + tech_2_8*TblTech[[#This Row],[2-8]] + tech_5_2*TblTech[[#This Row],[5-2]])</f>
        <v>458.7</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44344.874999999891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347288</v>
      </c>
      <c r="BJ49" s="113">
        <f ca="1">TblProd[[#This Row],[Food]]</f>
        <v>83011</v>
      </c>
      <c r="BK49" s="113">
        <f ca="1">TblProd[[#This Row],[Lumber]]</f>
        <v>45870</v>
      </c>
      <c r="BL49" s="113">
        <f ca="1">TblProd[[#This Row],[Mana]]</f>
        <v>0</v>
      </c>
      <c r="BM49" s="113">
        <f ca="1">TblProd[[#This Row],[Ore]]</f>
        <v>0</v>
      </c>
    </row>
    <row r="50" spans="1:65" x14ac:dyDescent="0.2">
      <c r="A50" s="178">
        <v>47</v>
      </c>
      <c r="B50" s="198">
        <f ca="1">TblImps[[#This Row],[Time]]</f>
        <v>44344.916666666555</v>
      </c>
      <c r="C50" s="199"/>
      <c r="D50" s="200"/>
      <c r="E50" s="113">
        <f ca="1">TblConstr[[#This Row],[Land]]</f>
        <v>250</v>
      </c>
      <c r="F50" s="113">
        <f ca="1">TblPop[[#This Row],[Peasants]]</f>
        <v>1537</v>
      </c>
      <c r="G50" s="113">
        <f ca="1">TblMili[[#This Row],[Networth (2)]]</f>
        <v>6455</v>
      </c>
      <c r="H50" s="113">
        <f ca="1">OFFSET(TblProd[[#This Row],[Platinum]],-1,0)+OFFSET(TblProd[[#This Row],[Plat/hr]],-1,0) - TblProd[[#This Row],[Expenses Platinum]] + IF(TblProd[[#This Row],[Plat Bonus]],TblPop[[#This Row],[Peasants]]*4) + SUM(TblConstr[[#This Row],[Dest Hom]:[Dest Doc]])*TblConstr[[#This Row],[CPA Platinum -DB]]*tech_3_3_2*TblTech[[#This Row],[3-3]]</f>
        <v>352787</v>
      </c>
      <c r="I50" s="113">
        <f ca="1">OFFSET(TblProd[[#This Row],[Food]],-1,0)+OFFSET(TblProd[[#This Row],[Food/hr]],-1,0)+ROUNDUP((TblConstr[[#This Row],[Farms]]*80+TblConstr[[#This Row],[Docks]]*35)*(1+OFFSET(TblProd[[#This Row],[Bonus Food/hr]],-1,0)),0)</f>
        <v>84165</v>
      </c>
      <c r="J50" s="113">
        <f ca="1">OFFSET(TblProd[[#This Row],[Lumber]],-1,0)+OFFSET(TblProd[[#This Row],[Lumber/hr]],-1,0) - TblProd[[#This Row],[Expenses Lumber]] + SUM(TblConstr[[#This Row],[Dest Hom]:[Dest Doc]])*TblConstr[[#This Row],[CPA Lumber -DB]]*tech_3_3_2*TblTech[[#This Row],[3-3]]</f>
        <v>46411</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Row],[Techpoints]],-1,0)+(1+research_bonus)*(26*MIN((TblConstr[[#This Row],[Tot Sch]]/(TblProd[[#This Row],[Land]]-TblExplore[[#This Row],[Land Bonus]]*20))*100,40))-TblProd[[#This Row],[Required]]*TblTech[[#This Row],[…]],0) + IF(TblProd[[#This Row],[Plat Bonus]]&lt;&gt;"",750,0)</f>
        <v>0</v>
      </c>
      <c r="Q50" s="113">
        <v>10000</v>
      </c>
      <c r="R50" s="184"/>
      <c r="S50" s="113">
        <f ca="1">ROUNDDOWN(TblProd[[#This Row],[Raw Plat/hr]]*(1+TblProd[[#This Row],[Bonus Plat/hr]]),0)</f>
        <v>5499</v>
      </c>
      <c r="T50" s="113">
        <f ca="1">ROUND(TblProd[[#This Row],[Raw Food/hr]]*(1+TblProd[[#This Row],[Bonus Food/hr]])-TblProd[[#This Row],[Food decay]]-TblProd[[#This Row],[Food eaten]],0)</f>
        <v>1143</v>
      </c>
      <c r="U50" s="113">
        <f ca="1">ROUND(TblProd[[#This Row],[Raw Lumber/hr]]*(1+TblProd[[#This Row],[Bonus Lumber/hr]])-TblProd[[#This Row],[Lumber rot]],0)</f>
        <v>536</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5499.9000000000005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841.65</v>
      </c>
      <c r="AP50" s="113">
        <f ca="1">(1+race_food_consumption)*TblPop[[#This Row],[Total]]*food_per_person*(1+tech_1_10*TblTech[[#This Row],[1-10]]+tech_7_5*TblTech[[#This Row],[7-5]])</f>
        <v>595.75</v>
      </c>
      <c r="AQ50" s="113">
        <f ca="1">TblProd[[#This Row],[Lumber]]*lumber_rot * (1 + tech_2_1*TblTech[[#This Row],[2-1]] + tech_2_8*TblTech[[#This Row],[2-8]] + tech_5_2*TblTech[[#This Row],[5-2]])</f>
        <v>464.11</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44344.916666666555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352787</v>
      </c>
      <c r="BJ50" s="113">
        <f ca="1">TblProd[[#This Row],[Food]]</f>
        <v>84165</v>
      </c>
      <c r="BK50" s="113">
        <f ca="1">TblProd[[#This Row],[Lumber]]</f>
        <v>46411</v>
      </c>
      <c r="BL50" s="113">
        <f ca="1">TblProd[[#This Row],[Mana]]</f>
        <v>0</v>
      </c>
      <c r="BM50" s="113">
        <f ca="1">TblProd[[#This Row],[Ore]]</f>
        <v>0</v>
      </c>
    </row>
    <row r="51" spans="1:65" x14ac:dyDescent="0.2">
      <c r="A51" s="178">
        <v>48</v>
      </c>
      <c r="B51" s="198">
        <f ca="1">TblImps[[#This Row],[Time]]</f>
        <v>44344.958333333219</v>
      </c>
      <c r="C51" s="199"/>
      <c r="D51" s="200"/>
      <c r="E51" s="113">
        <f ca="1">TblConstr[[#This Row],[Land]]</f>
        <v>250</v>
      </c>
      <c r="F51" s="113">
        <f ca="1">TblPop[[#This Row],[Peasants]]</f>
        <v>1537</v>
      </c>
      <c r="G51" s="113">
        <f ca="1">TblMili[[#This Row],[Networth (2)]]</f>
        <v>6455</v>
      </c>
      <c r="H51" s="113">
        <f ca="1">OFFSET(TblProd[[#This Row],[Platinum]],-1,0)+OFFSET(TblProd[[#This Row],[Plat/hr]],-1,0) - TblProd[[#This Row],[Expenses Platinum]] + IF(TblProd[[#This Row],[Plat Bonus]],TblPop[[#This Row],[Peasants]]*4) + SUM(TblConstr[[#This Row],[Dest Hom]:[Dest Doc]])*TblConstr[[#This Row],[CPA Platinum -DB]]*tech_3_3_2*TblTech[[#This Row],[3-3]]</f>
        <v>358286</v>
      </c>
      <c r="I51" s="113">
        <f ca="1">OFFSET(TblProd[[#This Row],[Food]],-1,0)+OFFSET(TblProd[[#This Row],[Food/hr]],-1,0)+ROUNDUP((TblConstr[[#This Row],[Farms]]*80+TblConstr[[#This Row],[Docks]]*35)*(1+OFFSET(TblProd[[#This Row],[Bonus Food/hr]],-1,0)),0)</f>
        <v>85308</v>
      </c>
      <c r="J51" s="113">
        <f ca="1">OFFSET(TblProd[[#This Row],[Lumber]],-1,0)+OFFSET(TblProd[[#This Row],[Lumber/hr]],-1,0) - TblProd[[#This Row],[Expenses Lumber]] + SUM(TblConstr[[#This Row],[Dest Hom]:[Dest Doc]])*TblConstr[[#This Row],[CPA Lumber -DB]]*tech_3_3_2*TblTech[[#This Row],[3-3]]</f>
        <v>46947</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Row],[Techpoints]],-1,0)+(1+research_bonus)*(26*MIN((TblConstr[[#This Row],[Tot Sch]]/(TblProd[[#This Row],[Land]]-TblExplore[[#This Row],[Land Bonus]]*20))*100,40))-TblProd[[#This Row],[Required]]*TblTech[[#This Row],[…]],0) + IF(TblProd[[#This Row],[Plat Bonus]]&lt;&gt;"",750,0)</f>
        <v>0</v>
      </c>
      <c r="Q51" s="113">
        <v>10000</v>
      </c>
      <c r="R51" s="184"/>
      <c r="S51" s="113">
        <f ca="1">ROUNDDOWN(TblProd[[#This Row],[Raw Plat/hr]]*(1+TblProd[[#This Row],[Bonus Plat/hr]]),0)</f>
        <v>5499</v>
      </c>
      <c r="T51" s="113">
        <f ca="1">ROUND(TblProd[[#This Row],[Raw Food/hr]]*(1+TblProd[[#This Row],[Bonus Food/hr]])-TblProd[[#This Row],[Food decay]]-TblProd[[#This Row],[Food eaten]],0)</f>
        <v>1131</v>
      </c>
      <c r="U51" s="113">
        <f ca="1">ROUND(TblProd[[#This Row],[Raw Lumber/hr]]*(1+TblProd[[#This Row],[Bonus Lumber/hr]])-TblProd[[#This Row],[Lumber rot]],0)</f>
        <v>531</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5499.9000000000005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853.08</v>
      </c>
      <c r="AP51" s="113">
        <f ca="1">(1+race_food_consumption)*TblPop[[#This Row],[Total]]*food_per_person*(1+tech_1_10*TblTech[[#This Row],[1-10]]+tech_7_5*TblTech[[#This Row],[7-5]])</f>
        <v>595.75</v>
      </c>
      <c r="AQ51" s="113">
        <f ca="1">TblProd[[#This Row],[Lumber]]*lumber_rot * (1 + tech_2_1*TblTech[[#This Row],[2-1]] + tech_2_8*TblTech[[#This Row],[2-8]] + tech_5_2*TblTech[[#This Row],[5-2]])</f>
        <v>469.47</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44344.958333333219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358286</v>
      </c>
      <c r="BJ51" s="113">
        <f ca="1">TblProd[[#This Row],[Food]]</f>
        <v>85308</v>
      </c>
      <c r="BK51" s="113">
        <f ca="1">TblProd[[#This Row],[Lumber]]</f>
        <v>46947</v>
      </c>
      <c r="BL51" s="113">
        <f ca="1">TblProd[[#This Row],[Mana]]</f>
        <v>0</v>
      </c>
      <c r="BM51" s="113">
        <f ca="1">TblProd[[#This Row],[Ore]]</f>
        <v>0</v>
      </c>
    </row>
    <row r="52" spans="1:65" x14ac:dyDescent="0.2">
      <c r="A52" s="178">
        <v>49</v>
      </c>
      <c r="B52" s="198">
        <f ca="1">TblImps[[#This Row],[Time]]</f>
        <v>44344.999999999884</v>
      </c>
      <c r="C52" s="199"/>
      <c r="D52" s="200"/>
      <c r="E52" s="113">
        <f ca="1">TblConstr[[#This Row],[Land]]</f>
        <v>250</v>
      </c>
      <c r="F52" s="113">
        <f ca="1">TblPop[[#This Row],[Peasants]]</f>
        <v>1537</v>
      </c>
      <c r="G52" s="113">
        <f ca="1">TblMili[[#This Row],[Networth (2)]]</f>
        <v>6455</v>
      </c>
      <c r="H52" s="113">
        <f ca="1">OFFSET(TblProd[[#This Row],[Platinum]],-1,0)+OFFSET(TblProd[[#This Row],[Plat/hr]],-1,0) - TblProd[[#This Row],[Expenses Platinum]] + IF(TblProd[[#This Row],[Plat Bonus]],TblPop[[#This Row],[Peasants]]*4) + SUM(TblConstr[[#This Row],[Dest Hom]:[Dest Doc]])*TblConstr[[#This Row],[CPA Platinum -DB]]*tech_3_3_2*TblTech[[#This Row],[3-3]]</f>
        <v>363785</v>
      </c>
      <c r="I52" s="113">
        <f ca="1">OFFSET(TblProd[[#This Row],[Food]],-1,0)+OFFSET(TblProd[[#This Row],[Food/hr]],-1,0)+ROUNDUP((TblConstr[[#This Row],[Farms]]*80+TblConstr[[#This Row],[Docks]]*35)*(1+OFFSET(TblProd[[#This Row],[Bonus Food/hr]],-1,0)),0)</f>
        <v>86439</v>
      </c>
      <c r="J52" s="113">
        <f ca="1">OFFSET(TblProd[[#This Row],[Lumber]],-1,0)+OFFSET(TblProd[[#This Row],[Lumber/hr]],-1,0) - TblProd[[#This Row],[Expenses Lumber]] + SUM(TblConstr[[#This Row],[Dest Hom]:[Dest Doc]])*TblConstr[[#This Row],[CPA Lumber -DB]]*tech_3_3_2*TblTech[[#This Row],[3-3]]</f>
        <v>47478</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Row],[Techpoints]],-1,0)+(1+research_bonus)*(26*MIN((TblConstr[[#This Row],[Tot Sch]]/(TblProd[[#This Row],[Land]]-TblExplore[[#This Row],[Land Bonus]]*20))*100,40))-TblProd[[#This Row],[Required]]*TblTech[[#This Row],[…]],0) + IF(TblProd[[#This Row],[Plat Bonus]]&lt;&gt;"",750,0)</f>
        <v>0</v>
      </c>
      <c r="Q52" s="113">
        <v>10000</v>
      </c>
      <c r="R52" s="184"/>
      <c r="S52" s="113">
        <f ca="1">ROUNDDOWN(TblProd[[#This Row],[Raw Plat/hr]]*(1+TblProd[[#This Row],[Bonus Plat/hr]]),0)</f>
        <v>5499</v>
      </c>
      <c r="T52" s="113">
        <f ca="1">ROUND(TblProd[[#This Row],[Raw Food/hr]]*(1+TblProd[[#This Row],[Bonus Food/hr]])-TblProd[[#This Row],[Food decay]]-TblProd[[#This Row],[Food eaten]],0)</f>
        <v>1120</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5499.9000000000005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864.39</v>
      </c>
      <c r="AP52" s="113">
        <f ca="1">(1+race_food_consumption)*TblPop[[#This Row],[Total]]*food_per_person*(1+tech_1_10*TblTech[[#This Row],[1-10]]+tech_7_5*TblTech[[#This Row],[7-5]])</f>
        <v>595.75</v>
      </c>
      <c r="AQ52" s="113">
        <f ca="1">TblProd[[#This Row],[Lumber]]*lumber_rot * (1 + tech_2_1*TblTech[[#This Row],[2-1]] + tech_2_8*TblTech[[#This Row],[2-8]] + tech_5_2*TblTech[[#This Row],[5-2]])</f>
        <v>474.78000000000003</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44344.999999999884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363785</v>
      </c>
      <c r="BJ52" s="113">
        <f ca="1">TblProd[[#This Row],[Food]]</f>
        <v>86439</v>
      </c>
      <c r="BK52" s="113">
        <f ca="1">TblProd[[#This Row],[Lumber]]</f>
        <v>47478</v>
      </c>
      <c r="BL52" s="113">
        <f ca="1">TblProd[[#This Row],[Mana]]</f>
        <v>0</v>
      </c>
      <c r="BM52" s="113">
        <f ca="1">TblProd[[#This Row],[Ore]]</f>
        <v>0</v>
      </c>
    </row>
    <row r="53" spans="1:65" x14ac:dyDescent="0.2">
      <c r="A53" s="178">
        <v>50</v>
      </c>
      <c r="B53" s="198">
        <f ca="1">TblImps[[#This Row],[Time]]</f>
        <v>44345.041666666548</v>
      </c>
      <c r="C53" s="199"/>
      <c r="D53" s="200"/>
      <c r="E53" s="113">
        <f ca="1">TblConstr[[#This Row],[Land]]</f>
        <v>250</v>
      </c>
      <c r="F53" s="113">
        <f ca="1">TblPop[[#This Row],[Peasants]]</f>
        <v>1537</v>
      </c>
      <c r="G53" s="113">
        <f ca="1">TblMili[[#This Row],[Networth (2)]]</f>
        <v>6455</v>
      </c>
      <c r="H53" s="113">
        <f ca="1">OFFSET(TblProd[[#This Row],[Platinum]],-1,0)+OFFSET(TblProd[[#This Row],[Plat/hr]],-1,0) - TblProd[[#This Row],[Expenses Platinum]] + IF(TblProd[[#This Row],[Plat Bonus]],TblPop[[#This Row],[Peasants]]*4) + SUM(TblConstr[[#This Row],[Dest Hom]:[Dest Doc]])*TblConstr[[#This Row],[CPA Platinum -DB]]*tech_3_3_2*TblTech[[#This Row],[3-3]]</f>
        <v>369284</v>
      </c>
      <c r="I53" s="113">
        <f ca="1">OFFSET(TblProd[[#This Row],[Food]],-1,0)+OFFSET(TblProd[[#This Row],[Food/hr]],-1,0)+ROUNDUP((TblConstr[[#This Row],[Farms]]*80+TblConstr[[#This Row],[Docks]]*35)*(1+OFFSET(TblProd[[#This Row],[Bonus Food/hr]],-1,0)),0)</f>
        <v>87559</v>
      </c>
      <c r="J53" s="113">
        <f ca="1">OFFSET(TblProd[[#This Row],[Lumber]],-1,0)+OFFSET(TblProd[[#This Row],[Lumber/hr]],-1,0) - TblProd[[#This Row],[Expenses Lumber]] + SUM(TblConstr[[#This Row],[Dest Hom]:[Dest Doc]])*TblConstr[[#This Row],[CPA Lumber -DB]]*tech_3_3_2*TblTech[[#This Row],[3-3]]</f>
        <v>48003</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Row],[Techpoints]],-1,0)+(1+research_bonus)*(26*MIN((TblConstr[[#This Row],[Tot Sch]]/(TblProd[[#This Row],[Land]]-TblExplore[[#This Row],[Land Bonus]]*20))*100,40))-TblProd[[#This Row],[Required]]*TblTech[[#This Row],[…]],0) + IF(TblProd[[#This Row],[Plat Bonus]]&lt;&gt;"",750,0)</f>
        <v>0</v>
      </c>
      <c r="Q53" s="113">
        <v>10000</v>
      </c>
      <c r="R53" s="184"/>
      <c r="S53" s="113">
        <f ca="1">ROUNDDOWN(TblProd[[#This Row],[Raw Plat/hr]]*(1+TblProd[[#This Row],[Bonus Plat/hr]]),0)</f>
        <v>5499</v>
      </c>
      <c r="T53" s="113">
        <f ca="1">ROUND(TblProd[[#This Row],[Raw Food/hr]]*(1+TblProd[[#This Row],[Bonus Food/hr]])-TblProd[[#This Row],[Food decay]]-TblProd[[#This Row],[Food eaten]],0)</f>
        <v>1109</v>
      </c>
      <c r="U53" s="113">
        <f ca="1">ROUND(TblProd[[#This Row],[Raw Lumber/hr]]*(1+TblProd[[#This Row],[Bonus Lumber/hr]])-TblProd[[#This Row],[Lumber rot]],0)</f>
        <v>520</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5499.9000000000005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875.59</v>
      </c>
      <c r="AP53" s="113">
        <f ca="1">(1+race_food_consumption)*TblPop[[#This Row],[Total]]*food_per_person*(1+tech_1_10*TblTech[[#This Row],[1-10]]+tech_7_5*TblTech[[#This Row],[7-5]])</f>
        <v>595.75</v>
      </c>
      <c r="AQ53" s="113">
        <f ca="1">TblProd[[#This Row],[Lumber]]*lumber_rot * (1 + tech_2_1*TblTech[[#This Row],[2-1]] + tech_2_8*TblTech[[#This Row],[2-8]] + tech_5_2*TblTech[[#This Row],[5-2]])</f>
        <v>480.03000000000003</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44345.041666666548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369284</v>
      </c>
      <c r="BJ53" s="113">
        <f ca="1">TblProd[[#This Row],[Food]]</f>
        <v>87559</v>
      </c>
      <c r="BK53" s="113">
        <f ca="1">TblProd[[#This Row],[Lumber]]</f>
        <v>48003</v>
      </c>
      <c r="BL53" s="113">
        <f ca="1">TblProd[[#This Row],[Mana]]</f>
        <v>0</v>
      </c>
      <c r="BM53" s="113">
        <f ca="1">TblProd[[#This Row],[Ore]]</f>
        <v>0</v>
      </c>
    </row>
    <row r="54" spans="1:65" x14ac:dyDescent="0.2">
      <c r="A54" s="178">
        <v>51</v>
      </c>
      <c r="B54" s="198">
        <f ca="1">TblImps[[#This Row],[Time]]</f>
        <v>44345.083333333212</v>
      </c>
      <c r="C54" s="199"/>
      <c r="D54" s="200"/>
      <c r="E54" s="113">
        <f ca="1">TblConstr[[#This Row],[Land]]</f>
        <v>250</v>
      </c>
      <c r="F54" s="113">
        <f ca="1">TblPop[[#This Row],[Peasants]]</f>
        <v>1537</v>
      </c>
      <c r="G54" s="113">
        <f ca="1">TblMili[[#This Row],[Networth (2)]]</f>
        <v>6455</v>
      </c>
      <c r="H54" s="113">
        <f ca="1">OFFSET(TblProd[[#This Row],[Platinum]],-1,0)+OFFSET(TblProd[[#This Row],[Plat/hr]],-1,0) - TblProd[[#This Row],[Expenses Platinum]] + IF(TblProd[[#This Row],[Plat Bonus]],TblPop[[#This Row],[Peasants]]*4) + SUM(TblConstr[[#This Row],[Dest Hom]:[Dest Doc]])*TblConstr[[#This Row],[CPA Platinum -DB]]*tech_3_3_2*TblTech[[#This Row],[3-3]]</f>
        <v>374783</v>
      </c>
      <c r="I54" s="113">
        <f ca="1">OFFSET(TblProd[[#This Row],[Food]],-1,0)+OFFSET(TblProd[[#This Row],[Food/hr]],-1,0)+ROUNDUP((TblConstr[[#This Row],[Farms]]*80+TblConstr[[#This Row],[Docks]]*35)*(1+OFFSET(TblProd[[#This Row],[Bonus Food/hr]],-1,0)),0)</f>
        <v>88668</v>
      </c>
      <c r="J54" s="113">
        <f ca="1">OFFSET(TblProd[[#This Row],[Lumber]],-1,0)+OFFSET(TblProd[[#This Row],[Lumber/hr]],-1,0) - TblProd[[#This Row],[Expenses Lumber]] + SUM(TblConstr[[#This Row],[Dest Hom]:[Dest Doc]])*TblConstr[[#This Row],[CPA Lumber -DB]]*tech_3_3_2*TblTech[[#This Row],[3-3]]</f>
        <v>48523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Row],[Techpoints]],-1,0)+(1+research_bonus)*(26*MIN((TblConstr[[#This Row],[Tot Sch]]/(TblProd[[#This Row],[Land]]-TblExplore[[#This Row],[Land Bonus]]*20))*100,40))-TblProd[[#This Row],[Required]]*TblTech[[#This Row],[…]],0) + IF(TblProd[[#This Row],[Plat Bonus]]&lt;&gt;"",750,0)</f>
        <v>0</v>
      </c>
      <c r="Q54" s="113">
        <v>10000</v>
      </c>
      <c r="R54" s="184"/>
      <c r="S54" s="113">
        <f ca="1">ROUNDDOWN(TblProd[[#This Row],[Raw Plat/hr]]*(1+TblProd[[#This Row],[Bonus Plat/hr]]),0)</f>
        <v>5499</v>
      </c>
      <c r="T54" s="113">
        <f ca="1">ROUND(TblProd[[#This Row],[Raw Food/hr]]*(1+TblProd[[#This Row],[Bonus Food/hr]])-TblProd[[#This Row],[Food decay]]-TblProd[[#This Row],[Food eaten]],0)</f>
        <v>1098</v>
      </c>
      <c r="U54" s="113">
        <f ca="1">ROUND(TblProd[[#This Row],[Raw Lumber/hr]]*(1+TblProd[[#This Row],[Bonus Lumber/hr]])-TblProd[[#This Row],[Lumber rot]],0)</f>
        <v>515</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5499.9000000000005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886.68000000000006</v>
      </c>
      <c r="AP54" s="113">
        <f ca="1">(1+race_food_consumption)*TblPop[[#This Row],[Total]]*food_per_person*(1+tech_1_10*TblTech[[#This Row],[1-10]]+tech_7_5*TblTech[[#This Row],[7-5]])</f>
        <v>595.75</v>
      </c>
      <c r="AQ54" s="113">
        <f ca="1">TblProd[[#This Row],[Lumber]]*lumber_rot * (1 + tech_2_1*TblTech[[#This Row],[2-1]] + tech_2_8*TblTech[[#This Row],[2-8]] + tech_5_2*TblTech[[#This Row],[5-2]])</f>
        <v>485.23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44345.083333333212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374783</v>
      </c>
      <c r="BJ54" s="113">
        <f ca="1">TblProd[[#This Row],[Food]]</f>
        <v>88668</v>
      </c>
      <c r="BK54" s="113">
        <f ca="1">TblProd[[#This Row],[Lumber]]</f>
        <v>48523</v>
      </c>
      <c r="BL54" s="113">
        <f ca="1">TblProd[[#This Row],[Mana]]</f>
        <v>0</v>
      </c>
      <c r="BM54" s="113">
        <f ca="1">TblProd[[#This Row],[Ore]]</f>
        <v>0</v>
      </c>
    </row>
    <row r="55" spans="1:65" x14ac:dyDescent="0.2">
      <c r="A55" s="178">
        <v>52</v>
      </c>
      <c r="B55" s="198">
        <f ca="1">TblImps[[#This Row],[Time]]</f>
        <v>44345.124999999876</v>
      </c>
      <c r="C55" s="199"/>
      <c r="D55" s="200"/>
      <c r="E55" s="113">
        <f ca="1">TblConstr[[#This Row],[Land]]</f>
        <v>250</v>
      </c>
      <c r="F55" s="113">
        <f ca="1">TblPop[[#This Row],[Peasants]]</f>
        <v>1537</v>
      </c>
      <c r="G55" s="113">
        <f ca="1">TblMili[[#This Row],[Networth (2)]]</f>
        <v>6455</v>
      </c>
      <c r="H55" s="113">
        <f ca="1">OFFSET(TblProd[[#This Row],[Platinum]],-1,0)+OFFSET(TblProd[[#This Row],[Plat/hr]],-1,0) - TblProd[[#This Row],[Expenses Platinum]] + IF(TblProd[[#This Row],[Plat Bonus]],TblPop[[#This Row],[Peasants]]*4) + SUM(TblConstr[[#This Row],[Dest Hom]:[Dest Doc]])*TblConstr[[#This Row],[CPA Platinum -DB]]*tech_3_3_2*TblTech[[#This Row],[3-3]]</f>
        <v>380282</v>
      </c>
      <c r="I55" s="113">
        <f ca="1">OFFSET(TblProd[[#This Row],[Food]],-1,0)+OFFSET(TblProd[[#This Row],[Food/hr]],-1,0)+ROUNDUP((TblConstr[[#This Row],[Farms]]*80+TblConstr[[#This Row],[Docks]]*35)*(1+OFFSET(TblProd[[#This Row],[Bonus Food/hr]],-1,0)),0)</f>
        <v>89766</v>
      </c>
      <c r="J55" s="113">
        <f ca="1">OFFSET(TblProd[[#This Row],[Lumber]],-1,0)+OFFSET(TblProd[[#This Row],[Lumber/hr]],-1,0) - TblProd[[#This Row],[Expenses Lumber]] + SUM(TblConstr[[#This Row],[Dest Hom]:[Dest Doc]])*TblConstr[[#This Row],[CPA Lumber -DB]]*tech_3_3_2*TblTech[[#This Row],[3-3]]</f>
        <v>49038</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Row],[Techpoints]],-1,0)+(1+research_bonus)*(26*MIN((TblConstr[[#This Row],[Tot Sch]]/(TblProd[[#This Row],[Land]]-TblExplore[[#This Row],[Land Bonus]]*20))*100,40))-TblProd[[#This Row],[Required]]*TblTech[[#This Row],[…]],0) + IF(TblProd[[#This Row],[Plat Bonus]]&lt;&gt;"",750,0)</f>
        <v>0</v>
      </c>
      <c r="Q55" s="113">
        <v>10000</v>
      </c>
      <c r="R55" s="184"/>
      <c r="S55" s="113">
        <f ca="1">ROUNDDOWN(TblProd[[#This Row],[Raw Plat/hr]]*(1+TblProd[[#This Row],[Bonus Plat/hr]]),0)</f>
        <v>5499</v>
      </c>
      <c r="T55" s="113">
        <f ca="1">ROUND(TblProd[[#This Row],[Raw Food/hr]]*(1+TblProd[[#This Row],[Bonus Food/hr]])-TblProd[[#This Row],[Food decay]]-TblProd[[#This Row],[Food eaten]],0)</f>
        <v>1087</v>
      </c>
      <c r="U55" s="113">
        <f ca="1">ROUND(TblProd[[#This Row],[Raw Lumber/hr]]*(1+TblProd[[#This Row],[Bonus Lumber/hr]])-TblProd[[#This Row],[Lumber rot]],0)</f>
        <v>510</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5499.9000000000005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897.66</v>
      </c>
      <c r="AP55" s="113">
        <f ca="1">(1+race_food_consumption)*TblPop[[#This Row],[Total]]*food_per_person*(1+tech_1_10*TblTech[[#This Row],[1-10]]+tech_7_5*TblTech[[#This Row],[7-5]])</f>
        <v>595.75</v>
      </c>
      <c r="AQ55" s="113">
        <f ca="1">TblProd[[#This Row],[Lumber]]*lumber_rot * (1 + tech_2_1*TblTech[[#This Row],[2-1]] + tech_2_8*TblTech[[#This Row],[2-8]] + tech_5_2*TblTech[[#This Row],[5-2]])</f>
        <v>490.38</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44345.124999999876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380282</v>
      </c>
      <c r="BJ55" s="113">
        <f ca="1">TblProd[[#This Row],[Food]]</f>
        <v>89766</v>
      </c>
      <c r="BK55" s="113">
        <f ca="1">TblProd[[#This Row],[Lumber]]</f>
        <v>49038</v>
      </c>
      <c r="BL55" s="113">
        <f ca="1">TblProd[[#This Row],[Mana]]</f>
        <v>0</v>
      </c>
      <c r="BM55" s="113">
        <f ca="1">TblProd[[#This Row],[Ore]]</f>
        <v>0</v>
      </c>
    </row>
    <row r="56" spans="1:65" x14ac:dyDescent="0.2">
      <c r="A56" s="178">
        <v>53</v>
      </c>
      <c r="B56" s="198">
        <f ca="1">TblImps[[#This Row],[Time]]</f>
        <v>44345.166666666541</v>
      </c>
      <c r="C56" s="199"/>
      <c r="D56" s="200"/>
      <c r="E56" s="113">
        <f ca="1">TblConstr[[#This Row],[Land]]</f>
        <v>250</v>
      </c>
      <c r="F56" s="113">
        <f ca="1">TblPop[[#This Row],[Peasants]]</f>
        <v>1537</v>
      </c>
      <c r="G56" s="113">
        <f ca="1">TblMili[[#This Row],[Networth (2)]]</f>
        <v>6455</v>
      </c>
      <c r="H56" s="113">
        <f ca="1">OFFSET(TblProd[[#This Row],[Platinum]],-1,0)+OFFSET(TblProd[[#This Row],[Plat/hr]],-1,0) - TblProd[[#This Row],[Expenses Platinum]] + IF(TblProd[[#This Row],[Plat Bonus]],TblPop[[#This Row],[Peasants]]*4) + SUM(TblConstr[[#This Row],[Dest Hom]:[Dest Doc]])*TblConstr[[#This Row],[CPA Platinum -DB]]*tech_3_3_2*TblTech[[#This Row],[3-3]]</f>
        <v>385781</v>
      </c>
      <c r="I56" s="113">
        <f ca="1">OFFSET(TblProd[[#This Row],[Food]],-1,0)+OFFSET(TblProd[[#This Row],[Food/hr]],-1,0)+ROUNDUP((TblConstr[[#This Row],[Farms]]*80+TblConstr[[#This Row],[Docks]]*35)*(1+OFFSET(TblProd[[#This Row],[Bonus Food/hr]],-1,0)),0)</f>
        <v>90853</v>
      </c>
      <c r="J56" s="113">
        <f ca="1">OFFSET(TblProd[[#This Row],[Lumber]],-1,0)+OFFSET(TblProd[[#This Row],[Lumber/hr]],-1,0) - TblProd[[#This Row],[Expenses Lumber]] + SUM(TblConstr[[#This Row],[Dest Hom]:[Dest Doc]])*TblConstr[[#This Row],[CPA Lumber -DB]]*tech_3_3_2*TblTech[[#This Row],[3-3]]</f>
        <v>49548</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Row],[Techpoints]],-1,0)+(1+research_bonus)*(26*MIN((TblConstr[[#This Row],[Tot Sch]]/(TblProd[[#This Row],[Land]]-TblExplore[[#This Row],[Land Bonus]]*20))*100,40))-TblProd[[#This Row],[Required]]*TblTech[[#This Row],[…]],0) + IF(TblProd[[#This Row],[Plat Bonus]]&lt;&gt;"",750,0)</f>
        <v>0</v>
      </c>
      <c r="Q56" s="113">
        <v>10000</v>
      </c>
      <c r="R56" s="184"/>
      <c r="S56" s="113">
        <f ca="1">ROUNDDOWN(TblProd[[#This Row],[Raw Plat/hr]]*(1+TblProd[[#This Row],[Bonus Plat/hr]]),0)</f>
        <v>5499</v>
      </c>
      <c r="T56" s="113">
        <f ca="1">ROUND(TblProd[[#This Row],[Raw Food/hr]]*(1+TblProd[[#This Row],[Bonus Food/hr]])-TblProd[[#This Row],[Food decay]]-TblProd[[#This Row],[Food eaten]],0)</f>
        <v>1076</v>
      </c>
      <c r="U56" s="113">
        <f ca="1">ROUND(TblProd[[#This Row],[Raw Lumber/hr]]*(1+TblProd[[#This Row],[Bonus Lumber/hr]])-TblProd[[#This Row],[Lumber rot]],0)</f>
        <v>505</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5499.9000000000005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908.53</v>
      </c>
      <c r="AP56" s="113">
        <f ca="1">(1+race_food_consumption)*TblPop[[#This Row],[Total]]*food_per_person*(1+tech_1_10*TblTech[[#This Row],[1-10]]+tech_7_5*TblTech[[#This Row],[7-5]])</f>
        <v>595.75</v>
      </c>
      <c r="AQ56" s="113">
        <f ca="1">TblProd[[#This Row],[Lumber]]*lumber_rot * (1 + tech_2_1*TblTech[[#This Row],[2-1]] + tech_2_8*TblTech[[#This Row],[2-8]] + tech_5_2*TblTech[[#This Row],[5-2]])</f>
        <v>495.48</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44345.166666666541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385781</v>
      </c>
      <c r="BJ56" s="113">
        <f ca="1">TblProd[[#This Row],[Food]]</f>
        <v>90853</v>
      </c>
      <c r="BK56" s="113">
        <f ca="1">TblProd[[#This Row],[Lumber]]</f>
        <v>49548</v>
      </c>
      <c r="BL56" s="113">
        <f ca="1">TblProd[[#This Row],[Mana]]</f>
        <v>0</v>
      </c>
      <c r="BM56" s="113">
        <f ca="1">TblProd[[#This Row],[Ore]]</f>
        <v>0</v>
      </c>
    </row>
    <row r="57" spans="1:65" x14ac:dyDescent="0.2">
      <c r="A57" s="178">
        <v>54</v>
      </c>
      <c r="B57" s="198">
        <f ca="1">TblImps[[#This Row],[Time]]</f>
        <v>44345.208333333205</v>
      </c>
      <c r="C57" s="199"/>
      <c r="D57" s="200"/>
      <c r="E57" s="113">
        <f ca="1">TblConstr[[#This Row],[Land]]</f>
        <v>250</v>
      </c>
      <c r="F57" s="113">
        <f ca="1">TblPop[[#This Row],[Peasants]]</f>
        <v>1537</v>
      </c>
      <c r="G57" s="113">
        <f ca="1">TblMili[[#This Row],[Networth (2)]]</f>
        <v>6455</v>
      </c>
      <c r="H57" s="113">
        <f ca="1">OFFSET(TblProd[[#This Row],[Platinum]],-1,0)+OFFSET(TblProd[[#This Row],[Plat/hr]],-1,0) - TblProd[[#This Row],[Expenses Platinum]] + IF(TblProd[[#This Row],[Plat Bonus]],TblPop[[#This Row],[Peasants]]*4) + SUM(TblConstr[[#This Row],[Dest Hom]:[Dest Doc]])*TblConstr[[#This Row],[CPA Platinum -DB]]*tech_3_3_2*TblTech[[#This Row],[3-3]]</f>
        <v>391280</v>
      </c>
      <c r="I57" s="113">
        <f ca="1">OFFSET(TblProd[[#This Row],[Food]],-1,0)+OFFSET(TblProd[[#This Row],[Food/hr]],-1,0)+ROUNDUP((TblConstr[[#This Row],[Farms]]*80+TblConstr[[#This Row],[Docks]]*35)*(1+OFFSET(TblProd[[#This Row],[Bonus Food/hr]],-1,0)),0)</f>
        <v>91929</v>
      </c>
      <c r="J57" s="113">
        <f ca="1">OFFSET(TblProd[[#This Row],[Lumber]],-1,0)+OFFSET(TblProd[[#This Row],[Lumber/hr]],-1,0) - TblProd[[#This Row],[Expenses Lumber]] + SUM(TblConstr[[#This Row],[Dest Hom]:[Dest Doc]])*TblConstr[[#This Row],[CPA Lumber -DB]]*tech_3_3_2*TblTech[[#This Row],[3-3]]</f>
        <v>50053</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Row],[Techpoints]],-1,0)+(1+research_bonus)*(26*MIN((TblConstr[[#This Row],[Tot Sch]]/(TblProd[[#This Row],[Land]]-TblExplore[[#This Row],[Land Bonus]]*20))*100,40))-TblProd[[#This Row],[Required]]*TblTech[[#This Row],[…]],0) + IF(TblProd[[#This Row],[Plat Bonus]]&lt;&gt;"",750,0)</f>
        <v>0</v>
      </c>
      <c r="Q57" s="113">
        <v>10000</v>
      </c>
      <c r="R57" s="184"/>
      <c r="S57" s="113">
        <f ca="1">ROUNDDOWN(TblProd[[#This Row],[Raw Plat/hr]]*(1+TblProd[[#This Row],[Bonus Plat/hr]]),0)</f>
        <v>5499</v>
      </c>
      <c r="T57" s="113">
        <f ca="1">ROUND(TblProd[[#This Row],[Raw Food/hr]]*(1+TblProd[[#This Row],[Bonus Food/hr]])-TblProd[[#This Row],[Food decay]]-TblProd[[#This Row],[Food eaten]],0)</f>
        <v>1065</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5499.9000000000005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919.29</v>
      </c>
      <c r="AP57" s="113">
        <f ca="1">(1+race_food_consumption)*TblPop[[#This Row],[Total]]*food_per_person*(1+tech_1_10*TblTech[[#This Row],[1-10]]+tech_7_5*TblTech[[#This Row],[7-5]])</f>
        <v>595.75</v>
      </c>
      <c r="AQ57" s="113">
        <f ca="1">TblProd[[#This Row],[Lumber]]*lumber_rot * (1 + tech_2_1*TblTech[[#This Row],[2-1]] + tech_2_8*TblTech[[#This Row],[2-8]] + tech_5_2*TblTech[[#This Row],[5-2]])</f>
        <v>500.53000000000003</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44345.208333333205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391280</v>
      </c>
      <c r="BJ57" s="113">
        <f ca="1">TblProd[[#This Row],[Food]]</f>
        <v>91929</v>
      </c>
      <c r="BK57" s="113">
        <f ca="1">TblProd[[#This Row],[Lumber]]</f>
        <v>50053</v>
      </c>
      <c r="BL57" s="113">
        <f ca="1">TblProd[[#This Row],[Mana]]</f>
        <v>0</v>
      </c>
      <c r="BM57" s="113">
        <f ca="1">TblProd[[#This Row],[Ore]]</f>
        <v>0</v>
      </c>
    </row>
    <row r="58" spans="1:65" x14ac:dyDescent="0.2">
      <c r="A58" s="178">
        <v>55</v>
      </c>
      <c r="B58" s="198">
        <f ca="1">TblImps[[#This Row],[Time]]</f>
        <v>44345.249999999869</v>
      </c>
      <c r="C58" s="199"/>
      <c r="D58" s="200"/>
      <c r="E58" s="113">
        <f ca="1">TblConstr[[#This Row],[Land]]</f>
        <v>250</v>
      </c>
      <c r="F58" s="113">
        <f ca="1">TblPop[[#This Row],[Peasants]]</f>
        <v>1537</v>
      </c>
      <c r="G58" s="113">
        <f ca="1">TblMili[[#This Row],[Networth (2)]]</f>
        <v>6455</v>
      </c>
      <c r="H58" s="113">
        <f ca="1">OFFSET(TblProd[[#This Row],[Platinum]],-1,0)+OFFSET(TblProd[[#This Row],[Plat/hr]],-1,0) - TblProd[[#This Row],[Expenses Platinum]] + IF(TblProd[[#This Row],[Plat Bonus]],TblPop[[#This Row],[Peasants]]*4) + SUM(TblConstr[[#This Row],[Dest Hom]:[Dest Doc]])*TblConstr[[#This Row],[CPA Platinum -DB]]*tech_3_3_2*TblTech[[#This Row],[3-3]]</f>
        <v>396779</v>
      </c>
      <c r="I58" s="113">
        <f ca="1">OFFSET(TblProd[[#This Row],[Food]],-1,0)+OFFSET(TblProd[[#This Row],[Food/hr]],-1,0)+ROUNDUP((TblConstr[[#This Row],[Farms]]*80+TblConstr[[#This Row],[Docks]]*35)*(1+OFFSET(TblProd[[#This Row],[Bonus Food/hr]],-1,0)),0)</f>
        <v>92994</v>
      </c>
      <c r="J58" s="113">
        <f ca="1">OFFSET(TblProd[[#This Row],[Lumber]],-1,0)+OFFSET(TblProd[[#This Row],[Lumber/hr]],-1,0) - TblProd[[#This Row],[Expenses Lumber]] + SUM(TblConstr[[#This Row],[Dest Hom]:[Dest Doc]])*TblConstr[[#This Row],[CPA Lumber -DB]]*tech_3_3_2*TblTech[[#This Row],[3-3]]</f>
        <v>50552</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Row],[Techpoints]],-1,0)+(1+research_bonus)*(26*MIN((TblConstr[[#This Row],[Tot Sch]]/(TblProd[[#This Row],[Land]]-TblExplore[[#This Row],[Land Bonus]]*20))*100,40))-TblProd[[#This Row],[Required]]*TblTech[[#This Row],[…]],0) + IF(TblProd[[#This Row],[Plat Bonus]]&lt;&gt;"",750,0)</f>
        <v>0</v>
      </c>
      <c r="Q58" s="113">
        <v>10000</v>
      </c>
      <c r="R58" s="184"/>
      <c r="S58" s="113">
        <f ca="1">ROUNDDOWN(TblProd[[#This Row],[Raw Plat/hr]]*(1+TblProd[[#This Row],[Bonus Plat/hr]]),0)</f>
        <v>5499</v>
      </c>
      <c r="T58" s="113">
        <f ca="1">ROUND(TblProd[[#This Row],[Raw Food/hr]]*(1+TblProd[[#This Row],[Bonus Food/hr]])-TblProd[[#This Row],[Food decay]]-TblProd[[#This Row],[Food eaten]],0)</f>
        <v>1054</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5499.9000000000005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929.94</v>
      </c>
      <c r="AP58" s="113">
        <f ca="1">(1+race_food_consumption)*TblPop[[#This Row],[Total]]*food_per_person*(1+tech_1_10*TblTech[[#This Row],[1-10]]+tech_7_5*TblTech[[#This Row],[7-5]])</f>
        <v>595.75</v>
      </c>
      <c r="AQ58" s="113">
        <f ca="1">TblProd[[#This Row],[Lumber]]*lumber_rot * (1 + tech_2_1*TblTech[[#This Row],[2-1]] + tech_2_8*TblTech[[#This Row],[2-8]] + tech_5_2*TblTech[[#This Row],[5-2]])</f>
        <v>505.52000000000004</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44345.249999999869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396779</v>
      </c>
      <c r="BJ58" s="113">
        <f ca="1">TblProd[[#This Row],[Food]]</f>
        <v>92994</v>
      </c>
      <c r="BK58" s="113">
        <f ca="1">TblProd[[#This Row],[Lumber]]</f>
        <v>50552</v>
      </c>
      <c r="BL58" s="113">
        <f ca="1">TblProd[[#This Row],[Mana]]</f>
        <v>0</v>
      </c>
      <c r="BM58" s="113">
        <f ca="1">TblProd[[#This Row],[Ore]]</f>
        <v>0</v>
      </c>
    </row>
    <row r="59" spans="1:65" x14ac:dyDescent="0.2">
      <c r="A59" s="178">
        <v>56</v>
      </c>
      <c r="B59" s="198">
        <f ca="1">TblImps[[#This Row],[Time]]</f>
        <v>44345.291666666533</v>
      </c>
      <c r="C59" s="199"/>
      <c r="D59" s="200"/>
      <c r="E59" s="113">
        <f ca="1">TblConstr[[#This Row],[Land]]</f>
        <v>250</v>
      </c>
      <c r="F59" s="113">
        <f ca="1">TblPop[[#This Row],[Peasants]]</f>
        <v>1537</v>
      </c>
      <c r="G59" s="113">
        <f ca="1">TblMili[[#This Row],[Networth (2)]]</f>
        <v>6455</v>
      </c>
      <c r="H59" s="113">
        <f ca="1">OFFSET(TblProd[[#This Row],[Platinum]],-1,0)+OFFSET(TblProd[[#This Row],[Plat/hr]],-1,0) - TblProd[[#This Row],[Expenses Platinum]] + IF(TblProd[[#This Row],[Plat Bonus]],TblPop[[#This Row],[Peasants]]*4) + SUM(TblConstr[[#This Row],[Dest Hom]:[Dest Doc]])*TblConstr[[#This Row],[CPA Platinum -DB]]*tech_3_3_2*TblTech[[#This Row],[3-3]]</f>
        <v>402278</v>
      </c>
      <c r="I59" s="113">
        <f ca="1">OFFSET(TblProd[[#This Row],[Food]],-1,0)+OFFSET(TblProd[[#This Row],[Food/hr]],-1,0)+ROUNDUP((TblConstr[[#This Row],[Farms]]*80+TblConstr[[#This Row],[Docks]]*35)*(1+OFFSET(TblProd[[#This Row],[Bonus Food/hr]],-1,0)),0)</f>
        <v>94048</v>
      </c>
      <c r="J59" s="113">
        <f ca="1">OFFSET(TblProd[[#This Row],[Lumber]],-1,0)+OFFSET(TblProd[[#This Row],[Lumber/hr]],-1,0) - TblProd[[#This Row],[Expenses Lumber]] + SUM(TblConstr[[#This Row],[Dest Hom]:[Dest Doc]])*TblConstr[[#This Row],[CPA Lumber -DB]]*tech_3_3_2*TblTech[[#This Row],[3-3]]</f>
        <v>51046</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Row],[Techpoints]],-1,0)+(1+research_bonus)*(26*MIN((TblConstr[[#This Row],[Tot Sch]]/(TblProd[[#This Row],[Land]]-TblExplore[[#This Row],[Land Bonus]]*20))*100,40))-TblProd[[#This Row],[Required]]*TblTech[[#This Row],[…]],0) + IF(TblProd[[#This Row],[Plat Bonus]]&lt;&gt;"",750,0)</f>
        <v>0</v>
      </c>
      <c r="Q59" s="113">
        <v>10000</v>
      </c>
      <c r="R59" s="184"/>
      <c r="S59" s="113">
        <f ca="1">ROUNDDOWN(TblProd[[#This Row],[Raw Plat/hr]]*(1+TblProd[[#This Row],[Bonus Plat/hr]]),0)</f>
        <v>5499</v>
      </c>
      <c r="T59" s="113">
        <f ca="1">ROUND(TblProd[[#This Row],[Raw Food/hr]]*(1+TblProd[[#This Row],[Bonus Food/hr]])-TblProd[[#This Row],[Food decay]]-TblProd[[#This Row],[Food eaten]],0)</f>
        <v>1044</v>
      </c>
      <c r="U59" s="113">
        <f ca="1">ROUND(TblProd[[#This Row],[Raw Lumber/hr]]*(1+TblProd[[#This Row],[Bonus Lumber/hr]])-TblProd[[#This Row],[Lumber rot]],0)</f>
        <v>490</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5499.9000000000005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940.48</v>
      </c>
      <c r="AP59" s="113">
        <f ca="1">(1+race_food_consumption)*TblPop[[#This Row],[Total]]*food_per_person*(1+tech_1_10*TblTech[[#This Row],[1-10]]+tech_7_5*TblTech[[#This Row],[7-5]])</f>
        <v>595.75</v>
      </c>
      <c r="AQ59" s="113">
        <f ca="1">TblProd[[#This Row],[Lumber]]*lumber_rot * (1 + tech_2_1*TblTech[[#This Row],[2-1]] + tech_2_8*TblTech[[#This Row],[2-8]] + tech_5_2*TblTech[[#This Row],[5-2]])</f>
        <v>510.46000000000004</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44345.291666666533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402278</v>
      </c>
      <c r="BJ59" s="113">
        <f ca="1">TblProd[[#This Row],[Food]]</f>
        <v>94048</v>
      </c>
      <c r="BK59" s="113">
        <f ca="1">TblProd[[#This Row],[Lumber]]</f>
        <v>51046</v>
      </c>
      <c r="BL59" s="113">
        <f ca="1">TblProd[[#This Row],[Mana]]</f>
        <v>0</v>
      </c>
      <c r="BM59" s="113">
        <f ca="1">TblProd[[#This Row],[Ore]]</f>
        <v>0</v>
      </c>
    </row>
    <row r="60" spans="1:65" x14ac:dyDescent="0.2">
      <c r="A60" s="178">
        <v>57</v>
      </c>
      <c r="B60" s="198">
        <f ca="1">TblImps[[#This Row],[Time]]</f>
        <v>44345.333333333198</v>
      </c>
      <c r="C60" s="199"/>
      <c r="D60" s="200"/>
      <c r="E60" s="113">
        <f ca="1">TblConstr[[#This Row],[Land]]</f>
        <v>250</v>
      </c>
      <c r="F60" s="113">
        <f ca="1">TblPop[[#This Row],[Peasants]]</f>
        <v>1537</v>
      </c>
      <c r="G60" s="113">
        <f ca="1">TblMili[[#This Row],[Networth (2)]]</f>
        <v>6455</v>
      </c>
      <c r="H60" s="113">
        <f ca="1">OFFSET(TblProd[[#This Row],[Platinum]],-1,0)+OFFSET(TblProd[[#This Row],[Plat/hr]],-1,0) - TblProd[[#This Row],[Expenses Platinum]] + IF(TblProd[[#This Row],[Plat Bonus]],TblPop[[#This Row],[Peasants]]*4) + SUM(TblConstr[[#This Row],[Dest Hom]:[Dest Doc]])*TblConstr[[#This Row],[CPA Platinum -DB]]*tech_3_3_2*TblTech[[#This Row],[3-3]]</f>
        <v>407777</v>
      </c>
      <c r="I60" s="113">
        <f ca="1">OFFSET(TblProd[[#This Row],[Food]],-1,0)+OFFSET(TblProd[[#This Row],[Food/hr]],-1,0)+ROUNDUP((TblConstr[[#This Row],[Farms]]*80+TblConstr[[#This Row],[Docks]]*35)*(1+OFFSET(TblProd[[#This Row],[Bonus Food/hr]],-1,0)),0)</f>
        <v>95092</v>
      </c>
      <c r="J60" s="113">
        <f ca="1">OFFSET(TblProd[[#This Row],[Lumber]],-1,0)+OFFSET(TblProd[[#This Row],[Lumber/hr]],-1,0) - TblProd[[#This Row],[Expenses Lumber]] + SUM(TblConstr[[#This Row],[Dest Hom]:[Dest Doc]])*TblConstr[[#This Row],[CPA Lumber -DB]]*tech_3_3_2*TblTech[[#This Row],[3-3]]</f>
        <v>51536</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Row],[Techpoints]],-1,0)+(1+research_bonus)*(26*MIN((TblConstr[[#This Row],[Tot Sch]]/(TblProd[[#This Row],[Land]]-TblExplore[[#This Row],[Land Bonus]]*20))*100,40))-TblProd[[#This Row],[Required]]*TblTech[[#This Row],[…]],0) + IF(TblProd[[#This Row],[Plat Bonus]]&lt;&gt;"",750,0)</f>
        <v>0</v>
      </c>
      <c r="Q60" s="113">
        <v>10000</v>
      </c>
      <c r="R60" s="184"/>
      <c r="S60" s="113">
        <f ca="1">ROUNDDOWN(TblProd[[#This Row],[Raw Plat/hr]]*(1+TblProd[[#This Row],[Bonus Plat/hr]]),0)</f>
        <v>5499</v>
      </c>
      <c r="T60" s="113">
        <f ca="1">ROUND(TblProd[[#This Row],[Raw Food/hr]]*(1+TblProd[[#This Row],[Bonus Food/hr]])-TblProd[[#This Row],[Food decay]]-TblProd[[#This Row],[Food eaten]],0)</f>
        <v>1033</v>
      </c>
      <c r="U60" s="113">
        <f ca="1">ROUND(TblProd[[#This Row],[Raw Lumber/hr]]*(1+TblProd[[#This Row],[Bonus Lumber/hr]])-TblProd[[#This Row],[Lumber rot]],0)</f>
        <v>485</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5499.9000000000005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950.92000000000007</v>
      </c>
      <c r="AP60" s="113">
        <f ca="1">(1+race_food_consumption)*TblPop[[#This Row],[Total]]*food_per_person*(1+tech_1_10*TblTech[[#This Row],[1-10]]+tech_7_5*TblTech[[#This Row],[7-5]])</f>
        <v>595.75</v>
      </c>
      <c r="AQ60" s="113">
        <f ca="1">TblProd[[#This Row],[Lumber]]*lumber_rot * (1 + tech_2_1*TblTech[[#This Row],[2-1]] + tech_2_8*TblTech[[#This Row],[2-8]] + tech_5_2*TblTech[[#This Row],[5-2]])</f>
        <v>515.36</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44345.333333333198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407777</v>
      </c>
      <c r="BJ60" s="113">
        <f ca="1">TblProd[[#This Row],[Food]]</f>
        <v>95092</v>
      </c>
      <c r="BK60" s="113">
        <f ca="1">TblProd[[#This Row],[Lumber]]</f>
        <v>51536</v>
      </c>
      <c r="BL60" s="113">
        <f ca="1">TblProd[[#This Row],[Mana]]</f>
        <v>0</v>
      </c>
      <c r="BM60" s="113">
        <f ca="1">TblProd[[#This Row],[Ore]]</f>
        <v>0</v>
      </c>
    </row>
    <row r="61" spans="1:65" x14ac:dyDescent="0.2">
      <c r="A61" s="178">
        <v>58</v>
      </c>
      <c r="B61" s="198">
        <f ca="1">TblImps[[#This Row],[Time]]</f>
        <v>44345.374999999862</v>
      </c>
      <c r="C61" s="199"/>
      <c r="D61" s="200"/>
      <c r="E61" s="113">
        <f ca="1">TblConstr[[#This Row],[Land]]</f>
        <v>250</v>
      </c>
      <c r="F61" s="113">
        <f ca="1">TblPop[[#This Row],[Peasants]]</f>
        <v>1537</v>
      </c>
      <c r="G61" s="113">
        <f ca="1">TblMili[[#This Row],[Networth (2)]]</f>
        <v>6455</v>
      </c>
      <c r="H61" s="113">
        <f ca="1">OFFSET(TblProd[[#This Row],[Platinum]],-1,0)+OFFSET(TblProd[[#This Row],[Plat/hr]],-1,0) - TblProd[[#This Row],[Expenses Platinum]] + IF(TblProd[[#This Row],[Plat Bonus]],TblPop[[#This Row],[Peasants]]*4) + SUM(TblConstr[[#This Row],[Dest Hom]:[Dest Doc]])*TblConstr[[#This Row],[CPA Platinum -DB]]*tech_3_3_2*TblTech[[#This Row],[3-3]]</f>
        <v>413276</v>
      </c>
      <c r="I61" s="113">
        <f ca="1">OFFSET(TblProd[[#This Row],[Food]],-1,0)+OFFSET(TblProd[[#This Row],[Food/hr]],-1,0)+ROUNDUP((TblConstr[[#This Row],[Farms]]*80+TblConstr[[#This Row],[Docks]]*35)*(1+OFFSET(TblProd[[#This Row],[Bonus Food/hr]],-1,0)),0)</f>
        <v>96125</v>
      </c>
      <c r="J61" s="113">
        <f ca="1">OFFSET(TblProd[[#This Row],[Lumber]],-1,0)+OFFSET(TblProd[[#This Row],[Lumber/hr]],-1,0) - TblProd[[#This Row],[Expenses Lumber]] + SUM(TblConstr[[#This Row],[Dest Hom]:[Dest Doc]])*TblConstr[[#This Row],[CPA Lumber -DB]]*tech_3_3_2*TblTech[[#This Row],[3-3]]</f>
        <v>52021</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Row],[Techpoints]],-1,0)+(1+research_bonus)*(26*MIN((TblConstr[[#This Row],[Tot Sch]]/(TblProd[[#This Row],[Land]]-TblExplore[[#This Row],[Land Bonus]]*20))*100,40))-TblProd[[#This Row],[Required]]*TblTech[[#This Row],[…]],0) + IF(TblProd[[#This Row],[Plat Bonus]]&lt;&gt;"",750,0)</f>
        <v>0</v>
      </c>
      <c r="Q61" s="113">
        <v>10000</v>
      </c>
      <c r="R61" s="184"/>
      <c r="S61" s="113">
        <f ca="1">ROUNDDOWN(TblProd[[#This Row],[Raw Plat/hr]]*(1+TblProd[[#This Row],[Bonus Plat/hr]]),0)</f>
        <v>5499</v>
      </c>
      <c r="T61" s="113">
        <f ca="1">ROUND(TblProd[[#This Row],[Raw Food/hr]]*(1+TblProd[[#This Row],[Bonus Food/hr]])-TblProd[[#This Row],[Food decay]]-TblProd[[#This Row],[Food eaten]],0)</f>
        <v>1023</v>
      </c>
      <c r="U61" s="113">
        <f ca="1">ROUND(TblProd[[#This Row],[Raw Lumber/hr]]*(1+TblProd[[#This Row],[Bonus Lumber/hr]])-TblProd[[#This Row],[Lumber rot]],0)</f>
        <v>480</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5499.9000000000005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961.25</v>
      </c>
      <c r="AP61" s="113">
        <f ca="1">(1+race_food_consumption)*TblPop[[#This Row],[Total]]*food_per_person*(1+tech_1_10*TblTech[[#This Row],[1-10]]+tech_7_5*TblTech[[#This Row],[7-5]])</f>
        <v>595.75</v>
      </c>
      <c r="AQ61" s="113">
        <f ca="1">TblProd[[#This Row],[Lumber]]*lumber_rot * (1 + tech_2_1*TblTech[[#This Row],[2-1]] + tech_2_8*TblTech[[#This Row],[2-8]] + tech_5_2*TblTech[[#This Row],[5-2]])</f>
        <v>520.21</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44345.374999999862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413276</v>
      </c>
      <c r="BJ61" s="113">
        <f ca="1">TblProd[[#This Row],[Food]]</f>
        <v>96125</v>
      </c>
      <c r="BK61" s="113">
        <f ca="1">TblProd[[#This Row],[Lumber]]</f>
        <v>52021</v>
      </c>
      <c r="BL61" s="113">
        <f ca="1">TblProd[[#This Row],[Mana]]</f>
        <v>0</v>
      </c>
      <c r="BM61" s="113">
        <f ca="1">TblProd[[#This Row],[Ore]]</f>
        <v>0</v>
      </c>
    </row>
    <row r="62" spans="1:65" x14ac:dyDescent="0.2">
      <c r="A62" s="178">
        <v>59</v>
      </c>
      <c r="B62" s="198">
        <f ca="1">TblImps[[#This Row],[Time]]</f>
        <v>44345.416666666526</v>
      </c>
      <c r="C62" s="199"/>
      <c r="D62" s="200"/>
      <c r="E62" s="113">
        <f ca="1">TblConstr[[#This Row],[Land]]</f>
        <v>250</v>
      </c>
      <c r="F62" s="113">
        <f ca="1">TblPop[[#This Row],[Peasants]]</f>
        <v>1537</v>
      </c>
      <c r="G62" s="113">
        <f ca="1">TblMili[[#This Row],[Networth (2)]]</f>
        <v>6455</v>
      </c>
      <c r="H62" s="113">
        <f ca="1">OFFSET(TblProd[[#This Row],[Platinum]],-1,0)+OFFSET(TblProd[[#This Row],[Plat/hr]],-1,0) - TblProd[[#This Row],[Expenses Platinum]] + IF(TblProd[[#This Row],[Plat Bonus]],TblPop[[#This Row],[Peasants]]*4) + SUM(TblConstr[[#This Row],[Dest Hom]:[Dest Doc]])*TblConstr[[#This Row],[CPA Platinum -DB]]*tech_3_3_2*TblTech[[#This Row],[3-3]]</f>
        <v>418775</v>
      </c>
      <c r="I62" s="113">
        <f ca="1">OFFSET(TblProd[[#This Row],[Food]],-1,0)+OFFSET(TblProd[[#This Row],[Food/hr]],-1,0)+ROUNDUP((TblConstr[[#This Row],[Farms]]*80+TblConstr[[#This Row],[Docks]]*35)*(1+OFFSET(TblProd[[#This Row],[Bonus Food/hr]],-1,0)),0)</f>
        <v>97148</v>
      </c>
      <c r="J62" s="113">
        <f ca="1">OFFSET(TblProd[[#This Row],[Lumber]],-1,0)+OFFSET(TblProd[[#This Row],[Lumber/hr]],-1,0) - TblProd[[#This Row],[Expenses Lumber]] + SUM(TblConstr[[#This Row],[Dest Hom]:[Dest Doc]])*TblConstr[[#This Row],[CPA Lumber -DB]]*tech_3_3_2*TblTech[[#This Row],[3-3]]</f>
        <v>52501</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Row],[Techpoints]],-1,0)+(1+research_bonus)*(26*MIN((TblConstr[[#This Row],[Tot Sch]]/(TblProd[[#This Row],[Land]]-TblExplore[[#This Row],[Land Bonus]]*20))*100,40))-TblProd[[#This Row],[Required]]*TblTech[[#This Row],[…]],0) + IF(TblProd[[#This Row],[Plat Bonus]]&lt;&gt;"",750,0)</f>
        <v>0</v>
      </c>
      <c r="Q62" s="113">
        <v>10000</v>
      </c>
      <c r="R62" s="184"/>
      <c r="S62" s="113">
        <f ca="1">ROUNDDOWN(TblProd[[#This Row],[Raw Plat/hr]]*(1+TblProd[[#This Row],[Bonus Plat/hr]]),0)</f>
        <v>5499</v>
      </c>
      <c r="T62" s="113">
        <f ca="1">ROUND(TblProd[[#This Row],[Raw Food/hr]]*(1+TblProd[[#This Row],[Bonus Food/hr]])-TblProd[[#This Row],[Food decay]]-TblProd[[#This Row],[Food eaten]],0)</f>
        <v>1013</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5499.9000000000005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971.48</v>
      </c>
      <c r="AP62" s="113">
        <f ca="1">(1+race_food_consumption)*TblPop[[#This Row],[Total]]*food_per_person*(1+tech_1_10*TblTech[[#This Row],[1-10]]+tech_7_5*TblTech[[#This Row],[7-5]])</f>
        <v>595.75</v>
      </c>
      <c r="AQ62" s="113">
        <f ca="1">TblProd[[#This Row],[Lumber]]*lumber_rot * (1 + tech_2_1*TblTech[[#This Row],[2-1]] + tech_2_8*TblTech[[#This Row],[2-8]] + tech_5_2*TblTech[[#This Row],[5-2]])</f>
        <v>525.01</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44345.416666666526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418775</v>
      </c>
      <c r="BJ62" s="113">
        <f ca="1">TblProd[[#This Row],[Food]]</f>
        <v>97148</v>
      </c>
      <c r="BK62" s="113">
        <f ca="1">TblProd[[#This Row],[Lumber]]</f>
        <v>52501</v>
      </c>
      <c r="BL62" s="113">
        <f ca="1">TblProd[[#This Row],[Mana]]</f>
        <v>0</v>
      </c>
      <c r="BM62" s="113">
        <f ca="1">TblProd[[#This Row],[Ore]]</f>
        <v>0</v>
      </c>
    </row>
    <row r="63" spans="1:65" x14ac:dyDescent="0.2">
      <c r="A63" s="178">
        <v>60</v>
      </c>
      <c r="B63" s="198">
        <f ca="1">TblImps[[#This Row],[Time]]</f>
        <v>44345.45833333319</v>
      </c>
      <c r="C63" s="199"/>
      <c r="D63" s="200"/>
      <c r="E63" s="113">
        <f ca="1">TblConstr[[#This Row],[Land]]</f>
        <v>250</v>
      </c>
      <c r="F63" s="113">
        <f ca="1">TblPop[[#This Row],[Peasants]]</f>
        <v>1537</v>
      </c>
      <c r="G63" s="113">
        <f ca="1">TblMili[[#This Row],[Networth (2)]]</f>
        <v>6455</v>
      </c>
      <c r="H63" s="113">
        <f ca="1">OFFSET(TblProd[[#This Row],[Platinum]],-1,0)+OFFSET(TblProd[[#This Row],[Plat/hr]],-1,0) - TblProd[[#This Row],[Expenses Platinum]] + IF(TblProd[[#This Row],[Plat Bonus]],TblPop[[#This Row],[Peasants]]*4) + SUM(TblConstr[[#This Row],[Dest Hom]:[Dest Doc]])*TblConstr[[#This Row],[CPA Platinum -DB]]*tech_3_3_2*TblTech[[#This Row],[3-3]]</f>
        <v>424274</v>
      </c>
      <c r="I63" s="113">
        <f ca="1">OFFSET(TblProd[[#This Row],[Food]],-1,0)+OFFSET(TblProd[[#This Row],[Food/hr]],-1,0)+ROUNDUP((TblConstr[[#This Row],[Farms]]*80+TblConstr[[#This Row],[Docks]]*35)*(1+OFFSET(TblProd[[#This Row],[Bonus Food/hr]],-1,0)),0)</f>
        <v>98161</v>
      </c>
      <c r="J63" s="113">
        <f ca="1">OFFSET(TblProd[[#This Row],[Lumber]],-1,0)+OFFSET(TblProd[[#This Row],[Lumber/hr]],-1,0) - TblProd[[#This Row],[Expenses Lumber]] + SUM(TblConstr[[#This Row],[Dest Hom]:[Dest Doc]])*TblConstr[[#This Row],[CPA Lumber -DB]]*tech_3_3_2*TblTech[[#This Row],[3-3]]</f>
        <v>52976</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Row],[Techpoints]],-1,0)+(1+research_bonus)*(26*MIN((TblConstr[[#This Row],[Tot Sch]]/(TblProd[[#This Row],[Land]]-TblExplore[[#This Row],[Land Bonus]]*20))*100,40))-TblProd[[#This Row],[Required]]*TblTech[[#This Row],[…]],0) + IF(TblProd[[#This Row],[Plat Bonus]]&lt;&gt;"",750,0)</f>
        <v>0</v>
      </c>
      <c r="Q63" s="113">
        <v>10000</v>
      </c>
      <c r="R63" s="184"/>
      <c r="S63" s="113">
        <f ca="1">ROUNDDOWN(TblProd[[#This Row],[Raw Plat/hr]]*(1+TblProd[[#This Row],[Bonus Plat/hr]]),0)</f>
        <v>5499</v>
      </c>
      <c r="T63" s="113">
        <f ca="1">ROUND(TblProd[[#This Row],[Raw Food/hr]]*(1+TblProd[[#This Row],[Bonus Food/hr]])-TblProd[[#This Row],[Food decay]]-TblProd[[#This Row],[Food eaten]],0)</f>
        <v>1003</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5499.9000000000005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981.61</v>
      </c>
      <c r="AP63" s="113">
        <f ca="1">(1+race_food_consumption)*TblPop[[#This Row],[Total]]*food_per_person*(1+tech_1_10*TblTech[[#This Row],[1-10]]+tech_7_5*TblTech[[#This Row],[7-5]])</f>
        <v>595.75</v>
      </c>
      <c r="AQ63" s="113">
        <f ca="1">TblProd[[#This Row],[Lumber]]*lumber_rot * (1 + tech_2_1*TblTech[[#This Row],[2-1]] + tech_2_8*TblTech[[#This Row],[2-8]] + tech_5_2*TblTech[[#This Row],[5-2]])</f>
        <v>529.76</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44345.45833333319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424274</v>
      </c>
      <c r="BJ63" s="113">
        <f ca="1">TblProd[[#This Row],[Food]]</f>
        <v>98161</v>
      </c>
      <c r="BK63" s="113">
        <f ca="1">TblProd[[#This Row],[Lumber]]</f>
        <v>52976</v>
      </c>
      <c r="BL63" s="113">
        <f ca="1">TblProd[[#This Row],[Mana]]</f>
        <v>0</v>
      </c>
      <c r="BM63" s="113">
        <f ca="1">TblProd[[#This Row],[Ore]]</f>
        <v>0</v>
      </c>
    </row>
    <row r="64" spans="1:65" x14ac:dyDescent="0.2">
      <c r="A64" s="178">
        <v>61</v>
      </c>
      <c r="B64" s="198">
        <f ca="1">TblImps[[#This Row],[Time]]</f>
        <v>44345.499999999854</v>
      </c>
      <c r="C64" s="199"/>
      <c r="D64" s="200"/>
      <c r="E64" s="113">
        <f ca="1">TblConstr[[#This Row],[Land]]</f>
        <v>250</v>
      </c>
      <c r="F64" s="113">
        <f ca="1">TblPop[[#This Row],[Peasants]]</f>
        <v>1537</v>
      </c>
      <c r="G64" s="113">
        <f ca="1">TblMili[[#This Row],[Networth (2)]]</f>
        <v>6455</v>
      </c>
      <c r="H64" s="113">
        <f ca="1">OFFSET(TblProd[[#This Row],[Platinum]],-1,0)+OFFSET(TblProd[[#This Row],[Plat/hr]],-1,0) - TblProd[[#This Row],[Expenses Platinum]] + IF(TblProd[[#This Row],[Plat Bonus]],TblPop[[#This Row],[Peasants]]*4) + SUM(TblConstr[[#This Row],[Dest Hom]:[Dest Doc]])*TblConstr[[#This Row],[CPA Platinum -DB]]*tech_3_3_2*TblTech[[#This Row],[3-3]]</f>
        <v>429773</v>
      </c>
      <c r="I64" s="113">
        <f ca="1">OFFSET(TblProd[[#This Row],[Food]],-1,0)+OFFSET(TblProd[[#This Row],[Food/hr]],-1,0)+ROUNDUP((TblConstr[[#This Row],[Farms]]*80+TblConstr[[#This Row],[Docks]]*35)*(1+OFFSET(TblProd[[#This Row],[Bonus Food/hr]],-1,0)),0)</f>
        <v>99164</v>
      </c>
      <c r="J64" s="113">
        <f ca="1">OFFSET(TblProd[[#This Row],[Lumber]],-1,0)+OFFSET(TblProd[[#This Row],[Lumber/hr]],-1,0) - TblProd[[#This Row],[Expenses Lumber]] + SUM(TblConstr[[#This Row],[Dest Hom]:[Dest Doc]])*TblConstr[[#This Row],[CPA Lumber -DB]]*tech_3_3_2*TblTech[[#This Row],[3-3]]</f>
        <v>53446</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Row],[Techpoints]],-1,0)+(1+research_bonus)*(26*MIN((TblConstr[[#This Row],[Tot Sch]]/(TblProd[[#This Row],[Land]]-TblExplore[[#This Row],[Land Bonus]]*20))*100,40))-TblProd[[#This Row],[Required]]*TblTech[[#This Row],[…]],0) + IF(TblProd[[#This Row],[Plat Bonus]]&lt;&gt;"",750,0)</f>
        <v>0</v>
      </c>
      <c r="Q64" s="113">
        <v>10000</v>
      </c>
      <c r="R64" s="184"/>
      <c r="S64" s="113">
        <f ca="1">ROUNDDOWN(TblProd[[#This Row],[Raw Plat/hr]]*(1+TblProd[[#This Row],[Bonus Plat/hr]]),0)</f>
        <v>5499</v>
      </c>
      <c r="T64" s="113">
        <f ca="1">ROUND(TblProd[[#This Row],[Raw Food/hr]]*(1+TblProd[[#This Row],[Bonus Food/hr]])-TblProd[[#This Row],[Food decay]]-TblProd[[#This Row],[Food eaten]],0)</f>
        <v>993</v>
      </c>
      <c r="U64" s="113">
        <f ca="1">ROUND(TblProd[[#This Row],[Raw Lumber/hr]]*(1+TblProd[[#This Row],[Bonus Lumber/hr]])-TblProd[[#This Row],[Lumber rot]],0)</f>
        <v>466</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5499.9000000000005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991.64</v>
      </c>
      <c r="AP64" s="113">
        <f ca="1">(1+race_food_consumption)*TblPop[[#This Row],[Total]]*food_per_person*(1+tech_1_10*TblTech[[#This Row],[1-10]]+tech_7_5*TblTech[[#This Row],[7-5]])</f>
        <v>595.75</v>
      </c>
      <c r="AQ64" s="113">
        <f ca="1">TblProd[[#This Row],[Lumber]]*lumber_rot * (1 + tech_2_1*TblTech[[#This Row],[2-1]] + tech_2_8*TblTech[[#This Row],[2-8]] + tech_5_2*TblTech[[#This Row],[5-2]])</f>
        <v>534.46</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44345.499999999854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429773</v>
      </c>
      <c r="BJ64" s="113">
        <f ca="1">TblProd[[#This Row],[Food]]</f>
        <v>99164</v>
      </c>
      <c r="BK64" s="113">
        <f ca="1">TblProd[[#This Row],[Lumber]]</f>
        <v>53446</v>
      </c>
      <c r="BL64" s="113">
        <f ca="1">TblProd[[#This Row],[Mana]]</f>
        <v>0</v>
      </c>
      <c r="BM64" s="113">
        <f ca="1">TblProd[[#This Row],[Ore]]</f>
        <v>0</v>
      </c>
    </row>
    <row r="65" spans="1:65" x14ac:dyDescent="0.2">
      <c r="A65" s="178">
        <v>62</v>
      </c>
      <c r="B65" s="198">
        <f ca="1">TblImps[[#This Row],[Time]]</f>
        <v>44345.541666666519</v>
      </c>
      <c r="C65" s="199"/>
      <c r="D65" s="200"/>
      <c r="E65" s="113">
        <f ca="1">TblConstr[[#This Row],[Land]]</f>
        <v>250</v>
      </c>
      <c r="F65" s="113">
        <f ca="1">TblPop[[#This Row],[Peasants]]</f>
        <v>1537</v>
      </c>
      <c r="G65" s="113">
        <f ca="1">TblMili[[#This Row],[Networth (2)]]</f>
        <v>6455</v>
      </c>
      <c r="H65" s="113">
        <f ca="1">OFFSET(TblProd[[#This Row],[Platinum]],-1,0)+OFFSET(TblProd[[#This Row],[Plat/hr]],-1,0) - TblProd[[#This Row],[Expenses Platinum]] + IF(TblProd[[#This Row],[Plat Bonus]],TblPop[[#This Row],[Peasants]]*4) + SUM(TblConstr[[#This Row],[Dest Hom]:[Dest Doc]])*TblConstr[[#This Row],[CPA Platinum -DB]]*tech_3_3_2*TblTech[[#This Row],[3-3]]</f>
        <v>435272</v>
      </c>
      <c r="I65" s="113">
        <f ca="1">OFFSET(TblProd[[#This Row],[Food]],-1,0)+OFFSET(TblProd[[#This Row],[Food/hr]],-1,0)+ROUNDUP((TblConstr[[#This Row],[Farms]]*80+TblConstr[[#This Row],[Docks]]*35)*(1+OFFSET(TblProd[[#This Row],[Bonus Food/hr]],-1,0)),0)</f>
        <v>100157</v>
      </c>
      <c r="J65" s="113">
        <f ca="1">OFFSET(TblProd[[#This Row],[Lumber]],-1,0)+OFFSET(TblProd[[#This Row],[Lumber/hr]],-1,0) - TblProd[[#This Row],[Expenses Lumber]] + SUM(TblConstr[[#This Row],[Dest Hom]:[Dest Doc]])*TblConstr[[#This Row],[CPA Lumber -DB]]*tech_3_3_2*TblTech[[#This Row],[3-3]]</f>
        <v>53912</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Row],[Techpoints]],-1,0)+(1+research_bonus)*(26*MIN((TblConstr[[#This Row],[Tot Sch]]/(TblProd[[#This Row],[Land]]-TblExplore[[#This Row],[Land Bonus]]*20))*100,40))-TblProd[[#This Row],[Required]]*TblTech[[#This Row],[…]],0) + IF(TblProd[[#This Row],[Plat Bonus]]&lt;&gt;"",750,0)</f>
        <v>0</v>
      </c>
      <c r="Q65" s="113">
        <v>10000</v>
      </c>
      <c r="R65" s="184"/>
      <c r="S65" s="113">
        <f ca="1">ROUNDDOWN(TblProd[[#This Row],[Raw Plat/hr]]*(1+TblProd[[#This Row],[Bonus Plat/hr]]),0)</f>
        <v>5499</v>
      </c>
      <c r="T65" s="113">
        <f ca="1">ROUND(TblProd[[#This Row],[Raw Food/hr]]*(1+TblProd[[#This Row],[Bonus Food/hr]])-TblProd[[#This Row],[Food decay]]-TblProd[[#This Row],[Food eaten]],0)</f>
        <v>983</v>
      </c>
      <c r="U65" s="113">
        <f ca="1">ROUND(TblProd[[#This Row],[Raw Lumber/hr]]*(1+TblProd[[#This Row],[Bonus Lumber/hr]])-TblProd[[#This Row],[Lumber rot]],0)</f>
        <v>461</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5499.9000000000005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1001.57</v>
      </c>
      <c r="AP65" s="113">
        <f ca="1">(1+race_food_consumption)*TblPop[[#This Row],[Total]]*food_per_person*(1+tech_1_10*TblTech[[#This Row],[1-10]]+tech_7_5*TblTech[[#This Row],[7-5]])</f>
        <v>595.75</v>
      </c>
      <c r="AQ65" s="113">
        <f ca="1">TblProd[[#This Row],[Lumber]]*lumber_rot * (1 + tech_2_1*TblTech[[#This Row],[2-1]] + tech_2_8*TblTech[[#This Row],[2-8]] + tech_5_2*TblTech[[#This Row],[5-2]])</f>
        <v>539.12</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44345.541666666519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435272</v>
      </c>
      <c r="BJ65" s="113">
        <f ca="1">TblProd[[#This Row],[Food]]</f>
        <v>100157</v>
      </c>
      <c r="BK65" s="113">
        <f ca="1">TblProd[[#This Row],[Lumber]]</f>
        <v>53912</v>
      </c>
      <c r="BL65" s="113">
        <f ca="1">TblProd[[#This Row],[Mana]]</f>
        <v>0</v>
      </c>
      <c r="BM65" s="113">
        <f ca="1">TblProd[[#This Row],[Ore]]</f>
        <v>0</v>
      </c>
    </row>
    <row r="66" spans="1:65" x14ac:dyDescent="0.2">
      <c r="A66" s="178">
        <v>63</v>
      </c>
      <c r="B66" s="198">
        <f ca="1">TblImps[[#This Row],[Time]]</f>
        <v>44345.583333333183</v>
      </c>
      <c r="C66" s="199"/>
      <c r="D66" s="200"/>
      <c r="E66" s="113">
        <f ca="1">TblConstr[[#This Row],[Land]]</f>
        <v>250</v>
      </c>
      <c r="F66" s="113">
        <f ca="1">TblPop[[#This Row],[Peasants]]</f>
        <v>1537</v>
      </c>
      <c r="G66" s="113">
        <f ca="1">TblMili[[#This Row],[Networth (2)]]</f>
        <v>6455</v>
      </c>
      <c r="H66" s="113">
        <f ca="1">OFFSET(TblProd[[#This Row],[Platinum]],-1,0)+OFFSET(TblProd[[#This Row],[Plat/hr]],-1,0) - TblProd[[#This Row],[Expenses Platinum]] + IF(TblProd[[#This Row],[Plat Bonus]],TblPop[[#This Row],[Peasants]]*4) + SUM(TblConstr[[#This Row],[Dest Hom]:[Dest Doc]])*TblConstr[[#This Row],[CPA Platinum -DB]]*tech_3_3_2*TblTech[[#This Row],[3-3]]</f>
        <v>440771</v>
      </c>
      <c r="I66" s="113">
        <f ca="1">OFFSET(TblProd[[#This Row],[Food]],-1,0)+OFFSET(TblProd[[#This Row],[Food/hr]],-1,0)+ROUNDUP((TblConstr[[#This Row],[Farms]]*80+TblConstr[[#This Row],[Docks]]*35)*(1+OFFSET(TblProd[[#This Row],[Bonus Food/hr]],-1,0)),0)</f>
        <v>101140</v>
      </c>
      <c r="J66" s="113">
        <f ca="1">OFFSET(TblProd[[#This Row],[Lumber]],-1,0)+OFFSET(TblProd[[#This Row],[Lumber/hr]],-1,0) - TblProd[[#This Row],[Expenses Lumber]] + SUM(TblConstr[[#This Row],[Dest Hom]:[Dest Doc]])*TblConstr[[#This Row],[CPA Lumber -DB]]*tech_3_3_2*TblTech[[#This Row],[3-3]]</f>
        <v>54373</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Row],[Techpoints]],-1,0)+(1+research_bonus)*(26*MIN((TblConstr[[#This Row],[Tot Sch]]/(TblProd[[#This Row],[Land]]-TblExplore[[#This Row],[Land Bonus]]*20))*100,40))-TblProd[[#This Row],[Required]]*TblTech[[#This Row],[…]],0) + IF(TblProd[[#This Row],[Plat Bonus]]&lt;&gt;"",750,0)</f>
        <v>0</v>
      </c>
      <c r="Q66" s="113">
        <v>10000</v>
      </c>
      <c r="R66" s="184"/>
      <c r="S66" s="113">
        <f ca="1">ROUNDDOWN(TblProd[[#This Row],[Raw Plat/hr]]*(1+TblProd[[#This Row],[Bonus Plat/hr]]),0)</f>
        <v>5499</v>
      </c>
      <c r="T66" s="113">
        <f ca="1">ROUND(TblProd[[#This Row],[Raw Food/hr]]*(1+TblProd[[#This Row],[Bonus Food/hr]])-TblProd[[#This Row],[Food decay]]-TblProd[[#This Row],[Food eaten]],0)</f>
        <v>973</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5499.9000000000005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1011.4</v>
      </c>
      <c r="AP66" s="113">
        <f ca="1">(1+race_food_consumption)*TblPop[[#This Row],[Total]]*food_per_person*(1+tech_1_10*TblTech[[#This Row],[1-10]]+tech_7_5*TblTech[[#This Row],[7-5]])</f>
        <v>595.75</v>
      </c>
      <c r="AQ66" s="113">
        <f ca="1">TblProd[[#This Row],[Lumber]]*lumber_rot * (1 + tech_2_1*TblTech[[#This Row],[2-1]] + tech_2_8*TblTech[[#This Row],[2-8]] + tech_5_2*TblTech[[#This Row],[5-2]])</f>
        <v>543.73</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44345.583333333183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440771</v>
      </c>
      <c r="BJ66" s="113">
        <f ca="1">TblProd[[#This Row],[Food]]</f>
        <v>101140</v>
      </c>
      <c r="BK66" s="113">
        <f ca="1">TblProd[[#This Row],[Lumber]]</f>
        <v>54373</v>
      </c>
      <c r="BL66" s="113">
        <f ca="1">TblProd[[#This Row],[Mana]]</f>
        <v>0</v>
      </c>
      <c r="BM66" s="113">
        <f ca="1">TblProd[[#This Row],[Ore]]</f>
        <v>0</v>
      </c>
    </row>
    <row r="67" spans="1:65" x14ac:dyDescent="0.2">
      <c r="A67" s="178">
        <v>64</v>
      </c>
      <c r="B67" s="198">
        <f ca="1">TblImps[[#This Row],[Time]]</f>
        <v>44345.624999999847</v>
      </c>
      <c r="C67" s="199"/>
      <c r="D67" s="200"/>
      <c r="E67" s="113">
        <f ca="1">TblConstr[[#This Row],[Land]]</f>
        <v>250</v>
      </c>
      <c r="F67" s="113">
        <f ca="1">TblPop[[#This Row],[Peasants]]</f>
        <v>1537</v>
      </c>
      <c r="G67" s="113">
        <f ca="1">TblMili[[#This Row],[Networth (2)]]</f>
        <v>6455</v>
      </c>
      <c r="H67" s="113">
        <f ca="1">OFFSET(TblProd[[#This Row],[Platinum]],-1,0)+OFFSET(TblProd[[#This Row],[Plat/hr]],-1,0) - TblProd[[#This Row],[Expenses Platinum]] + IF(TblProd[[#This Row],[Plat Bonus]],TblPop[[#This Row],[Peasants]]*4) + SUM(TblConstr[[#This Row],[Dest Hom]:[Dest Doc]])*TblConstr[[#This Row],[CPA Platinum -DB]]*tech_3_3_2*TblTech[[#This Row],[3-3]]</f>
        <v>446270</v>
      </c>
      <c r="I67" s="113">
        <f ca="1">OFFSET(TblProd[[#This Row],[Food]],-1,0)+OFFSET(TblProd[[#This Row],[Food/hr]],-1,0)+ROUNDUP((TblConstr[[#This Row],[Farms]]*80+TblConstr[[#This Row],[Docks]]*35)*(1+OFFSET(TblProd[[#This Row],[Bonus Food/hr]],-1,0)),0)</f>
        <v>102113</v>
      </c>
      <c r="J67" s="113">
        <f ca="1">OFFSET(TblProd[[#This Row],[Lumber]],-1,0)+OFFSET(TblProd[[#This Row],[Lumber/hr]],-1,0) - TblProd[[#This Row],[Expenses Lumber]] + SUM(TblConstr[[#This Row],[Dest Hom]:[Dest Doc]])*TblConstr[[#This Row],[CPA Lumber -DB]]*tech_3_3_2*TblTech[[#This Row],[3-3]]</f>
        <v>54829</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Row],[Techpoints]],-1,0)+(1+research_bonus)*(26*MIN((TblConstr[[#This Row],[Tot Sch]]/(TblProd[[#This Row],[Land]]-TblExplore[[#This Row],[Land Bonus]]*20))*100,40))-TblProd[[#This Row],[Required]]*TblTech[[#This Row],[…]],0) + IF(TblProd[[#This Row],[Plat Bonus]]&lt;&gt;"",750,0)</f>
        <v>0</v>
      </c>
      <c r="Q67" s="113">
        <v>10000</v>
      </c>
      <c r="R67" s="184"/>
      <c r="S67" s="113">
        <f ca="1">ROUNDDOWN(TblProd[[#This Row],[Raw Plat/hr]]*(1+TblProd[[#This Row],[Bonus Plat/hr]]),0)</f>
        <v>5499</v>
      </c>
      <c r="T67" s="113">
        <f ca="1">ROUND(TblProd[[#This Row],[Raw Food/hr]]*(1+TblProd[[#This Row],[Bonus Food/hr]])-TblProd[[#This Row],[Food decay]]-TblProd[[#This Row],[Food eaten]],0)</f>
        <v>963</v>
      </c>
      <c r="U67" s="113">
        <f ca="1">ROUND(TblProd[[#This Row],[Raw Lumber/hr]]*(1+TblProd[[#This Row],[Bonus Lumber/hr]])-TblProd[[#This Row],[Lumber rot]],0)</f>
        <v>452</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5499.9000000000005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1021.13</v>
      </c>
      <c r="AP67" s="113">
        <f ca="1">(1+race_food_consumption)*TblPop[[#This Row],[Total]]*food_per_person*(1+tech_1_10*TblTech[[#This Row],[1-10]]+tech_7_5*TblTech[[#This Row],[7-5]])</f>
        <v>595.75</v>
      </c>
      <c r="AQ67" s="113">
        <f ca="1">TblProd[[#This Row],[Lumber]]*lumber_rot * (1 + tech_2_1*TblTech[[#This Row],[2-1]] + tech_2_8*TblTech[[#This Row],[2-8]] + tech_5_2*TblTech[[#This Row],[5-2]])</f>
        <v>548.29</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44345.624999999847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446270</v>
      </c>
      <c r="BJ67" s="113">
        <f ca="1">TblProd[[#This Row],[Food]]</f>
        <v>102113</v>
      </c>
      <c r="BK67" s="113">
        <f ca="1">TblProd[[#This Row],[Lumber]]</f>
        <v>54829</v>
      </c>
      <c r="BL67" s="113">
        <f ca="1">TblProd[[#This Row],[Mana]]</f>
        <v>0</v>
      </c>
      <c r="BM67" s="113">
        <f ca="1">TblProd[[#This Row],[Ore]]</f>
        <v>0</v>
      </c>
    </row>
    <row r="68" spans="1:65" x14ac:dyDescent="0.2">
      <c r="A68" s="178">
        <v>65</v>
      </c>
      <c r="B68" s="198">
        <f ca="1">TblImps[[#This Row],[Time]]</f>
        <v>44345.666666666511</v>
      </c>
      <c r="C68" s="199"/>
      <c r="D68" s="200"/>
      <c r="E68" s="113">
        <f ca="1">TblConstr[[#This Row],[Land]]</f>
        <v>250</v>
      </c>
      <c r="F68" s="113">
        <f ca="1">TblPop[[#This Row],[Peasants]]</f>
        <v>1537</v>
      </c>
      <c r="G68" s="113">
        <f ca="1">TblMili[[#This Row],[Networth (2)]]</f>
        <v>6455</v>
      </c>
      <c r="H68" s="113">
        <f ca="1">OFFSET(TblProd[[#This Row],[Platinum]],-1,0)+OFFSET(TblProd[[#This Row],[Plat/hr]],-1,0) - TblProd[[#This Row],[Expenses Platinum]] + IF(TblProd[[#This Row],[Plat Bonus]],TblPop[[#This Row],[Peasants]]*4) + SUM(TblConstr[[#This Row],[Dest Hom]:[Dest Doc]])*TblConstr[[#This Row],[CPA Platinum -DB]]*tech_3_3_2*TblTech[[#This Row],[3-3]]</f>
        <v>451769</v>
      </c>
      <c r="I68" s="113">
        <f ca="1">OFFSET(TblProd[[#This Row],[Food]],-1,0)+OFFSET(TblProd[[#This Row],[Food/hr]],-1,0)+ROUNDUP((TblConstr[[#This Row],[Farms]]*80+TblConstr[[#This Row],[Docks]]*35)*(1+OFFSET(TblProd[[#This Row],[Bonus Food/hr]],-1,0)),0)</f>
        <v>103076</v>
      </c>
      <c r="J68" s="113">
        <f ca="1">OFFSET(TblProd[[#This Row],[Lumber]],-1,0)+OFFSET(TblProd[[#This Row],[Lumber/hr]],-1,0) - TblProd[[#This Row],[Expenses Lumber]] + SUM(TblConstr[[#This Row],[Dest Hom]:[Dest Doc]])*TblConstr[[#This Row],[CPA Lumber -DB]]*tech_3_3_2*TblTech[[#This Row],[3-3]]</f>
        <v>55281</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Row],[Techpoints]],-1,0)+(1+research_bonus)*(26*MIN((TblConstr[[#This Row],[Tot Sch]]/(TblProd[[#This Row],[Land]]-TblExplore[[#This Row],[Land Bonus]]*20))*100,40))-TblProd[[#This Row],[Required]]*TblTech[[#This Row],[…]],0) + IF(TblProd[[#This Row],[Plat Bonus]]&lt;&gt;"",750,0)</f>
        <v>0</v>
      </c>
      <c r="Q68" s="113">
        <v>10000</v>
      </c>
      <c r="R68" s="184"/>
      <c r="S68" s="113">
        <f ca="1">ROUNDDOWN(TblProd[[#This Row],[Raw Plat/hr]]*(1+TblProd[[#This Row],[Bonus Plat/hr]]),0)</f>
        <v>5499</v>
      </c>
      <c r="T68" s="113">
        <f ca="1">ROUND(TblProd[[#This Row],[Raw Food/hr]]*(1+TblProd[[#This Row],[Bonus Food/hr]])-TblProd[[#This Row],[Food decay]]-TblProd[[#This Row],[Food eaten]],0)</f>
        <v>953</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5499.9000000000005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1030.76</v>
      </c>
      <c r="AP68" s="113">
        <f ca="1">(1+race_food_consumption)*TblPop[[#This Row],[Total]]*food_per_person*(1+tech_1_10*TblTech[[#This Row],[1-10]]+tech_7_5*TblTech[[#This Row],[7-5]])</f>
        <v>595.75</v>
      </c>
      <c r="AQ68" s="113">
        <f ca="1">TblProd[[#This Row],[Lumber]]*lumber_rot * (1 + tech_2_1*TblTech[[#This Row],[2-1]] + tech_2_8*TblTech[[#This Row],[2-8]] + tech_5_2*TblTech[[#This Row],[5-2]])</f>
        <v>552.81000000000006</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44345.666666666511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451769</v>
      </c>
      <c r="BJ68" s="113">
        <f ca="1">TblProd[[#This Row],[Food]]</f>
        <v>103076</v>
      </c>
      <c r="BK68" s="113">
        <f ca="1">TblProd[[#This Row],[Lumber]]</f>
        <v>55281</v>
      </c>
      <c r="BL68" s="113">
        <f ca="1">TblProd[[#This Row],[Mana]]</f>
        <v>0</v>
      </c>
      <c r="BM68" s="113">
        <f ca="1">TblProd[[#This Row],[Ore]]</f>
        <v>0</v>
      </c>
    </row>
    <row r="69" spans="1:65" x14ac:dyDescent="0.2">
      <c r="A69" s="178">
        <v>66</v>
      </c>
      <c r="B69" s="198">
        <f ca="1">TblImps[[#This Row],[Time]]</f>
        <v>44345.708333333176</v>
      </c>
      <c r="C69" s="199"/>
      <c r="D69" s="200"/>
      <c r="E69" s="113">
        <f ca="1">TblConstr[[#This Row],[Land]]</f>
        <v>250</v>
      </c>
      <c r="F69" s="113">
        <f ca="1">TblPop[[#This Row],[Peasants]]</f>
        <v>1537</v>
      </c>
      <c r="G69" s="113">
        <f ca="1">TblMili[[#This Row],[Networth (2)]]</f>
        <v>6455</v>
      </c>
      <c r="H69" s="113">
        <f ca="1">OFFSET(TblProd[[#This Row],[Platinum]],-1,0)+OFFSET(TblProd[[#This Row],[Plat/hr]],-1,0) - TblProd[[#This Row],[Expenses Platinum]] + IF(TblProd[[#This Row],[Plat Bonus]],TblPop[[#This Row],[Peasants]]*4) + SUM(TblConstr[[#This Row],[Dest Hom]:[Dest Doc]])*TblConstr[[#This Row],[CPA Platinum -DB]]*tech_3_3_2*TblTech[[#This Row],[3-3]]</f>
        <v>457268</v>
      </c>
      <c r="I69" s="113">
        <f ca="1">OFFSET(TblProd[[#This Row],[Food]],-1,0)+OFFSET(TblProd[[#This Row],[Food/hr]],-1,0)+ROUNDUP((TblConstr[[#This Row],[Farms]]*80+TblConstr[[#This Row],[Docks]]*35)*(1+OFFSET(TblProd[[#This Row],[Bonus Food/hr]],-1,0)),0)</f>
        <v>104029</v>
      </c>
      <c r="J69" s="113">
        <f ca="1">OFFSET(TblProd[[#This Row],[Lumber]],-1,0)+OFFSET(TblProd[[#This Row],[Lumber/hr]],-1,0) - TblProd[[#This Row],[Expenses Lumber]] + SUM(TblConstr[[#This Row],[Dest Hom]:[Dest Doc]])*TblConstr[[#This Row],[CPA Lumber -DB]]*tech_3_3_2*TblTech[[#This Row],[3-3]]</f>
        <v>55728</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Row],[Techpoints]],-1,0)+(1+research_bonus)*(26*MIN((TblConstr[[#This Row],[Tot Sch]]/(TblProd[[#This Row],[Land]]-TblExplore[[#This Row],[Land Bonus]]*20))*100,40))-TblProd[[#This Row],[Required]]*TblTech[[#This Row],[…]],0) + IF(TblProd[[#This Row],[Plat Bonus]]&lt;&gt;"",750,0)</f>
        <v>0</v>
      </c>
      <c r="Q69" s="113">
        <v>10000</v>
      </c>
      <c r="R69" s="184"/>
      <c r="S69" s="113">
        <f ca="1">ROUNDDOWN(TblProd[[#This Row],[Raw Plat/hr]]*(1+TblProd[[#This Row],[Bonus Plat/hr]]),0)</f>
        <v>5499</v>
      </c>
      <c r="T69" s="113">
        <f ca="1">ROUND(TblProd[[#This Row],[Raw Food/hr]]*(1+TblProd[[#This Row],[Bonus Food/hr]])-TblProd[[#This Row],[Food decay]]-TblProd[[#This Row],[Food eaten]],0)</f>
        <v>944</v>
      </c>
      <c r="U69" s="113">
        <f ca="1">ROUND(TblProd[[#This Row],[Raw Lumber/hr]]*(1+TblProd[[#This Row],[Bonus Lumber/hr]])-TblProd[[#This Row],[Lumber rot]],0)</f>
        <v>443</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5499.9000000000005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1040.29</v>
      </c>
      <c r="AP69" s="113">
        <f ca="1">(1+race_food_consumption)*TblPop[[#This Row],[Total]]*food_per_person*(1+tech_1_10*TblTech[[#This Row],[1-10]]+tech_7_5*TblTech[[#This Row],[7-5]])</f>
        <v>595.75</v>
      </c>
      <c r="AQ69" s="113">
        <f ca="1">TblProd[[#This Row],[Lumber]]*lumber_rot * (1 + tech_2_1*TblTech[[#This Row],[2-1]] + tech_2_8*TblTech[[#This Row],[2-8]] + tech_5_2*TblTech[[#This Row],[5-2]])</f>
        <v>557.28</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44345.708333333176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457268</v>
      </c>
      <c r="BJ69" s="113">
        <f ca="1">TblProd[[#This Row],[Food]]</f>
        <v>104029</v>
      </c>
      <c r="BK69" s="113">
        <f ca="1">TblProd[[#This Row],[Lumber]]</f>
        <v>55728</v>
      </c>
      <c r="BL69" s="113">
        <f ca="1">TblProd[[#This Row],[Mana]]</f>
        <v>0</v>
      </c>
      <c r="BM69" s="113">
        <f ca="1">TblProd[[#This Row],[Ore]]</f>
        <v>0</v>
      </c>
    </row>
    <row r="70" spans="1:65" x14ac:dyDescent="0.2">
      <c r="A70" s="178">
        <v>67</v>
      </c>
      <c r="B70" s="198">
        <f ca="1">TblImps[[#This Row],[Time]]</f>
        <v>44345.74999999984</v>
      </c>
      <c r="C70" s="199"/>
      <c r="D70" s="200"/>
      <c r="E70" s="113">
        <f ca="1">TblConstr[[#This Row],[Land]]</f>
        <v>250</v>
      </c>
      <c r="F70" s="113">
        <f ca="1">TblPop[[#This Row],[Peasants]]</f>
        <v>1537</v>
      </c>
      <c r="G70" s="113">
        <f ca="1">TblMili[[#This Row],[Networth (2)]]</f>
        <v>6455</v>
      </c>
      <c r="H70" s="113">
        <f ca="1">OFFSET(TblProd[[#This Row],[Platinum]],-1,0)+OFFSET(TblProd[[#This Row],[Plat/hr]],-1,0) - TblProd[[#This Row],[Expenses Platinum]] + IF(TblProd[[#This Row],[Plat Bonus]],TblPop[[#This Row],[Peasants]]*4) + SUM(TblConstr[[#This Row],[Dest Hom]:[Dest Doc]])*TblConstr[[#This Row],[CPA Platinum -DB]]*tech_3_3_2*TblTech[[#This Row],[3-3]]</f>
        <v>462767</v>
      </c>
      <c r="I70" s="113">
        <f ca="1">OFFSET(TblProd[[#This Row],[Food]],-1,0)+OFFSET(TblProd[[#This Row],[Food/hr]],-1,0)+ROUNDUP((TblConstr[[#This Row],[Farms]]*80+TblConstr[[#This Row],[Docks]]*35)*(1+OFFSET(TblProd[[#This Row],[Bonus Food/hr]],-1,0)),0)</f>
        <v>104973</v>
      </c>
      <c r="J70" s="113">
        <f ca="1">OFFSET(TblProd[[#This Row],[Lumber]],-1,0)+OFFSET(TblProd[[#This Row],[Lumber/hr]],-1,0) - TblProd[[#This Row],[Expenses Lumber]] + SUM(TblConstr[[#This Row],[Dest Hom]:[Dest Doc]])*TblConstr[[#This Row],[CPA Lumber -DB]]*tech_3_3_2*TblTech[[#This Row],[3-3]]</f>
        <v>56171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Row],[Techpoints]],-1,0)+(1+research_bonus)*(26*MIN((TblConstr[[#This Row],[Tot Sch]]/(TblProd[[#This Row],[Land]]-TblExplore[[#This Row],[Land Bonus]]*20))*100,40))-TblProd[[#This Row],[Required]]*TblTech[[#This Row],[…]],0) + IF(TblProd[[#This Row],[Plat Bonus]]&lt;&gt;"",750,0)</f>
        <v>0</v>
      </c>
      <c r="Q70" s="113">
        <v>10000</v>
      </c>
      <c r="R70" s="184"/>
      <c r="S70" s="113">
        <f ca="1">ROUNDDOWN(TblProd[[#This Row],[Raw Plat/hr]]*(1+TblProd[[#This Row],[Bonus Plat/hr]]),0)</f>
        <v>5499</v>
      </c>
      <c r="T70" s="113">
        <f ca="1">ROUND(TblProd[[#This Row],[Raw Food/hr]]*(1+TblProd[[#This Row],[Bonus Food/hr]])-TblProd[[#This Row],[Food decay]]-TblProd[[#This Row],[Food eaten]],0)</f>
        <v>935</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5499.9000000000005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1049.73</v>
      </c>
      <c r="AP70" s="113">
        <f ca="1">(1+race_food_consumption)*TblPop[[#This Row],[Total]]*food_per_person*(1+tech_1_10*TblTech[[#This Row],[1-10]]+tech_7_5*TblTech[[#This Row],[7-5]])</f>
        <v>595.75</v>
      </c>
      <c r="AQ70" s="113">
        <f ca="1">TblProd[[#This Row],[Lumber]]*lumber_rot * (1 + tech_2_1*TblTech[[#This Row],[2-1]] + tech_2_8*TblTech[[#This Row],[2-8]] + tech_5_2*TblTech[[#This Row],[5-2]])</f>
        <v>561.71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44345.74999999984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462767</v>
      </c>
      <c r="BJ70" s="113">
        <f ca="1">TblProd[[#This Row],[Food]]</f>
        <v>104973</v>
      </c>
      <c r="BK70" s="113">
        <f ca="1">TblProd[[#This Row],[Lumber]]</f>
        <v>56171</v>
      </c>
      <c r="BL70" s="113">
        <f ca="1">TblProd[[#This Row],[Mana]]</f>
        <v>0</v>
      </c>
      <c r="BM70" s="113">
        <f ca="1">TblProd[[#This Row],[Ore]]</f>
        <v>0</v>
      </c>
    </row>
    <row r="71" spans="1:65" x14ac:dyDescent="0.2">
      <c r="A71" s="178">
        <v>68</v>
      </c>
      <c r="B71" s="198">
        <f ca="1">TblImps[[#This Row],[Time]]</f>
        <v>44345.791666666504</v>
      </c>
      <c r="C71" s="199"/>
      <c r="D71" s="200"/>
      <c r="E71" s="113">
        <f ca="1">TblConstr[[#This Row],[Land]]</f>
        <v>250</v>
      </c>
      <c r="F71" s="113">
        <f ca="1">TblPop[[#This Row],[Peasants]]</f>
        <v>1537</v>
      </c>
      <c r="G71" s="113">
        <f ca="1">TblMili[[#This Row],[Networth (2)]]</f>
        <v>6455</v>
      </c>
      <c r="H71" s="113">
        <f ca="1">OFFSET(TblProd[[#This Row],[Platinum]],-1,0)+OFFSET(TblProd[[#This Row],[Plat/hr]],-1,0) - TblProd[[#This Row],[Expenses Platinum]] + IF(TblProd[[#This Row],[Plat Bonus]],TblPop[[#This Row],[Peasants]]*4) + SUM(TblConstr[[#This Row],[Dest Hom]:[Dest Doc]])*TblConstr[[#This Row],[CPA Platinum -DB]]*tech_3_3_2*TblTech[[#This Row],[3-3]]</f>
        <v>468266</v>
      </c>
      <c r="I71" s="113">
        <f ca="1">OFFSET(TblProd[[#This Row],[Food]],-1,0)+OFFSET(TblProd[[#This Row],[Food/hr]],-1,0)+ROUNDUP((TblConstr[[#This Row],[Farms]]*80+TblConstr[[#This Row],[Docks]]*35)*(1+OFFSET(TblProd[[#This Row],[Bonus Food/hr]],-1,0)),0)</f>
        <v>105908</v>
      </c>
      <c r="J71" s="113">
        <f ca="1">OFFSET(TblProd[[#This Row],[Lumber]],-1,0)+OFFSET(TblProd[[#This Row],[Lumber/hr]],-1,0) - TblProd[[#This Row],[Expenses Lumber]] + SUM(TblConstr[[#This Row],[Dest Hom]:[Dest Doc]])*TblConstr[[#This Row],[CPA Lumber -DB]]*tech_3_3_2*TblTech[[#This Row],[3-3]]</f>
        <v>56609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Row],[Techpoints]],-1,0)+(1+research_bonus)*(26*MIN((TblConstr[[#This Row],[Tot Sch]]/(TblProd[[#This Row],[Land]]-TblExplore[[#This Row],[Land Bonus]]*20))*100,40))-TblProd[[#This Row],[Required]]*TblTech[[#This Row],[…]],0) + IF(TblProd[[#This Row],[Plat Bonus]]&lt;&gt;"",750,0)</f>
        <v>0</v>
      </c>
      <c r="Q71" s="113">
        <v>10000</v>
      </c>
      <c r="R71" s="184"/>
      <c r="S71" s="113">
        <f ca="1">ROUNDDOWN(TblProd[[#This Row],[Raw Plat/hr]]*(1+TblProd[[#This Row],[Bonus Plat/hr]]),0)</f>
        <v>5499</v>
      </c>
      <c r="T71" s="113">
        <f ca="1">ROUND(TblProd[[#This Row],[Raw Food/hr]]*(1+TblProd[[#This Row],[Bonus Food/hr]])-TblProd[[#This Row],[Food decay]]-TblProd[[#This Row],[Food eaten]],0)</f>
        <v>925</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5499.9000000000005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1059.08</v>
      </c>
      <c r="AP71" s="113">
        <f ca="1">(1+race_food_consumption)*TblPop[[#This Row],[Total]]*food_per_person*(1+tech_1_10*TblTech[[#This Row],[1-10]]+tech_7_5*TblTech[[#This Row],[7-5]])</f>
        <v>595.75</v>
      </c>
      <c r="AQ71" s="113">
        <f ca="1">TblProd[[#This Row],[Lumber]]*lumber_rot * (1 + tech_2_1*TblTech[[#This Row],[2-1]] + tech_2_8*TblTech[[#This Row],[2-8]] + tech_5_2*TblTech[[#This Row],[5-2]])</f>
        <v>566.09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44345.791666666504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468266</v>
      </c>
      <c r="BJ71" s="113">
        <f ca="1">TblProd[[#This Row],[Food]]</f>
        <v>105908</v>
      </c>
      <c r="BK71" s="113">
        <f ca="1">TblProd[[#This Row],[Lumber]]</f>
        <v>56609</v>
      </c>
      <c r="BL71" s="113">
        <f ca="1">TblProd[[#This Row],[Mana]]</f>
        <v>0</v>
      </c>
      <c r="BM71" s="113">
        <f ca="1">TblProd[[#This Row],[Ore]]</f>
        <v>0</v>
      </c>
    </row>
    <row r="72" spans="1:65" x14ac:dyDescent="0.2">
      <c r="A72" s="178">
        <v>69</v>
      </c>
      <c r="B72" s="198">
        <f ca="1">TblImps[[#This Row],[Time]]</f>
        <v>44345.833333333168</v>
      </c>
      <c r="C72" s="199"/>
      <c r="D72" s="200"/>
      <c r="E72" s="113">
        <f ca="1">TblConstr[[#This Row],[Land]]</f>
        <v>250</v>
      </c>
      <c r="F72" s="113">
        <f ca="1">TblPop[[#This Row],[Peasants]]</f>
        <v>1537</v>
      </c>
      <c r="G72" s="113">
        <f ca="1">TblMili[[#This Row],[Networth (2)]]</f>
        <v>6455</v>
      </c>
      <c r="H72" s="113">
        <f ca="1">OFFSET(TblProd[[#This Row],[Platinum]],-1,0)+OFFSET(TblProd[[#This Row],[Plat/hr]],-1,0) - TblProd[[#This Row],[Expenses Platinum]] + IF(TblProd[[#This Row],[Plat Bonus]],TblPop[[#This Row],[Peasants]]*4) + SUM(TblConstr[[#This Row],[Dest Hom]:[Dest Doc]])*TblConstr[[#This Row],[CPA Platinum -DB]]*tech_3_3_2*TblTech[[#This Row],[3-3]]</f>
        <v>473765</v>
      </c>
      <c r="I72" s="113">
        <f ca="1">OFFSET(TblProd[[#This Row],[Food]],-1,0)+OFFSET(TblProd[[#This Row],[Food/hr]],-1,0)+ROUNDUP((TblConstr[[#This Row],[Farms]]*80+TblConstr[[#This Row],[Docks]]*35)*(1+OFFSET(TblProd[[#This Row],[Bonus Food/hr]],-1,0)),0)</f>
        <v>106833</v>
      </c>
      <c r="J72" s="113">
        <f ca="1">OFFSET(TblProd[[#This Row],[Lumber]],-1,0)+OFFSET(TblProd[[#This Row],[Lumber/hr]],-1,0) - TblProd[[#This Row],[Expenses Lumber]] + SUM(TblConstr[[#This Row],[Dest Hom]:[Dest Doc]])*TblConstr[[#This Row],[CPA Lumber -DB]]*tech_3_3_2*TblTech[[#This Row],[3-3]]</f>
        <v>57043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Row],[Techpoints]],-1,0)+(1+research_bonus)*(26*MIN((TblConstr[[#This Row],[Tot Sch]]/(TblProd[[#This Row],[Land]]-TblExplore[[#This Row],[Land Bonus]]*20))*100,40))-TblProd[[#This Row],[Required]]*TblTech[[#This Row],[…]],0) + IF(TblProd[[#This Row],[Plat Bonus]]&lt;&gt;"",750,0)</f>
        <v>0</v>
      </c>
      <c r="Q72" s="113">
        <v>10000</v>
      </c>
      <c r="R72" s="184"/>
      <c r="S72" s="113">
        <f ca="1">ROUNDDOWN(TblProd[[#This Row],[Raw Plat/hr]]*(1+TblProd[[#This Row],[Bonus Plat/hr]]),0)</f>
        <v>5499</v>
      </c>
      <c r="T72" s="113">
        <f ca="1">ROUND(TblProd[[#This Row],[Raw Food/hr]]*(1+TblProd[[#This Row],[Bonus Food/hr]])-TblProd[[#This Row],[Food decay]]-TblProd[[#This Row],[Food eaten]],0)</f>
        <v>916</v>
      </c>
      <c r="U72" s="113">
        <f ca="1">ROUND(TblProd[[#This Row],[Raw Lumber/hr]]*(1+TblProd[[#This Row],[Bonus Lumber/hr]])-TblProd[[#This Row],[Lumber rot]],0)</f>
        <v>430</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5499.9000000000005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1068.33</v>
      </c>
      <c r="AP72" s="113">
        <f ca="1">(1+race_food_consumption)*TblPop[[#This Row],[Total]]*food_per_person*(1+tech_1_10*TblTech[[#This Row],[1-10]]+tech_7_5*TblTech[[#This Row],[7-5]])</f>
        <v>595.75</v>
      </c>
      <c r="AQ72" s="113">
        <f ca="1">TblProd[[#This Row],[Lumber]]*lumber_rot * (1 + tech_2_1*TblTech[[#This Row],[2-1]] + tech_2_8*TblTech[[#This Row],[2-8]] + tech_5_2*TblTech[[#This Row],[5-2]])</f>
        <v>570.43000000000006</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44345.833333333168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473765</v>
      </c>
      <c r="BJ72" s="113">
        <f ca="1">TblProd[[#This Row],[Food]]</f>
        <v>106833</v>
      </c>
      <c r="BK72" s="113">
        <f ca="1">TblProd[[#This Row],[Lumber]]</f>
        <v>57043</v>
      </c>
      <c r="BL72" s="113">
        <f ca="1">TblProd[[#This Row],[Mana]]</f>
        <v>0</v>
      </c>
      <c r="BM72" s="113">
        <f ca="1">TblProd[[#This Row],[Ore]]</f>
        <v>0</v>
      </c>
    </row>
    <row r="73" spans="1:65" x14ac:dyDescent="0.2">
      <c r="A73" s="178">
        <v>70</v>
      </c>
      <c r="B73" s="198">
        <f ca="1">TblImps[[#This Row],[Time]]</f>
        <v>44345.874999999833</v>
      </c>
      <c r="C73" s="199"/>
      <c r="D73" s="200"/>
      <c r="E73" s="113">
        <f ca="1">TblConstr[[#This Row],[Land]]</f>
        <v>250</v>
      </c>
      <c r="F73" s="113">
        <f ca="1">TblPop[[#This Row],[Peasants]]</f>
        <v>1537</v>
      </c>
      <c r="G73" s="113">
        <f ca="1">TblMili[[#This Row],[Networth (2)]]</f>
        <v>6455</v>
      </c>
      <c r="H73" s="113">
        <f ca="1">OFFSET(TblProd[[#This Row],[Platinum]],-1,0)+OFFSET(TblProd[[#This Row],[Plat/hr]],-1,0) - TblProd[[#This Row],[Expenses Platinum]] + IF(TblProd[[#This Row],[Plat Bonus]],TblPop[[#This Row],[Peasants]]*4) + SUM(TblConstr[[#This Row],[Dest Hom]:[Dest Doc]])*TblConstr[[#This Row],[CPA Platinum -DB]]*tech_3_3_2*TblTech[[#This Row],[3-3]]</f>
        <v>479264</v>
      </c>
      <c r="I73" s="113">
        <f ca="1">OFFSET(TblProd[[#This Row],[Food]],-1,0)+OFFSET(TblProd[[#This Row],[Food/hr]],-1,0)+ROUNDUP((TblConstr[[#This Row],[Farms]]*80+TblConstr[[#This Row],[Docks]]*35)*(1+OFFSET(TblProd[[#This Row],[Bonus Food/hr]],-1,0)),0)</f>
        <v>107749</v>
      </c>
      <c r="J73" s="113">
        <f ca="1">OFFSET(TblProd[[#This Row],[Lumber]],-1,0)+OFFSET(TblProd[[#This Row],[Lumber/hr]],-1,0) - TblProd[[#This Row],[Expenses Lumber]] + SUM(TblConstr[[#This Row],[Dest Hom]:[Dest Doc]])*TblConstr[[#This Row],[CPA Lumber -DB]]*tech_3_3_2*TblTech[[#This Row],[3-3]]</f>
        <v>57473</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Row],[Techpoints]],-1,0)+(1+research_bonus)*(26*MIN((TblConstr[[#This Row],[Tot Sch]]/(TblProd[[#This Row],[Land]]-TblExplore[[#This Row],[Land Bonus]]*20))*100,40))-TblProd[[#This Row],[Required]]*TblTech[[#This Row],[…]],0) + IF(TblProd[[#This Row],[Plat Bonus]]&lt;&gt;"",750,0)</f>
        <v>0</v>
      </c>
      <c r="Q73" s="113">
        <v>10000</v>
      </c>
      <c r="R73" s="184"/>
      <c r="S73" s="113">
        <f ca="1">ROUNDDOWN(TblProd[[#This Row],[Raw Plat/hr]]*(1+TblProd[[#This Row],[Bonus Plat/hr]]),0)</f>
        <v>5499</v>
      </c>
      <c r="T73" s="113">
        <f ca="1">ROUND(TblProd[[#This Row],[Raw Food/hr]]*(1+TblProd[[#This Row],[Bonus Food/hr]])-TblProd[[#This Row],[Food decay]]-TblProd[[#This Row],[Food eaten]],0)</f>
        <v>907</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5499.9000000000005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1077.49</v>
      </c>
      <c r="AP73" s="113">
        <f ca="1">(1+race_food_consumption)*TblPop[[#This Row],[Total]]*food_per_person*(1+tech_1_10*TblTech[[#This Row],[1-10]]+tech_7_5*TblTech[[#This Row],[7-5]])</f>
        <v>595.75</v>
      </c>
      <c r="AQ73" s="113">
        <f ca="1">TblProd[[#This Row],[Lumber]]*lumber_rot * (1 + tech_2_1*TblTech[[#This Row],[2-1]] + tech_2_8*TblTech[[#This Row],[2-8]] + tech_5_2*TblTech[[#This Row],[5-2]])</f>
        <v>574.73</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44345.874999999833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479264</v>
      </c>
      <c r="BJ73" s="113">
        <f ca="1">TblProd[[#This Row],[Food]]</f>
        <v>107749</v>
      </c>
      <c r="BK73" s="113">
        <f ca="1">TblProd[[#This Row],[Lumber]]</f>
        <v>57473</v>
      </c>
      <c r="BL73" s="113">
        <f ca="1">TblProd[[#This Row],[Mana]]</f>
        <v>0</v>
      </c>
      <c r="BM73" s="113">
        <f ca="1">TblProd[[#This Row],[Ore]]</f>
        <v>0</v>
      </c>
    </row>
    <row r="74" spans="1:65" x14ac:dyDescent="0.2">
      <c r="A74" s="178">
        <v>71</v>
      </c>
      <c r="B74" s="198">
        <f ca="1">TblImps[[#This Row],[Time]]</f>
        <v>44345.916666666497</v>
      </c>
      <c r="C74" s="199"/>
      <c r="D74" s="200"/>
      <c r="E74" s="113">
        <f ca="1">TblConstr[[#This Row],[Land]]</f>
        <v>250</v>
      </c>
      <c r="F74" s="113">
        <f ca="1">TblPop[[#This Row],[Peasants]]</f>
        <v>1537</v>
      </c>
      <c r="G74" s="113">
        <f ca="1">TblMili[[#This Row],[Networth (2)]]</f>
        <v>6455</v>
      </c>
      <c r="H74" s="113">
        <f ca="1">OFFSET(TblProd[[#This Row],[Platinum]],-1,0)+OFFSET(TblProd[[#This Row],[Plat/hr]],-1,0) - TblProd[[#This Row],[Expenses Platinum]] + IF(TblProd[[#This Row],[Plat Bonus]],TblPop[[#This Row],[Peasants]]*4) + SUM(TblConstr[[#This Row],[Dest Hom]:[Dest Doc]])*TblConstr[[#This Row],[CPA Platinum -DB]]*tech_3_3_2*TblTech[[#This Row],[3-3]]</f>
        <v>484763</v>
      </c>
      <c r="I74" s="113">
        <f ca="1">OFFSET(TblProd[[#This Row],[Food]],-1,0)+OFFSET(TblProd[[#This Row],[Food/hr]],-1,0)+ROUNDUP((TblConstr[[#This Row],[Farms]]*80+TblConstr[[#This Row],[Docks]]*35)*(1+OFFSET(TblProd[[#This Row],[Bonus Food/hr]],-1,0)),0)</f>
        <v>108656</v>
      </c>
      <c r="J74" s="113">
        <f ca="1">OFFSET(TblProd[[#This Row],[Lumber]],-1,0)+OFFSET(TblProd[[#This Row],[Lumber/hr]],-1,0) - TblProd[[#This Row],[Expenses Lumber]] + SUM(TblConstr[[#This Row],[Dest Hom]:[Dest Doc]])*TblConstr[[#This Row],[CPA Lumber -DB]]*tech_3_3_2*TblTech[[#This Row],[3-3]]</f>
        <v>57898</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Row],[Techpoints]],-1,0)+(1+research_bonus)*(26*MIN((TblConstr[[#This Row],[Tot Sch]]/(TblProd[[#This Row],[Land]]-TblExplore[[#This Row],[Land Bonus]]*20))*100,40))-TblProd[[#This Row],[Required]]*TblTech[[#This Row],[…]],0) + IF(TblProd[[#This Row],[Plat Bonus]]&lt;&gt;"",750,0)</f>
        <v>0</v>
      </c>
      <c r="Q74" s="113">
        <v>10000</v>
      </c>
      <c r="R74" s="184"/>
      <c r="S74" s="113">
        <f ca="1">ROUNDDOWN(TblProd[[#This Row],[Raw Plat/hr]]*(1+TblProd[[#This Row],[Bonus Plat/hr]]),0)</f>
        <v>5499</v>
      </c>
      <c r="T74" s="113">
        <f ca="1">ROUND(TblProd[[#This Row],[Raw Food/hr]]*(1+TblProd[[#This Row],[Bonus Food/hr]])-TblProd[[#This Row],[Food decay]]-TblProd[[#This Row],[Food eaten]],0)</f>
        <v>898</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5499.9000000000005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1086.56</v>
      </c>
      <c r="AP74" s="113">
        <f ca="1">(1+race_food_consumption)*TblPop[[#This Row],[Total]]*food_per_person*(1+tech_1_10*TblTech[[#This Row],[1-10]]+tech_7_5*TblTech[[#This Row],[7-5]])</f>
        <v>595.75</v>
      </c>
      <c r="AQ74" s="113">
        <f ca="1">TblProd[[#This Row],[Lumber]]*lumber_rot * (1 + tech_2_1*TblTech[[#This Row],[2-1]] + tech_2_8*TblTech[[#This Row],[2-8]] + tech_5_2*TblTech[[#This Row],[5-2]])</f>
        <v>578.98</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44345.916666666497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484763</v>
      </c>
      <c r="BJ74" s="113">
        <f ca="1">TblProd[[#This Row],[Food]]</f>
        <v>108656</v>
      </c>
      <c r="BK74" s="113">
        <f ca="1">TblProd[[#This Row],[Lumber]]</f>
        <v>57898</v>
      </c>
      <c r="BL74" s="113">
        <f ca="1">TblProd[[#This Row],[Mana]]</f>
        <v>0</v>
      </c>
      <c r="BM74" s="113">
        <f ca="1">TblProd[[#This Row],[Ore]]</f>
        <v>0</v>
      </c>
    </row>
    <row r="75" spans="1:65" x14ac:dyDescent="0.2">
      <c r="A75" s="178">
        <v>72</v>
      </c>
      <c r="B75" s="198">
        <f ca="1">TblImps[[#This Row],[Time]]</f>
        <v>44345.958333333161</v>
      </c>
      <c r="C75" s="199"/>
      <c r="D75" s="200"/>
      <c r="E75" s="113">
        <f ca="1">TblConstr[[#This Row],[Land]]</f>
        <v>250</v>
      </c>
      <c r="F75" s="113">
        <f ca="1">TblPop[[#This Row],[Peasants]]</f>
        <v>1537</v>
      </c>
      <c r="G75" s="113">
        <f ca="1">TblMili[[#This Row],[Networth (2)]]</f>
        <v>6455</v>
      </c>
      <c r="H75" s="113">
        <f ca="1">OFFSET(TblProd[[#This Row],[Platinum]],-1,0)+OFFSET(TblProd[[#This Row],[Plat/hr]],-1,0) - TblProd[[#This Row],[Expenses Platinum]] + IF(TblProd[[#This Row],[Plat Bonus]],TblPop[[#This Row],[Peasants]]*4) + SUM(TblConstr[[#This Row],[Dest Hom]:[Dest Doc]])*TblConstr[[#This Row],[CPA Platinum -DB]]*tech_3_3_2*TblTech[[#This Row],[3-3]]</f>
        <v>490262</v>
      </c>
      <c r="I75" s="113">
        <f ca="1">OFFSET(TblProd[[#This Row],[Food]],-1,0)+OFFSET(TblProd[[#This Row],[Food/hr]],-1,0)+ROUNDUP((TblConstr[[#This Row],[Farms]]*80+TblConstr[[#This Row],[Docks]]*35)*(1+OFFSET(TblProd[[#This Row],[Bonus Food/hr]],-1,0)),0)</f>
        <v>109554</v>
      </c>
      <c r="J75" s="113">
        <f ca="1">OFFSET(TblProd[[#This Row],[Lumber]],-1,0)+OFFSET(TblProd[[#This Row],[Lumber/hr]],-1,0) - TblProd[[#This Row],[Expenses Lumber]] + SUM(TblConstr[[#This Row],[Dest Hom]:[Dest Doc]])*TblConstr[[#This Row],[CPA Lumber -DB]]*tech_3_3_2*TblTech[[#This Row],[3-3]]</f>
        <v>58319</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Row],[Techpoints]],-1,0)+(1+research_bonus)*(26*MIN((TblConstr[[#This Row],[Tot Sch]]/(TblProd[[#This Row],[Land]]-TblExplore[[#This Row],[Land Bonus]]*20))*100,40))-TblProd[[#This Row],[Required]]*TblTech[[#This Row],[…]],0) + IF(TblProd[[#This Row],[Plat Bonus]]&lt;&gt;"",750,0)</f>
        <v>0</v>
      </c>
      <c r="Q75" s="113">
        <v>10000</v>
      </c>
      <c r="R75" s="184"/>
      <c r="S75" s="113">
        <f ca="1">ROUNDDOWN(TblProd[[#This Row],[Raw Plat/hr]]*(1+TblProd[[#This Row],[Bonus Plat/hr]]),0)</f>
        <v>5499</v>
      </c>
      <c r="T75" s="113">
        <f ca="1">ROUND(TblProd[[#This Row],[Raw Food/hr]]*(1+TblProd[[#This Row],[Bonus Food/hr]])-TblProd[[#This Row],[Food decay]]-TblProd[[#This Row],[Food eaten]],0)</f>
        <v>889</v>
      </c>
      <c r="U75" s="113">
        <f ca="1">ROUND(TblProd[[#This Row],[Raw Lumber/hr]]*(1+TblProd[[#This Row],[Bonus Lumber/hr]])-TblProd[[#This Row],[Lumber rot]],0)</f>
        <v>417</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5499.9000000000005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1095.54</v>
      </c>
      <c r="AP75" s="113">
        <f ca="1">(1+race_food_consumption)*TblPop[[#This Row],[Total]]*food_per_person*(1+tech_1_10*TblTech[[#This Row],[1-10]]+tech_7_5*TblTech[[#This Row],[7-5]])</f>
        <v>595.75</v>
      </c>
      <c r="AQ75" s="113">
        <f ca="1">TblProd[[#This Row],[Lumber]]*lumber_rot * (1 + tech_2_1*TblTech[[#This Row],[2-1]] + tech_2_8*TblTech[[#This Row],[2-8]] + tech_5_2*TblTech[[#This Row],[5-2]])</f>
        <v>583.19000000000005</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44345.958333333161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490262</v>
      </c>
      <c r="BJ75" s="113">
        <f ca="1">TblProd[[#This Row],[Food]]</f>
        <v>109554</v>
      </c>
      <c r="BK75" s="113">
        <f ca="1">TblProd[[#This Row],[Lumber]]</f>
        <v>58319</v>
      </c>
      <c r="BL75" s="113">
        <f ca="1">TblProd[[#This Row],[Mana]]</f>
        <v>0</v>
      </c>
      <c r="BM75" s="113">
        <f ca="1">TblProd[[#This Row],[Ore]]</f>
        <v>0</v>
      </c>
    </row>
    <row r="76" spans="1:65" s="90" customFormat="1" x14ac:dyDescent="0.2">
      <c r="A76" s="186" t="s">
        <v>241</v>
      </c>
      <c r="B76" s="210">
        <f ca="1">TblImps[[#This Row],[Time]]</f>
        <v>44345.999999999825</v>
      </c>
      <c r="C76" s="211"/>
      <c r="D76" s="212"/>
      <c r="E76" s="188">
        <f ca="1">TblConstr[[#This Row],[Land]]</f>
        <v>250</v>
      </c>
      <c r="F76" s="188">
        <f ca="1">TblPop[[#This Row],[Peasants]]</f>
        <v>1537</v>
      </c>
      <c r="G76" s="188">
        <f ca="1">TblMili[[#This Row],[Networth (2)]]</f>
        <v>6455</v>
      </c>
      <c r="H76" s="188">
        <f ca="1">OFFSET(TblProd[[#This Row],[Platinum]],-1,0)+OFFSET(TblProd[[#This Row],[Plat/hr]],-1,0) - TblProd[[#This Row],[Expenses Platinum]] + IF(TblProd[[#This Row],[Plat Bonus]],TblPop[[#This Row],[Peasants]]*4) + SUM(TblConstr[[#This Row],[Dest Hom]:[Dest Doc]])*TblConstr[[#This Row],[CPA Platinum -DB]]*tech_3_3_2*TblTech[[#This Row],[3-3]]</f>
        <v>495761</v>
      </c>
      <c r="I76" s="188">
        <f ca="1">OFFSET(TblProd[[#This Row],[Food]],-1,0)+OFFSET(TblProd[[#This Row],[Food/hr]],-1,0)+ROUNDUP((TblConstr[[#This Row],[Farms]]*80+TblConstr[[#This Row],[Docks]]*35)*(1+OFFSET(TblProd[[#This Row],[Bonus Food/hr]],-1,0)),0)</f>
        <v>110443</v>
      </c>
      <c r="J76" s="188">
        <f ca="1">OFFSET(TblProd[[#This Row],[Lumber]],-1,0)+OFFSET(TblProd[[#This Row],[Lumber/hr]],-1,0) - TblProd[[#This Row],[Expenses Lumber]] + SUM(TblConstr[[#This Row],[Dest Hom]:[Dest Doc]])*TblConstr[[#This Row],[CPA Lumber -DB]]*tech_3_3_2*TblTech[[#This Row],[3-3]]</f>
        <v>58736</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Row],[Techpoints]],-1,0)+(1+research_bonus)*(26*MIN((TblConstr[[#This Row],[Tot Sch]]/(TblProd[[#This Row],[Land]]-TblExplore[[#This Row],[Land Bonus]]*20))*100,40))-TblProd[[#This Row],[Required]]*TblTech[[#This Row],[…]],0) + IF(TblProd[[#This Row],[Plat Bonus]]&lt;&gt;"",750,0)</f>
        <v>0</v>
      </c>
      <c r="Q76" s="188">
        <v>10000</v>
      </c>
      <c r="S76" s="188">
        <f ca="1">ROUNDDOWN(TblProd[[#This Row],[Raw Plat/hr]]*(1+TblProd[[#This Row],[Bonus Plat/hr]]),0)</f>
        <v>5499</v>
      </c>
      <c r="T76" s="188">
        <f ca="1">ROUND(TblProd[[#This Row],[Raw Food/hr]]*(1+TblProd[[#This Row],[Bonus Food/hr]])-TblProd[[#This Row],[Food decay]]-TblProd[[#This Row],[Food eaten]],0)</f>
        <v>880</v>
      </c>
      <c r="U76" s="188">
        <f ca="1">ROUND(TblProd[[#This Row],[Raw Lumber/hr]]*(1+TblProd[[#This Row],[Bonus Lumber/hr]])-TblProd[[#This Row],[Lumber rot]],0)</f>
        <v>413</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5499.9000000000005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1104.43</v>
      </c>
      <c r="AP76" s="188">
        <f ca="1">(1+race_food_consumption)*TblPop[[#This Row],[Total]]*food_per_person*(1+tech_1_10*TblTech[[#This Row],[1-10]]+tech_7_5*TblTech[[#This Row],[7-5]])</f>
        <v>595.75</v>
      </c>
      <c r="AQ76" s="188">
        <f ca="1">TblProd[[#This Row],[Lumber]]*lumber_rot * (1 + tech_2_1*TblTech[[#This Row],[2-1]] + tech_2_8*TblTech[[#This Row],[2-8]] + tech_5_2*TblTech[[#This Row],[5-2]])</f>
        <v>587.36</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44345.999999999825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495761</v>
      </c>
      <c r="BJ76" s="188">
        <f ca="1">TblProd[[#This Row],[Food]]</f>
        <v>110443</v>
      </c>
      <c r="BK76" s="188">
        <f ca="1">TblProd[[#This Row],[Lumber]]</f>
        <v>58736</v>
      </c>
      <c r="BL76" s="188">
        <f ca="1">TblProd[[#This Row],[Mana]]</f>
        <v>0</v>
      </c>
      <c r="BM76" s="188">
        <f ca="1">TblProd[[#This Row],[Ore]]</f>
        <v>0</v>
      </c>
    </row>
    <row r="77" spans="1:65" x14ac:dyDescent="0.2">
      <c r="A77" s="178">
        <v>2</v>
      </c>
      <c r="B77" s="198">
        <f ca="1">TblImps[[#This Row],[Time]]</f>
        <v>44346.04166666649</v>
      </c>
      <c r="C77" s="199"/>
      <c r="D77" s="200"/>
      <c r="E77" s="113">
        <f ca="1">TblConstr[[#This Row],[Land]]</f>
        <v>250</v>
      </c>
      <c r="F77" s="113">
        <f ca="1">TblPop[[#This Row],[Peasants]]</f>
        <v>1537</v>
      </c>
      <c r="G77" s="113">
        <f ca="1">TblMili[[#This Row],[Networth (2)]]</f>
        <v>6455</v>
      </c>
      <c r="H77" s="113">
        <f ca="1">OFFSET(TblProd[[#This Row],[Platinum]],-1,0)+OFFSET(TblProd[[#This Row],[Plat/hr]],-1,0) - TblProd[[#This Row],[Expenses Platinum]] + IF(TblProd[[#This Row],[Plat Bonus]],TblPop[[#This Row],[Peasants]]*4) + SUM(TblConstr[[#This Row],[Dest Hom]:[Dest Doc]])*TblConstr[[#This Row],[CPA Platinum -DB]]*tech_3_3_2*TblTech[[#This Row],[3-3]]</f>
        <v>501260</v>
      </c>
      <c r="I77" s="113">
        <f ca="1">OFFSET(TblProd[[#This Row],[Food]],-1,0)+OFFSET(TblProd[[#This Row],[Food/hr]],-1,0)+ROUNDUP((TblConstr[[#This Row],[Farms]]*80+TblConstr[[#This Row],[Docks]]*35)*(1+OFFSET(TblProd[[#This Row],[Bonus Food/hr]],-1,0)),0)</f>
        <v>111323</v>
      </c>
      <c r="J77" s="113">
        <f ca="1">OFFSET(TblProd[[#This Row],[Lumber]],-1,0)+OFFSET(TblProd[[#This Row],[Lumber/hr]],-1,0) - TblProd[[#This Row],[Expenses Lumber]] + SUM(TblConstr[[#This Row],[Dest Hom]:[Dest Doc]])*TblConstr[[#This Row],[CPA Lumber -DB]]*tech_3_3_2*TblTech[[#This Row],[3-3]]</f>
        <v>59149</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Row],[Techpoints]],-1,0)+(1+research_bonus)*(26*MIN((TblConstr[[#This Row],[Tot Sch]]/(TblProd[[#This Row],[Land]]-TblExplore[[#This Row],[Land Bonus]]*20))*100,40))-TblProd[[#This Row],[Required]]*TblTech[[#This Row],[…]],0) + IF(TblProd[[#This Row],[Plat Bonus]]&lt;&gt;"",750,0)</f>
        <v>0</v>
      </c>
      <c r="Q77" s="113">
        <v>10000</v>
      </c>
      <c r="R77" s="184"/>
      <c r="S77" s="113">
        <f ca="1">ROUNDDOWN(TblProd[[#This Row],[Raw Plat/hr]]*(1+TblProd[[#This Row],[Bonus Plat/hr]]),0)</f>
        <v>5499</v>
      </c>
      <c r="T77" s="113">
        <f ca="1">ROUND(TblProd[[#This Row],[Raw Food/hr]]*(1+TblProd[[#This Row],[Bonus Food/hr]])-TblProd[[#This Row],[Food decay]]-TblProd[[#This Row],[Food eaten]],0)</f>
        <v>871</v>
      </c>
      <c r="U77" s="113">
        <f ca="1">ROUND(TblProd[[#This Row],[Raw Lumber/hr]]*(1+TblProd[[#This Row],[Bonus Lumber/hr]])-TblProd[[#This Row],[Lumber rot]],0)</f>
        <v>409</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5499.9000000000005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1113.23</v>
      </c>
      <c r="AP77" s="113">
        <f ca="1">(1+race_food_consumption)*TblPop[[#This Row],[Total]]*food_per_person*(1+tech_1_10*TblTech[[#This Row],[1-10]]+tech_7_5*TblTech[[#This Row],[7-5]])</f>
        <v>595.75</v>
      </c>
      <c r="AQ77" s="113">
        <f ca="1">TblProd[[#This Row],[Lumber]]*lumber_rot * (1 + tech_2_1*TblTech[[#This Row],[2-1]] + tech_2_8*TblTech[[#This Row],[2-8]] + tech_5_2*TblTech[[#This Row],[5-2]])</f>
        <v>591.49</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44346.04166666649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501260</v>
      </c>
      <c r="BJ77" s="113">
        <f ca="1">TblProd[[#This Row],[Food]]</f>
        <v>111323</v>
      </c>
      <c r="BK77" s="113">
        <f ca="1">TblProd[[#This Row],[Lumber]]</f>
        <v>59149</v>
      </c>
      <c r="BL77" s="113">
        <f ca="1">TblProd[[#This Row],[Mana]]</f>
        <v>0</v>
      </c>
      <c r="BM77" s="113">
        <f ca="1">TblProd[[#This Row],[Ore]]</f>
        <v>0</v>
      </c>
    </row>
    <row r="78" spans="1:65" x14ac:dyDescent="0.2">
      <c r="A78" s="178">
        <v>3</v>
      </c>
      <c r="B78" s="198">
        <f ca="1">TblImps[[#This Row],[Time]]</f>
        <v>44346.083333333154</v>
      </c>
      <c r="C78" s="199"/>
      <c r="D78" s="200"/>
      <c r="E78" s="113">
        <f ca="1">TblConstr[[#This Row],[Land]]</f>
        <v>250</v>
      </c>
      <c r="F78" s="113">
        <f ca="1">TblPop[[#This Row],[Peasants]]</f>
        <v>1537</v>
      </c>
      <c r="G78" s="113">
        <f ca="1">TblMili[[#This Row],[Networth (2)]]</f>
        <v>6455</v>
      </c>
      <c r="H78" s="113">
        <f ca="1">OFFSET(TblProd[[#This Row],[Platinum]],-1,0)+OFFSET(TblProd[[#This Row],[Plat/hr]],-1,0) - TblProd[[#This Row],[Expenses Platinum]] + IF(TblProd[[#This Row],[Plat Bonus]],TblPop[[#This Row],[Peasants]]*4) + SUM(TblConstr[[#This Row],[Dest Hom]:[Dest Doc]])*TblConstr[[#This Row],[CPA Platinum -DB]]*tech_3_3_2*TblTech[[#This Row],[3-3]]</f>
        <v>506759</v>
      </c>
      <c r="I78" s="113">
        <f ca="1">OFFSET(TblProd[[#This Row],[Food]],-1,0)+OFFSET(TblProd[[#This Row],[Food/hr]],-1,0)+ROUNDUP((TblConstr[[#This Row],[Farms]]*80+TblConstr[[#This Row],[Docks]]*35)*(1+OFFSET(TblProd[[#This Row],[Bonus Food/hr]],-1,0)),0)</f>
        <v>112194</v>
      </c>
      <c r="J78" s="113">
        <f ca="1">OFFSET(TblProd[[#This Row],[Lumber]],-1,0)+OFFSET(TblProd[[#This Row],[Lumber/hr]],-1,0) - TblProd[[#This Row],[Expenses Lumber]] + SUM(TblConstr[[#This Row],[Dest Hom]:[Dest Doc]])*TblConstr[[#This Row],[CPA Lumber -DB]]*tech_3_3_2*TblTech[[#This Row],[3-3]]</f>
        <v>59558</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Row],[Techpoints]],-1,0)+(1+research_bonus)*(26*MIN((TblConstr[[#This Row],[Tot Sch]]/(TblProd[[#This Row],[Land]]-TblExplore[[#This Row],[Land Bonus]]*20))*100,40))-TblProd[[#This Row],[Required]]*TblTech[[#This Row],[…]],0) + IF(TblProd[[#This Row],[Plat Bonus]]&lt;&gt;"",750,0)</f>
        <v>0</v>
      </c>
      <c r="Q78" s="113">
        <v>10000</v>
      </c>
      <c r="R78" s="184"/>
      <c r="S78" s="113">
        <f ca="1">ROUNDDOWN(TblProd[[#This Row],[Raw Plat/hr]]*(1+TblProd[[#This Row],[Bonus Plat/hr]]),0)</f>
        <v>5499</v>
      </c>
      <c r="T78" s="113">
        <f ca="1">ROUND(TblProd[[#This Row],[Raw Food/hr]]*(1+TblProd[[#This Row],[Bonus Food/hr]])-TblProd[[#This Row],[Food decay]]-TblProd[[#This Row],[Food eaten]],0)</f>
        <v>862</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5499.9000000000005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1121.94</v>
      </c>
      <c r="AP78" s="113">
        <f ca="1">(1+race_food_consumption)*TblPop[[#This Row],[Total]]*food_per_person*(1+tech_1_10*TblTech[[#This Row],[1-10]]+tech_7_5*TblTech[[#This Row],[7-5]])</f>
        <v>595.75</v>
      </c>
      <c r="AQ78" s="113">
        <f ca="1">TblProd[[#This Row],[Lumber]]*lumber_rot * (1 + tech_2_1*TblTech[[#This Row],[2-1]] + tech_2_8*TblTech[[#This Row],[2-8]] + tech_5_2*TblTech[[#This Row],[5-2]])</f>
        <v>595.58000000000004</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44346.083333333154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506759</v>
      </c>
      <c r="BJ78" s="113">
        <f ca="1">TblProd[[#This Row],[Food]]</f>
        <v>112194</v>
      </c>
      <c r="BK78" s="113">
        <f ca="1">TblProd[[#This Row],[Lumber]]</f>
        <v>59558</v>
      </c>
      <c r="BL78" s="113">
        <f ca="1">TblProd[[#This Row],[Mana]]</f>
        <v>0</v>
      </c>
      <c r="BM78" s="113">
        <f ca="1">TblProd[[#This Row],[Ore]]</f>
        <v>0</v>
      </c>
    </row>
    <row r="79" spans="1:65" x14ac:dyDescent="0.2">
      <c r="A79" s="178">
        <v>4</v>
      </c>
      <c r="B79" s="198">
        <f ca="1">TblImps[[#This Row],[Time]]</f>
        <v>44346.124999999818</v>
      </c>
      <c r="C79" s="199"/>
      <c r="D79" s="200"/>
      <c r="E79" s="113">
        <f ca="1">TblConstr[[#This Row],[Land]]</f>
        <v>250</v>
      </c>
      <c r="F79" s="113">
        <f ca="1">TblPop[[#This Row],[Peasants]]</f>
        <v>1537</v>
      </c>
      <c r="G79" s="113">
        <f ca="1">TblMili[[#This Row],[Networth (2)]]</f>
        <v>6455</v>
      </c>
      <c r="H79" s="113">
        <f ca="1">OFFSET(TblProd[[#This Row],[Platinum]],-1,0)+OFFSET(TblProd[[#This Row],[Plat/hr]],-1,0) - TblProd[[#This Row],[Expenses Platinum]] + IF(TblProd[[#This Row],[Plat Bonus]],TblPop[[#This Row],[Peasants]]*4) + SUM(TblConstr[[#This Row],[Dest Hom]:[Dest Doc]])*TblConstr[[#This Row],[CPA Platinum -DB]]*tech_3_3_2*TblTech[[#This Row],[3-3]]</f>
        <v>512258</v>
      </c>
      <c r="I79" s="113">
        <f ca="1">OFFSET(TblProd[[#This Row],[Food]],-1,0)+OFFSET(TblProd[[#This Row],[Food/hr]],-1,0)+ROUNDUP((TblConstr[[#This Row],[Farms]]*80+TblConstr[[#This Row],[Docks]]*35)*(1+OFFSET(TblProd[[#This Row],[Bonus Food/hr]],-1,0)),0)</f>
        <v>113056</v>
      </c>
      <c r="J79" s="113">
        <f ca="1">OFFSET(TblProd[[#This Row],[Lumber]],-1,0)+OFFSET(TblProd[[#This Row],[Lumber/hr]],-1,0) - TblProd[[#This Row],[Expenses Lumber]] + SUM(TblConstr[[#This Row],[Dest Hom]:[Dest Doc]])*TblConstr[[#This Row],[CPA Lumber -DB]]*tech_3_3_2*TblTech[[#This Row],[3-3]]</f>
        <v>59962</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Row],[Techpoints]],-1,0)+(1+research_bonus)*(26*MIN((TblConstr[[#This Row],[Tot Sch]]/(TblProd[[#This Row],[Land]]-TblExplore[[#This Row],[Land Bonus]]*20))*100,40))-TblProd[[#This Row],[Required]]*TblTech[[#This Row],[…]],0) + IF(TblProd[[#This Row],[Plat Bonus]]&lt;&gt;"",750,0)</f>
        <v>0</v>
      </c>
      <c r="Q79" s="113">
        <v>10000</v>
      </c>
      <c r="R79" s="184"/>
      <c r="S79" s="113">
        <f ca="1">ROUNDDOWN(TblProd[[#This Row],[Raw Plat/hr]]*(1+TblProd[[#This Row],[Bonus Plat/hr]]),0)</f>
        <v>5499</v>
      </c>
      <c r="T79" s="113">
        <f ca="1">ROUND(TblProd[[#This Row],[Raw Food/hr]]*(1+TblProd[[#This Row],[Bonus Food/hr]])-TblProd[[#This Row],[Food decay]]-TblProd[[#This Row],[Food eaten]],0)</f>
        <v>854</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5499.9000000000005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1130.56</v>
      </c>
      <c r="AP79" s="113">
        <f ca="1">(1+race_food_consumption)*TblPop[[#This Row],[Total]]*food_per_person*(1+tech_1_10*TblTech[[#This Row],[1-10]]+tech_7_5*TblTech[[#This Row],[7-5]])</f>
        <v>595.75</v>
      </c>
      <c r="AQ79" s="113">
        <f ca="1">TblProd[[#This Row],[Lumber]]*lumber_rot * (1 + tech_2_1*TblTech[[#This Row],[2-1]] + tech_2_8*TblTech[[#This Row],[2-8]] + tech_5_2*TblTech[[#This Row],[5-2]])</f>
        <v>599.62</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44346.124999999818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512258</v>
      </c>
      <c r="BJ79" s="113">
        <f ca="1">TblProd[[#This Row],[Food]]</f>
        <v>113056</v>
      </c>
      <c r="BK79" s="113">
        <f ca="1">TblProd[[#This Row],[Lumber]]</f>
        <v>59962</v>
      </c>
      <c r="BL79" s="113">
        <f ca="1">TblProd[[#This Row],[Mana]]</f>
        <v>0</v>
      </c>
      <c r="BM79" s="113">
        <f ca="1">TblProd[[#This Row],[Ore]]</f>
        <v>0</v>
      </c>
    </row>
    <row r="80" spans="1:65" x14ac:dyDescent="0.2">
      <c r="A80" s="178">
        <v>5</v>
      </c>
      <c r="B80" s="198">
        <f ca="1">TblImps[[#This Row],[Time]]</f>
        <v>44346.166666666482</v>
      </c>
      <c r="C80" s="199"/>
      <c r="D80" s="200"/>
      <c r="E80" s="113">
        <f ca="1">TblConstr[[#This Row],[Land]]</f>
        <v>250</v>
      </c>
      <c r="F80" s="113">
        <f ca="1">TblPop[[#This Row],[Peasants]]</f>
        <v>1537</v>
      </c>
      <c r="G80" s="113">
        <f ca="1">TblMili[[#This Row],[Networth (2)]]</f>
        <v>6455</v>
      </c>
      <c r="H80" s="113">
        <f ca="1">OFFSET(TblProd[[#This Row],[Platinum]],-1,0)+OFFSET(TblProd[[#This Row],[Plat/hr]],-1,0) - TblProd[[#This Row],[Expenses Platinum]] + IF(TblProd[[#This Row],[Plat Bonus]],TblPop[[#This Row],[Peasants]]*4) + SUM(TblConstr[[#This Row],[Dest Hom]:[Dest Doc]])*TblConstr[[#This Row],[CPA Platinum -DB]]*tech_3_3_2*TblTech[[#This Row],[3-3]]</f>
        <v>517757</v>
      </c>
      <c r="I80" s="113">
        <f ca="1">OFFSET(TblProd[[#This Row],[Food]],-1,0)+OFFSET(TblProd[[#This Row],[Food/hr]],-1,0)+ROUNDUP((TblConstr[[#This Row],[Farms]]*80+TblConstr[[#This Row],[Docks]]*35)*(1+OFFSET(TblProd[[#This Row],[Bonus Food/hr]],-1,0)),0)</f>
        <v>113910</v>
      </c>
      <c r="J80" s="113">
        <f ca="1">OFFSET(TblProd[[#This Row],[Lumber]],-1,0)+OFFSET(TblProd[[#This Row],[Lumber/hr]],-1,0) - TblProd[[#This Row],[Expenses Lumber]] + SUM(TblConstr[[#This Row],[Dest Hom]:[Dest Doc]])*TblConstr[[#This Row],[CPA Lumber -DB]]*tech_3_3_2*TblTech[[#This Row],[3-3]]</f>
        <v>60362</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Row],[Techpoints]],-1,0)+(1+research_bonus)*(26*MIN((TblConstr[[#This Row],[Tot Sch]]/(TblProd[[#This Row],[Land]]-TblExplore[[#This Row],[Land Bonus]]*20))*100,40))-TblProd[[#This Row],[Required]]*TblTech[[#This Row],[…]],0) + IF(TblProd[[#This Row],[Plat Bonus]]&lt;&gt;"",750,0)</f>
        <v>0</v>
      </c>
      <c r="Q80" s="113">
        <v>10000</v>
      </c>
      <c r="R80" s="184"/>
      <c r="S80" s="113">
        <f ca="1">ROUNDDOWN(TblProd[[#This Row],[Raw Plat/hr]]*(1+TblProd[[#This Row],[Bonus Plat/hr]]),0)</f>
        <v>5499</v>
      </c>
      <c r="T80" s="113">
        <f ca="1">ROUND(TblProd[[#This Row],[Raw Food/hr]]*(1+TblProd[[#This Row],[Bonus Food/hr]])-TblProd[[#This Row],[Food decay]]-TblProd[[#This Row],[Food eaten]],0)</f>
        <v>845</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5499.9000000000005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1139.1000000000001</v>
      </c>
      <c r="AP80" s="113">
        <f ca="1">(1+race_food_consumption)*TblPop[[#This Row],[Total]]*food_per_person*(1+tech_1_10*TblTech[[#This Row],[1-10]]+tech_7_5*TblTech[[#This Row],[7-5]])</f>
        <v>595.75</v>
      </c>
      <c r="AQ80" s="113">
        <f ca="1">TblProd[[#This Row],[Lumber]]*lumber_rot * (1 + tech_2_1*TblTech[[#This Row],[2-1]] + tech_2_8*TblTech[[#This Row],[2-8]] + tech_5_2*TblTech[[#This Row],[5-2]])</f>
        <v>603.62</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44346.166666666482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517757</v>
      </c>
      <c r="BJ80" s="113">
        <f ca="1">TblProd[[#This Row],[Food]]</f>
        <v>113910</v>
      </c>
      <c r="BK80" s="113">
        <f ca="1">TblProd[[#This Row],[Lumber]]</f>
        <v>60362</v>
      </c>
      <c r="BL80" s="113">
        <f ca="1">TblProd[[#This Row],[Mana]]</f>
        <v>0</v>
      </c>
      <c r="BM80" s="113">
        <f ca="1">TblProd[[#This Row],[Ore]]</f>
        <v>0</v>
      </c>
    </row>
    <row r="81" spans="1:65" x14ac:dyDescent="0.2">
      <c r="A81" s="178">
        <v>6</v>
      </c>
      <c r="B81" s="198">
        <f ca="1">TblImps[[#This Row],[Time]]</f>
        <v>44346.208333333147</v>
      </c>
      <c r="C81" s="199"/>
      <c r="D81" s="200"/>
      <c r="E81" s="113">
        <f ca="1">TblConstr[[#This Row],[Land]]</f>
        <v>250</v>
      </c>
      <c r="F81" s="113">
        <f ca="1">TblPop[[#This Row],[Peasants]]</f>
        <v>1537</v>
      </c>
      <c r="G81" s="113">
        <f ca="1">TblMili[[#This Row],[Networth (2)]]</f>
        <v>6455</v>
      </c>
      <c r="H81" s="113">
        <f ca="1">OFFSET(TblProd[[#This Row],[Platinum]],-1,0)+OFFSET(TblProd[[#This Row],[Plat/hr]],-1,0) - TblProd[[#This Row],[Expenses Platinum]] + IF(TblProd[[#This Row],[Plat Bonus]],TblPop[[#This Row],[Peasants]]*4) + SUM(TblConstr[[#This Row],[Dest Hom]:[Dest Doc]])*TblConstr[[#This Row],[CPA Platinum -DB]]*tech_3_3_2*TblTech[[#This Row],[3-3]]</f>
        <v>523256</v>
      </c>
      <c r="I81" s="113">
        <f ca="1">OFFSET(TblProd[[#This Row],[Food]],-1,0)+OFFSET(TblProd[[#This Row],[Food/hr]],-1,0)+ROUNDUP((TblConstr[[#This Row],[Farms]]*80+TblConstr[[#This Row],[Docks]]*35)*(1+OFFSET(TblProd[[#This Row],[Bonus Food/hr]],-1,0)),0)</f>
        <v>114755</v>
      </c>
      <c r="J81" s="113">
        <f ca="1">OFFSET(TblProd[[#This Row],[Lumber]],-1,0)+OFFSET(TblProd[[#This Row],[Lumber/hr]],-1,0) - TblProd[[#This Row],[Expenses Lumber]] + SUM(TblConstr[[#This Row],[Dest Hom]:[Dest Doc]])*TblConstr[[#This Row],[CPA Lumber -DB]]*tech_3_3_2*TblTech[[#This Row],[3-3]]</f>
        <v>60758</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Row],[Techpoints]],-1,0)+(1+research_bonus)*(26*MIN((TblConstr[[#This Row],[Tot Sch]]/(TblProd[[#This Row],[Land]]-TblExplore[[#This Row],[Land Bonus]]*20))*100,40))-TblProd[[#This Row],[Required]]*TblTech[[#This Row],[…]],0) + IF(TblProd[[#This Row],[Plat Bonus]]&lt;&gt;"",750,0)</f>
        <v>0</v>
      </c>
      <c r="Q81" s="113">
        <v>10000</v>
      </c>
      <c r="R81" s="184"/>
      <c r="S81" s="113">
        <f ca="1">ROUNDDOWN(TblProd[[#This Row],[Raw Plat/hr]]*(1+TblProd[[#This Row],[Bonus Plat/hr]]),0)</f>
        <v>5499</v>
      </c>
      <c r="T81" s="113">
        <f ca="1">ROUND(TblProd[[#This Row],[Raw Food/hr]]*(1+TblProd[[#This Row],[Bonus Food/hr]])-TblProd[[#This Row],[Food decay]]-TblProd[[#This Row],[Food eaten]],0)</f>
        <v>837</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5499.9000000000005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1147.55</v>
      </c>
      <c r="AP81" s="113">
        <f ca="1">(1+race_food_consumption)*TblPop[[#This Row],[Total]]*food_per_person*(1+tech_1_10*TblTech[[#This Row],[1-10]]+tech_7_5*TblTech[[#This Row],[7-5]])</f>
        <v>595.75</v>
      </c>
      <c r="AQ81" s="113">
        <f ca="1">TblProd[[#This Row],[Lumber]]*lumber_rot * (1 + tech_2_1*TblTech[[#This Row],[2-1]] + tech_2_8*TblTech[[#This Row],[2-8]] + tech_5_2*TblTech[[#This Row],[5-2]])</f>
        <v>607.58000000000004</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44346.208333333147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523256</v>
      </c>
      <c r="BJ81" s="113">
        <f ca="1">TblProd[[#This Row],[Food]]</f>
        <v>114755</v>
      </c>
      <c r="BK81" s="113">
        <f ca="1">TblProd[[#This Row],[Lumber]]</f>
        <v>60758</v>
      </c>
      <c r="BL81" s="113">
        <f ca="1">TblProd[[#This Row],[Mana]]</f>
        <v>0</v>
      </c>
      <c r="BM81" s="113">
        <f ca="1">TblProd[[#This Row],[Ore]]</f>
        <v>0</v>
      </c>
    </row>
    <row r="82" spans="1:65" x14ac:dyDescent="0.2">
      <c r="A82" s="178">
        <v>7</v>
      </c>
      <c r="B82" s="198">
        <f ca="1">TblImps[[#This Row],[Time]]</f>
        <v>44346.249999999811</v>
      </c>
      <c r="C82" s="199"/>
      <c r="D82" s="200"/>
      <c r="E82" s="113">
        <f ca="1">TblConstr[[#This Row],[Land]]</f>
        <v>250</v>
      </c>
      <c r="F82" s="113">
        <f ca="1">TblPop[[#This Row],[Peasants]]</f>
        <v>1537</v>
      </c>
      <c r="G82" s="113">
        <f ca="1">TblMili[[#This Row],[Networth (2)]]</f>
        <v>6455</v>
      </c>
      <c r="H82" s="113">
        <f ca="1">OFFSET(TblProd[[#This Row],[Platinum]],-1,0)+OFFSET(TblProd[[#This Row],[Plat/hr]],-1,0) - TblProd[[#This Row],[Expenses Platinum]] + IF(TblProd[[#This Row],[Plat Bonus]],TblPop[[#This Row],[Peasants]]*4) + SUM(TblConstr[[#This Row],[Dest Hom]:[Dest Doc]])*TblConstr[[#This Row],[CPA Platinum -DB]]*tech_3_3_2*TblTech[[#This Row],[3-3]]</f>
        <v>528755</v>
      </c>
      <c r="I82" s="113">
        <f ca="1">OFFSET(TblProd[[#This Row],[Food]],-1,0)+OFFSET(TblProd[[#This Row],[Food/hr]],-1,0)+ROUNDUP((TblConstr[[#This Row],[Farms]]*80+TblConstr[[#This Row],[Docks]]*35)*(1+OFFSET(TblProd[[#This Row],[Bonus Food/hr]],-1,0)),0)</f>
        <v>115592</v>
      </c>
      <c r="J82" s="113">
        <f ca="1">OFFSET(TblProd[[#This Row],[Lumber]],-1,0)+OFFSET(TblProd[[#This Row],[Lumber/hr]],-1,0) - TblProd[[#This Row],[Expenses Lumber]] + SUM(TblConstr[[#This Row],[Dest Hom]:[Dest Doc]])*TblConstr[[#This Row],[CPA Lumber -DB]]*tech_3_3_2*TblTech[[#This Row],[3-3]]</f>
        <v>61150</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Row],[Techpoints]],-1,0)+(1+research_bonus)*(26*MIN((TblConstr[[#This Row],[Tot Sch]]/(TblProd[[#This Row],[Land]]-TblExplore[[#This Row],[Land Bonus]]*20))*100,40))-TblProd[[#This Row],[Required]]*TblTech[[#This Row],[…]],0) + IF(TblProd[[#This Row],[Plat Bonus]]&lt;&gt;"",750,0)</f>
        <v>0</v>
      </c>
      <c r="Q82" s="113">
        <v>10000</v>
      </c>
      <c r="R82" s="184"/>
      <c r="S82" s="113">
        <f ca="1">ROUNDDOWN(TblProd[[#This Row],[Raw Plat/hr]]*(1+TblProd[[#This Row],[Bonus Plat/hr]]),0)</f>
        <v>5499</v>
      </c>
      <c r="T82" s="113">
        <f ca="1">ROUND(TblProd[[#This Row],[Raw Food/hr]]*(1+TblProd[[#This Row],[Bonus Food/hr]])-TblProd[[#This Row],[Food decay]]-TblProd[[#This Row],[Food eaten]],0)</f>
        <v>828</v>
      </c>
      <c r="U82" s="113">
        <f ca="1">ROUND(TblProd[[#This Row],[Raw Lumber/hr]]*(1+TblProd[[#This Row],[Bonus Lumber/hr]])-TblProd[[#This Row],[Lumber rot]],0)</f>
        <v>389</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5499.9000000000005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1155.92</v>
      </c>
      <c r="AP82" s="113">
        <f ca="1">(1+race_food_consumption)*TblPop[[#This Row],[Total]]*food_per_person*(1+tech_1_10*TblTech[[#This Row],[1-10]]+tech_7_5*TblTech[[#This Row],[7-5]])</f>
        <v>595.75</v>
      </c>
      <c r="AQ82" s="113">
        <f ca="1">TblProd[[#This Row],[Lumber]]*lumber_rot * (1 + tech_2_1*TblTech[[#This Row],[2-1]] + tech_2_8*TblTech[[#This Row],[2-8]] + tech_5_2*TblTech[[#This Row],[5-2]])</f>
        <v>611.5</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44346.249999999811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528755</v>
      </c>
      <c r="BJ82" s="113">
        <f ca="1">TblProd[[#This Row],[Food]]</f>
        <v>115592</v>
      </c>
      <c r="BK82" s="113">
        <f ca="1">TblProd[[#This Row],[Lumber]]</f>
        <v>61150</v>
      </c>
      <c r="BL82" s="113">
        <f ca="1">TblProd[[#This Row],[Mana]]</f>
        <v>0</v>
      </c>
      <c r="BM82" s="113">
        <f ca="1">TblProd[[#This Row],[Ore]]</f>
        <v>0</v>
      </c>
    </row>
    <row r="83" spans="1:65" x14ac:dyDescent="0.2">
      <c r="A83" s="178">
        <v>8</v>
      </c>
      <c r="B83" s="198">
        <f ca="1">TblImps[[#This Row],[Time]]</f>
        <v>44346.291666666475</v>
      </c>
      <c r="C83" s="199"/>
      <c r="D83" s="200"/>
      <c r="E83" s="113">
        <f ca="1">TblConstr[[#This Row],[Land]]</f>
        <v>250</v>
      </c>
      <c r="F83" s="113">
        <f ca="1">TblPop[[#This Row],[Peasants]]</f>
        <v>1537</v>
      </c>
      <c r="G83" s="113">
        <f ca="1">TblMili[[#This Row],[Networth (2)]]</f>
        <v>6455</v>
      </c>
      <c r="H83" s="113">
        <f ca="1">OFFSET(TblProd[[#This Row],[Platinum]],-1,0)+OFFSET(TblProd[[#This Row],[Plat/hr]],-1,0) - TblProd[[#This Row],[Expenses Platinum]] + IF(TblProd[[#This Row],[Plat Bonus]],TblPop[[#This Row],[Peasants]]*4) + SUM(TblConstr[[#This Row],[Dest Hom]:[Dest Doc]])*TblConstr[[#This Row],[CPA Platinum -DB]]*tech_3_3_2*TblTech[[#This Row],[3-3]]</f>
        <v>534254</v>
      </c>
      <c r="I83" s="113">
        <f ca="1">OFFSET(TblProd[[#This Row],[Food]],-1,0)+OFFSET(TblProd[[#This Row],[Food/hr]],-1,0)+ROUNDUP((TblConstr[[#This Row],[Farms]]*80+TblConstr[[#This Row],[Docks]]*35)*(1+OFFSET(TblProd[[#This Row],[Bonus Food/hr]],-1,0)),0)</f>
        <v>116420</v>
      </c>
      <c r="J83" s="113">
        <f ca="1">OFFSET(TblProd[[#This Row],[Lumber]],-1,0)+OFFSET(TblProd[[#This Row],[Lumber/hr]],-1,0) - TblProd[[#This Row],[Expenses Lumber]] + SUM(TblConstr[[#This Row],[Dest Hom]:[Dest Doc]])*TblConstr[[#This Row],[CPA Lumber -DB]]*tech_3_3_2*TblTech[[#This Row],[3-3]]</f>
        <v>61539</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Row],[Techpoints]],-1,0)+(1+research_bonus)*(26*MIN((TblConstr[[#This Row],[Tot Sch]]/(TblProd[[#This Row],[Land]]-TblExplore[[#This Row],[Land Bonus]]*20))*100,40))-TblProd[[#This Row],[Required]]*TblTech[[#This Row],[…]],0) + IF(TblProd[[#This Row],[Plat Bonus]]&lt;&gt;"",750,0)</f>
        <v>0</v>
      </c>
      <c r="Q83" s="113">
        <v>10000</v>
      </c>
      <c r="R83" s="184"/>
      <c r="S83" s="113">
        <f ca="1">ROUNDDOWN(TblProd[[#This Row],[Raw Plat/hr]]*(1+TblProd[[#This Row],[Bonus Plat/hr]]),0)</f>
        <v>5499</v>
      </c>
      <c r="T83" s="113">
        <f ca="1">ROUND(TblProd[[#This Row],[Raw Food/hr]]*(1+TblProd[[#This Row],[Bonus Food/hr]])-TblProd[[#This Row],[Food decay]]-TblProd[[#This Row],[Food eaten]],0)</f>
        <v>820</v>
      </c>
      <c r="U83" s="113">
        <f ca="1">ROUND(TblProd[[#This Row],[Raw Lumber/hr]]*(1+TblProd[[#This Row],[Bonus Lumber/hr]])-TblProd[[#This Row],[Lumber rot]],0)</f>
        <v>385</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5499.9000000000005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1164.2</v>
      </c>
      <c r="AP83" s="113">
        <f ca="1">(1+race_food_consumption)*TblPop[[#This Row],[Total]]*food_per_person*(1+tech_1_10*TblTech[[#This Row],[1-10]]+tech_7_5*TblTech[[#This Row],[7-5]])</f>
        <v>595.75</v>
      </c>
      <c r="AQ83" s="113">
        <f ca="1">TblProd[[#This Row],[Lumber]]*lumber_rot * (1 + tech_2_1*TblTech[[#This Row],[2-1]] + tech_2_8*TblTech[[#This Row],[2-8]] + tech_5_2*TblTech[[#This Row],[5-2]])</f>
        <v>615.39</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44346.291666666475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534254</v>
      </c>
      <c r="BJ83" s="113">
        <f ca="1">TblProd[[#This Row],[Food]]</f>
        <v>116420</v>
      </c>
      <c r="BK83" s="113">
        <f ca="1">TblProd[[#This Row],[Lumber]]</f>
        <v>61539</v>
      </c>
      <c r="BL83" s="113">
        <f ca="1">TblProd[[#This Row],[Mana]]</f>
        <v>0</v>
      </c>
      <c r="BM83" s="113">
        <f ca="1">TblProd[[#This Row],[Ore]]</f>
        <v>0</v>
      </c>
    </row>
    <row r="84" spans="1:65" x14ac:dyDescent="0.2">
      <c r="A84" s="178">
        <v>9</v>
      </c>
      <c r="B84" s="198">
        <f ca="1">TblImps[[#This Row],[Time]]</f>
        <v>44346.333333333139</v>
      </c>
      <c r="C84" s="199"/>
      <c r="D84" s="200"/>
      <c r="E84" s="113">
        <f ca="1">TblConstr[[#This Row],[Land]]</f>
        <v>250</v>
      </c>
      <c r="F84" s="113">
        <f ca="1">TblPop[[#This Row],[Peasants]]</f>
        <v>1537</v>
      </c>
      <c r="G84" s="113">
        <f ca="1">TblMili[[#This Row],[Networth (2)]]</f>
        <v>6455</v>
      </c>
      <c r="H84" s="113">
        <f ca="1">OFFSET(TblProd[[#This Row],[Platinum]],-1,0)+OFFSET(TblProd[[#This Row],[Plat/hr]],-1,0) - TblProd[[#This Row],[Expenses Platinum]] + IF(TblProd[[#This Row],[Plat Bonus]],TblPop[[#This Row],[Peasants]]*4) + SUM(TblConstr[[#This Row],[Dest Hom]:[Dest Doc]])*TblConstr[[#This Row],[CPA Platinum -DB]]*tech_3_3_2*TblTech[[#This Row],[3-3]]</f>
        <v>539753</v>
      </c>
      <c r="I84" s="113">
        <f ca="1">OFFSET(TblProd[[#This Row],[Food]],-1,0)+OFFSET(TblProd[[#This Row],[Food/hr]],-1,0)+ROUNDUP((TblConstr[[#This Row],[Farms]]*80+TblConstr[[#This Row],[Docks]]*35)*(1+OFFSET(TblProd[[#This Row],[Bonus Food/hr]],-1,0)),0)</f>
        <v>117240</v>
      </c>
      <c r="J84" s="113">
        <f ca="1">OFFSET(TblProd[[#This Row],[Lumber]],-1,0)+OFFSET(TblProd[[#This Row],[Lumber/hr]],-1,0) - TblProd[[#This Row],[Expenses Lumber]] + SUM(TblConstr[[#This Row],[Dest Hom]:[Dest Doc]])*TblConstr[[#This Row],[CPA Lumber -DB]]*tech_3_3_2*TblTech[[#This Row],[3-3]]</f>
        <v>61924</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Row],[Techpoints]],-1,0)+(1+research_bonus)*(26*MIN((TblConstr[[#This Row],[Tot Sch]]/(TblProd[[#This Row],[Land]]-TblExplore[[#This Row],[Land Bonus]]*20))*100,40))-TblProd[[#This Row],[Required]]*TblTech[[#This Row],[…]],0) + IF(TblProd[[#This Row],[Plat Bonus]]&lt;&gt;"",750,0)</f>
        <v>0</v>
      </c>
      <c r="Q84" s="113">
        <v>10000</v>
      </c>
      <c r="R84" s="184"/>
      <c r="S84" s="113">
        <f ca="1">ROUNDDOWN(TblProd[[#This Row],[Raw Plat/hr]]*(1+TblProd[[#This Row],[Bonus Plat/hr]]),0)</f>
        <v>5499</v>
      </c>
      <c r="T84" s="113">
        <f ca="1">ROUND(TblProd[[#This Row],[Raw Food/hr]]*(1+TblProd[[#This Row],[Bonus Food/hr]])-TblProd[[#This Row],[Food decay]]-TblProd[[#This Row],[Food eaten]],0)</f>
        <v>812</v>
      </c>
      <c r="U84" s="113">
        <f ca="1">ROUND(TblProd[[#This Row],[Raw Lumber/hr]]*(1+TblProd[[#This Row],[Bonus Lumber/hr]])-TblProd[[#This Row],[Lumber rot]],0)</f>
        <v>381</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5499.9000000000005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1172.4000000000001</v>
      </c>
      <c r="AP84" s="113">
        <f ca="1">(1+race_food_consumption)*TblPop[[#This Row],[Total]]*food_per_person*(1+tech_1_10*TblTech[[#This Row],[1-10]]+tech_7_5*TblTech[[#This Row],[7-5]])</f>
        <v>595.75</v>
      </c>
      <c r="AQ84" s="113">
        <f ca="1">TblProd[[#This Row],[Lumber]]*lumber_rot * (1 + tech_2_1*TblTech[[#This Row],[2-1]] + tech_2_8*TblTech[[#This Row],[2-8]] + tech_5_2*TblTech[[#This Row],[5-2]])</f>
        <v>619.24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44346.333333333139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539753</v>
      </c>
      <c r="BJ84" s="113">
        <f ca="1">TblProd[[#This Row],[Food]]</f>
        <v>117240</v>
      </c>
      <c r="BK84" s="113">
        <f ca="1">TblProd[[#This Row],[Lumber]]</f>
        <v>61924</v>
      </c>
      <c r="BL84" s="113">
        <f ca="1">TblProd[[#This Row],[Mana]]</f>
        <v>0</v>
      </c>
      <c r="BM84" s="113">
        <f ca="1">TblProd[[#This Row],[Ore]]</f>
        <v>0</v>
      </c>
    </row>
    <row r="85" spans="1:65" x14ac:dyDescent="0.2">
      <c r="A85" s="178">
        <v>10</v>
      </c>
      <c r="B85" s="198">
        <f ca="1">TblImps[[#This Row],[Time]]</f>
        <v>44346.374999999804</v>
      </c>
      <c r="C85" s="199"/>
      <c r="D85" s="200"/>
      <c r="E85" s="113">
        <f ca="1">TblConstr[[#This Row],[Land]]</f>
        <v>250</v>
      </c>
      <c r="F85" s="113">
        <f ca="1">TblPop[[#This Row],[Peasants]]</f>
        <v>1537</v>
      </c>
      <c r="G85" s="113">
        <f ca="1">TblMili[[#This Row],[Networth (2)]]</f>
        <v>6455</v>
      </c>
      <c r="H85" s="113">
        <f ca="1">OFFSET(TblProd[[#This Row],[Platinum]],-1,0)+OFFSET(TblProd[[#This Row],[Plat/hr]],-1,0) - TblProd[[#This Row],[Expenses Platinum]] + IF(TblProd[[#This Row],[Plat Bonus]],TblPop[[#This Row],[Peasants]]*4) + SUM(TblConstr[[#This Row],[Dest Hom]:[Dest Doc]])*TblConstr[[#This Row],[CPA Platinum -DB]]*tech_3_3_2*TblTech[[#This Row],[3-3]]</f>
        <v>545252</v>
      </c>
      <c r="I85" s="113">
        <f ca="1">OFFSET(TblProd[[#This Row],[Food]],-1,0)+OFFSET(TblProd[[#This Row],[Food/hr]],-1,0)+ROUNDUP((TblConstr[[#This Row],[Farms]]*80+TblConstr[[#This Row],[Docks]]*35)*(1+OFFSET(TblProd[[#This Row],[Bonus Food/hr]],-1,0)),0)</f>
        <v>118052</v>
      </c>
      <c r="J85" s="113">
        <f ca="1">OFFSET(TblProd[[#This Row],[Lumber]],-1,0)+OFFSET(TblProd[[#This Row],[Lumber/hr]],-1,0) - TblProd[[#This Row],[Expenses Lumber]] + SUM(TblConstr[[#This Row],[Dest Hom]:[Dest Doc]])*TblConstr[[#This Row],[CPA Lumber -DB]]*tech_3_3_2*TblTech[[#This Row],[3-3]]</f>
        <v>62305</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Row],[Techpoints]],-1,0)+(1+research_bonus)*(26*MIN((TblConstr[[#This Row],[Tot Sch]]/(TblProd[[#This Row],[Land]]-TblExplore[[#This Row],[Land Bonus]]*20))*100,40))-TblProd[[#This Row],[Required]]*TblTech[[#This Row],[…]],0) + IF(TblProd[[#This Row],[Plat Bonus]]&lt;&gt;"",750,0)</f>
        <v>0</v>
      </c>
      <c r="Q85" s="113">
        <v>10000</v>
      </c>
      <c r="R85" s="184"/>
      <c r="S85" s="113">
        <f ca="1">ROUNDDOWN(TblProd[[#This Row],[Raw Plat/hr]]*(1+TblProd[[#This Row],[Bonus Plat/hr]]),0)</f>
        <v>5499</v>
      </c>
      <c r="T85" s="113">
        <f ca="1">ROUND(TblProd[[#This Row],[Raw Food/hr]]*(1+TblProd[[#This Row],[Bonus Food/hr]])-TblProd[[#This Row],[Food decay]]-TblProd[[#This Row],[Food eaten]],0)</f>
        <v>804</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5499.9000000000005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1180.52</v>
      </c>
      <c r="AP85" s="113">
        <f ca="1">(1+race_food_consumption)*TblPop[[#This Row],[Total]]*food_per_person*(1+tech_1_10*TblTech[[#This Row],[1-10]]+tech_7_5*TblTech[[#This Row],[7-5]])</f>
        <v>595.75</v>
      </c>
      <c r="AQ85" s="113">
        <f ca="1">TblProd[[#This Row],[Lumber]]*lumber_rot * (1 + tech_2_1*TblTech[[#This Row],[2-1]] + tech_2_8*TblTech[[#This Row],[2-8]] + tech_5_2*TblTech[[#This Row],[5-2]])</f>
        <v>623.05000000000007</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44346.374999999804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545252</v>
      </c>
      <c r="BJ85" s="113">
        <f ca="1">TblProd[[#This Row],[Food]]</f>
        <v>118052</v>
      </c>
      <c r="BK85" s="113">
        <f ca="1">TblProd[[#This Row],[Lumber]]</f>
        <v>62305</v>
      </c>
      <c r="BL85" s="113">
        <f ca="1">TblProd[[#This Row],[Mana]]</f>
        <v>0</v>
      </c>
      <c r="BM85" s="113">
        <f ca="1">TblProd[[#This Row],[Ore]]</f>
        <v>0</v>
      </c>
    </row>
    <row r="86" spans="1:65" x14ac:dyDescent="0.2">
      <c r="A86" s="178">
        <v>11</v>
      </c>
      <c r="B86" s="198">
        <f ca="1">TblImps[[#This Row],[Time]]</f>
        <v>44346.416666666468</v>
      </c>
      <c r="C86" s="199"/>
      <c r="D86" s="200"/>
      <c r="E86" s="113">
        <f ca="1">TblConstr[[#This Row],[Land]]</f>
        <v>250</v>
      </c>
      <c r="F86" s="113">
        <f ca="1">TblPop[[#This Row],[Peasants]]</f>
        <v>1537</v>
      </c>
      <c r="G86" s="113">
        <f ca="1">TblMili[[#This Row],[Networth (2)]]</f>
        <v>6455</v>
      </c>
      <c r="H86" s="113">
        <f ca="1">OFFSET(TblProd[[#This Row],[Platinum]],-1,0)+OFFSET(TblProd[[#This Row],[Plat/hr]],-1,0) - TblProd[[#This Row],[Expenses Platinum]] + IF(TblProd[[#This Row],[Plat Bonus]],TblPop[[#This Row],[Peasants]]*4) + SUM(TblConstr[[#This Row],[Dest Hom]:[Dest Doc]])*TblConstr[[#This Row],[CPA Platinum -DB]]*tech_3_3_2*TblTech[[#This Row],[3-3]]</f>
        <v>550751</v>
      </c>
      <c r="I86" s="113">
        <f ca="1">OFFSET(TblProd[[#This Row],[Food]],-1,0)+OFFSET(TblProd[[#This Row],[Food/hr]],-1,0)+ROUNDUP((TblConstr[[#This Row],[Farms]]*80+TblConstr[[#This Row],[Docks]]*35)*(1+OFFSET(TblProd[[#This Row],[Bonus Food/hr]],-1,0)),0)</f>
        <v>118856</v>
      </c>
      <c r="J86" s="113">
        <f ca="1">OFFSET(TblProd[[#This Row],[Lumber]],-1,0)+OFFSET(TblProd[[#This Row],[Lumber/hr]],-1,0) - TblProd[[#This Row],[Expenses Lumber]] + SUM(TblConstr[[#This Row],[Dest Hom]:[Dest Doc]])*TblConstr[[#This Row],[CPA Lumber -DB]]*tech_3_3_2*TblTech[[#This Row],[3-3]]</f>
        <v>62682</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Row],[Techpoints]],-1,0)+(1+research_bonus)*(26*MIN((TblConstr[[#This Row],[Tot Sch]]/(TblProd[[#This Row],[Land]]-TblExplore[[#This Row],[Land Bonus]]*20))*100,40))-TblProd[[#This Row],[Required]]*TblTech[[#This Row],[…]],0) + IF(TblProd[[#This Row],[Plat Bonus]]&lt;&gt;"",750,0)</f>
        <v>0</v>
      </c>
      <c r="Q86" s="113">
        <v>10000</v>
      </c>
      <c r="R86" s="184"/>
      <c r="S86" s="113">
        <f ca="1">ROUNDDOWN(TblProd[[#This Row],[Raw Plat/hr]]*(1+TblProd[[#This Row],[Bonus Plat/hr]]),0)</f>
        <v>5499</v>
      </c>
      <c r="T86" s="113">
        <f ca="1">ROUND(TblProd[[#This Row],[Raw Food/hr]]*(1+TblProd[[#This Row],[Bonus Food/hr]])-TblProd[[#This Row],[Food decay]]-TblProd[[#This Row],[Food eaten]],0)</f>
        <v>796</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5499.9000000000005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1188.56</v>
      </c>
      <c r="AP86" s="113">
        <f ca="1">(1+race_food_consumption)*TblPop[[#This Row],[Total]]*food_per_person*(1+tech_1_10*TblTech[[#This Row],[1-10]]+tech_7_5*TblTech[[#This Row],[7-5]])</f>
        <v>595.75</v>
      </c>
      <c r="AQ86" s="113">
        <f ca="1">TblProd[[#This Row],[Lumber]]*lumber_rot * (1 + tech_2_1*TblTech[[#This Row],[2-1]] + tech_2_8*TblTech[[#This Row],[2-8]] + tech_5_2*TblTech[[#This Row],[5-2]])</f>
        <v>626.82000000000005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44346.416666666468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550751</v>
      </c>
      <c r="BJ86" s="113">
        <f ca="1">TblProd[[#This Row],[Food]]</f>
        <v>118856</v>
      </c>
      <c r="BK86" s="113">
        <f ca="1">TblProd[[#This Row],[Lumber]]</f>
        <v>62682</v>
      </c>
      <c r="BL86" s="113">
        <f ca="1">TblProd[[#This Row],[Mana]]</f>
        <v>0</v>
      </c>
      <c r="BM86" s="113">
        <f ca="1">TblProd[[#This Row],[Ore]]</f>
        <v>0</v>
      </c>
    </row>
    <row r="87" spans="1:65" x14ac:dyDescent="0.2">
      <c r="A87" s="178">
        <v>12</v>
      </c>
      <c r="B87" s="198">
        <f ca="1">TblImps[[#This Row],[Time]]</f>
        <v>44346.458333333132</v>
      </c>
      <c r="C87" s="199"/>
      <c r="D87" s="200"/>
      <c r="E87" s="113">
        <f ca="1">TblConstr[[#This Row],[Land]]</f>
        <v>250</v>
      </c>
      <c r="F87" s="113">
        <f ca="1">TblPop[[#This Row],[Peasants]]</f>
        <v>1537</v>
      </c>
      <c r="G87" s="113">
        <f ca="1">TblMili[[#This Row],[Networth (2)]]</f>
        <v>6455</v>
      </c>
      <c r="H87" s="113">
        <f ca="1">OFFSET(TblProd[[#This Row],[Platinum]],-1,0)+OFFSET(TblProd[[#This Row],[Plat/hr]],-1,0) - TblProd[[#This Row],[Expenses Platinum]] + IF(TblProd[[#This Row],[Plat Bonus]],TblPop[[#This Row],[Peasants]]*4) + SUM(TblConstr[[#This Row],[Dest Hom]:[Dest Doc]])*TblConstr[[#This Row],[CPA Platinum -DB]]*tech_3_3_2*TblTech[[#This Row],[3-3]]</f>
        <v>556250</v>
      </c>
      <c r="I87" s="113">
        <f ca="1">OFFSET(TblProd[[#This Row],[Food]],-1,0)+OFFSET(TblProd[[#This Row],[Food/hr]],-1,0)+ROUNDUP((TblConstr[[#This Row],[Farms]]*80+TblConstr[[#This Row],[Docks]]*35)*(1+OFFSET(TblProd[[#This Row],[Bonus Food/hr]],-1,0)),0)</f>
        <v>119652</v>
      </c>
      <c r="J87" s="113">
        <f ca="1">OFFSET(TblProd[[#This Row],[Lumber]],-1,0)+OFFSET(TblProd[[#This Row],[Lumber/hr]],-1,0) - TblProd[[#This Row],[Expenses Lumber]] + SUM(TblConstr[[#This Row],[Dest Hom]:[Dest Doc]])*TblConstr[[#This Row],[CPA Lumber -DB]]*tech_3_3_2*TblTech[[#This Row],[3-3]]</f>
        <v>63055</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Row],[Techpoints]],-1,0)+(1+research_bonus)*(26*MIN((TblConstr[[#This Row],[Tot Sch]]/(TblProd[[#This Row],[Land]]-TblExplore[[#This Row],[Land Bonus]]*20))*100,40))-TblProd[[#This Row],[Required]]*TblTech[[#This Row],[…]],0) + IF(TblProd[[#This Row],[Plat Bonus]]&lt;&gt;"",750,0)</f>
        <v>0</v>
      </c>
      <c r="Q87" s="113">
        <v>10000</v>
      </c>
      <c r="R87" s="184"/>
      <c r="S87" s="113">
        <f ca="1">ROUNDDOWN(TblProd[[#This Row],[Raw Plat/hr]]*(1+TblProd[[#This Row],[Bonus Plat/hr]]),0)</f>
        <v>5499</v>
      </c>
      <c r="T87" s="113">
        <f ca="1">ROUND(TblProd[[#This Row],[Raw Food/hr]]*(1+TblProd[[#This Row],[Bonus Food/hr]])-TblProd[[#This Row],[Food decay]]-TblProd[[#This Row],[Food eaten]],0)</f>
        <v>788</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5499.9000000000005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1196.52</v>
      </c>
      <c r="AP87" s="113">
        <f ca="1">(1+race_food_consumption)*TblPop[[#This Row],[Total]]*food_per_person*(1+tech_1_10*TblTech[[#This Row],[1-10]]+tech_7_5*TblTech[[#This Row],[7-5]])</f>
        <v>595.75</v>
      </c>
      <c r="AQ87" s="113">
        <f ca="1">TblProd[[#This Row],[Lumber]]*lumber_rot * (1 + tech_2_1*TblTech[[#This Row],[2-1]] + tech_2_8*TblTech[[#This Row],[2-8]] + tech_5_2*TblTech[[#This Row],[5-2]])</f>
        <v>630.55000000000007</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44346.458333333132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556250</v>
      </c>
      <c r="BJ87" s="113">
        <f ca="1">TblProd[[#This Row],[Food]]</f>
        <v>119652</v>
      </c>
      <c r="BK87" s="113">
        <f ca="1">TblProd[[#This Row],[Lumber]]</f>
        <v>63055</v>
      </c>
      <c r="BL87" s="113">
        <f ca="1">TblProd[[#This Row],[Mana]]</f>
        <v>0</v>
      </c>
      <c r="BM87" s="113">
        <f ca="1">TblProd[[#This Row],[Ore]]</f>
        <v>0</v>
      </c>
    </row>
    <row r="88" spans="1:65" x14ac:dyDescent="0.2">
      <c r="A88" s="178">
        <v>13</v>
      </c>
      <c r="B88" s="198">
        <f ca="1">TblImps[[#This Row],[Time]]</f>
        <v>44346.499999999796</v>
      </c>
      <c r="C88" s="199"/>
      <c r="D88" s="200"/>
      <c r="E88" s="113">
        <f ca="1">TblConstr[[#This Row],[Land]]</f>
        <v>250</v>
      </c>
      <c r="F88" s="113">
        <f ca="1">TblPop[[#This Row],[Peasants]]</f>
        <v>1537</v>
      </c>
      <c r="G88" s="113">
        <f ca="1">TblMili[[#This Row],[Networth (2)]]</f>
        <v>6455</v>
      </c>
      <c r="H88" s="113">
        <f ca="1">OFFSET(TblProd[[#This Row],[Platinum]],-1,0)+OFFSET(TblProd[[#This Row],[Plat/hr]],-1,0) - TblProd[[#This Row],[Expenses Platinum]] + IF(TblProd[[#This Row],[Plat Bonus]],TblPop[[#This Row],[Peasants]]*4) + SUM(TblConstr[[#This Row],[Dest Hom]:[Dest Doc]])*TblConstr[[#This Row],[CPA Platinum -DB]]*tech_3_3_2*TblTech[[#This Row],[3-3]]</f>
        <v>561749</v>
      </c>
      <c r="I88" s="113">
        <f ca="1">OFFSET(TblProd[[#This Row],[Food]],-1,0)+OFFSET(TblProd[[#This Row],[Food/hr]],-1,0)+ROUNDUP((TblConstr[[#This Row],[Farms]]*80+TblConstr[[#This Row],[Docks]]*35)*(1+OFFSET(TblProd[[#This Row],[Bonus Food/hr]],-1,0)),0)</f>
        <v>120440</v>
      </c>
      <c r="J88" s="113">
        <f ca="1">OFFSET(TblProd[[#This Row],[Lumber]],-1,0)+OFFSET(TblProd[[#This Row],[Lumber/hr]],-1,0) - TblProd[[#This Row],[Expenses Lumber]] + SUM(TblConstr[[#This Row],[Dest Hom]:[Dest Doc]])*TblConstr[[#This Row],[CPA Lumber -DB]]*tech_3_3_2*TblTech[[#This Row],[3-3]]</f>
        <v>63424</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Row],[Techpoints]],-1,0)+(1+research_bonus)*(26*MIN((TblConstr[[#This Row],[Tot Sch]]/(TblProd[[#This Row],[Land]]-TblExplore[[#This Row],[Land Bonus]]*20))*100,40))-TblProd[[#This Row],[Required]]*TblTech[[#This Row],[…]],0) + IF(TblProd[[#This Row],[Plat Bonus]]&lt;&gt;"",750,0)</f>
        <v>0</v>
      </c>
      <c r="Q88" s="113">
        <v>10000</v>
      </c>
      <c r="R88" s="184"/>
      <c r="S88" s="113">
        <f ca="1">ROUNDDOWN(TblProd[[#This Row],[Raw Plat/hr]]*(1+TblProd[[#This Row],[Bonus Plat/hr]]),0)</f>
        <v>5499</v>
      </c>
      <c r="T88" s="113">
        <f ca="1">ROUND(TblProd[[#This Row],[Raw Food/hr]]*(1+TblProd[[#This Row],[Bonus Food/hr]])-TblProd[[#This Row],[Food decay]]-TblProd[[#This Row],[Food eaten]],0)</f>
        <v>780</v>
      </c>
      <c r="U88" s="113">
        <f ca="1">ROUND(TblProd[[#This Row],[Raw Lumber/hr]]*(1+TblProd[[#This Row],[Bonus Lumber/hr]])-TblProd[[#This Row],[Lumber rot]],0)</f>
        <v>366</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5499.9000000000005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1204.4000000000001</v>
      </c>
      <c r="AP88" s="113">
        <f ca="1">(1+race_food_consumption)*TblPop[[#This Row],[Total]]*food_per_person*(1+tech_1_10*TblTech[[#This Row],[1-10]]+tech_7_5*TblTech[[#This Row],[7-5]])</f>
        <v>595.75</v>
      </c>
      <c r="AQ88" s="113">
        <f ca="1">TblProd[[#This Row],[Lumber]]*lumber_rot * (1 + tech_2_1*TblTech[[#This Row],[2-1]] + tech_2_8*TblTech[[#This Row],[2-8]] + tech_5_2*TblTech[[#This Row],[5-2]])</f>
        <v>634.24</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44346.499999999796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561749</v>
      </c>
      <c r="BJ88" s="113">
        <f ca="1">TblProd[[#This Row],[Food]]</f>
        <v>120440</v>
      </c>
      <c r="BK88" s="113">
        <f ca="1">TblProd[[#This Row],[Lumber]]</f>
        <v>63424</v>
      </c>
      <c r="BL88" s="113">
        <f ca="1">TblProd[[#This Row],[Mana]]</f>
        <v>0</v>
      </c>
      <c r="BM88" s="113">
        <f ca="1">TblProd[[#This Row],[Ore]]</f>
        <v>0</v>
      </c>
    </row>
    <row r="89" spans="1:65" x14ac:dyDescent="0.2">
      <c r="A89" s="178">
        <v>14</v>
      </c>
      <c r="B89" s="198">
        <f ca="1">TblImps[[#This Row],[Time]]</f>
        <v>44346.541666666461</v>
      </c>
      <c r="C89" s="199"/>
      <c r="D89" s="200"/>
      <c r="E89" s="113">
        <f ca="1">TblConstr[[#This Row],[Land]]</f>
        <v>250</v>
      </c>
      <c r="F89" s="113">
        <f ca="1">TblPop[[#This Row],[Peasants]]</f>
        <v>1537</v>
      </c>
      <c r="G89" s="113">
        <f ca="1">TblMili[[#This Row],[Networth (2)]]</f>
        <v>6455</v>
      </c>
      <c r="H89" s="113">
        <f ca="1">OFFSET(TblProd[[#This Row],[Platinum]],-1,0)+OFFSET(TblProd[[#This Row],[Plat/hr]],-1,0) - TblProd[[#This Row],[Expenses Platinum]] + IF(TblProd[[#This Row],[Plat Bonus]],TblPop[[#This Row],[Peasants]]*4) + SUM(TblConstr[[#This Row],[Dest Hom]:[Dest Doc]])*TblConstr[[#This Row],[CPA Platinum -DB]]*tech_3_3_2*TblTech[[#This Row],[3-3]]</f>
        <v>567248</v>
      </c>
      <c r="I89" s="113">
        <f ca="1">OFFSET(TblProd[[#This Row],[Food]],-1,0)+OFFSET(TblProd[[#This Row],[Food/hr]],-1,0)+ROUNDUP((TblConstr[[#This Row],[Farms]]*80+TblConstr[[#This Row],[Docks]]*35)*(1+OFFSET(TblProd[[#This Row],[Bonus Food/hr]],-1,0)),0)</f>
        <v>121220</v>
      </c>
      <c r="J89" s="113">
        <f ca="1">OFFSET(TblProd[[#This Row],[Lumber]],-1,0)+OFFSET(TblProd[[#This Row],[Lumber/hr]],-1,0) - TblProd[[#This Row],[Expenses Lumber]] + SUM(TblConstr[[#This Row],[Dest Hom]:[Dest Doc]])*TblConstr[[#This Row],[CPA Lumber -DB]]*tech_3_3_2*TblTech[[#This Row],[3-3]]</f>
        <v>63790</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Row],[Techpoints]],-1,0)+(1+research_bonus)*(26*MIN((TblConstr[[#This Row],[Tot Sch]]/(TblProd[[#This Row],[Land]]-TblExplore[[#This Row],[Land Bonus]]*20))*100,40))-TblProd[[#This Row],[Required]]*TblTech[[#This Row],[…]],0) + IF(TblProd[[#This Row],[Plat Bonus]]&lt;&gt;"",750,0)</f>
        <v>0</v>
      </c>
      <c r="Q89" s="113">
        <v>10000</v>
      </c>
      <c r="R89" s="184"/>
      <c r="S89" s="113">
        <f ca="1">ROUNDDOWN(TblProd[[#This Row],[Raw Plat/hr]]*(1+TblProd[[#This Row],[Bonus Plat/hr]]),0)</f>
        <v>5499</v>
      </c>
      <c r="T89" s="113">
        <f ca="1">ROUND(TblProd[[#This Row],[Raw Food/hr]]*(1+TblProd[[#This Row],[Bonus Food/hr]])-TblProd[[#This Row],[Food decay]]-TblProd[[#This Row],[Food eaten]],0)</f>
        <v>772</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5499.9000000000005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1212.2</v>
      </c>
      <c r="AP89" s="113">
        <f ca="1">(1+race_food_consumption)*TblPop[[#This Row],[Total]]*food_per_person*(1+tech_1_10*TblTech[[#This Row],[1-10]]+tech_7_5*TblTech[[#This Row],[7-5]])</f>
        <v>595.75</v>
      </c>
      <c r="AQ89" s="113">
        <f ca="1">TblProd[[#This Row],[Lumber]]*lumber_rot * (1 + tech_2_1*TblTech[[#This Row],[2-1]] + tech_2_8*TblTech[[#This Row],[2-8]] + tech_5_2*TblTech[[#This Row],[5-2]])</f>
        <v>637.9</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44346.541666666461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567248</v>
      </c>
      <c r="BJ89" s="113">
        <f ca="1">TblProd[[#This Row],[Food]]</f>
        <v>121220</v>
      </c>
      <c r="BK89" s="113">
        <f ca="1">TblProd[[#This Row],[Lumber]]</f>
        <v>63790</v>
      </c>
      <c r="BL89" s="113">
        <f ca="1">TblProd[[#This Row],[Mana]]</f>
        <v>0</v>
      </c>
      <c r="BM89" s="113">
        <f ca="1">TblProd[[#This Row],[Ore]]</f>
        <v>0</v>
      </c>
    </row>
    <row r="90" spans="1:65" x14ac:dyDescent="0.2">
      <c r="A90" s="178">
        <v>15</v>
      </c>
      <c r="B90" s="198">
        <f ca="1">TblImps[[#This Row],[Time]]</f>
        <v>44346.583333333125</v>
      </c>
      <c r="C90" s="199"/>
      <c r="D90" s="200"/>
      <c r="E90" s="113">
        <f ca="1">TblConstr[[#This Row],[Land]]</f>
        <v>250</v>
      </c>
      <c r="F90" s="113">
        <f ca="1">TblPop[[#This Row],[Peasants]]</f>
        <v>1537</v>
      </c>
      <c r="G90" s="113">
        <f ca="1">TblMili[[#This Row],[Networth (2)]]</f>
        <v>6455</v>
      </c>
      <c r="H90" s="113">
        <f ca="1">OFFSET(TblProd[[#This Row],[Platinum]],-1,0)+OFFSET(TblProd[[#This Row],[Plat/hr]],-1,0) - TblProd[[#This Row],[Expenses Platinum]] + IF(TblProd[[#This Row],[Plat Bonus]],TblPop[[#This Row],[Peasants]]*4) + SUM(TblConstr[[#This Row],[Dest Hom]:[Dest Doc]])*TblConstr[[#This Row],[CPA Platinum -DB]]*tech_3_3_2*TblTech[[#This Row],[3-3]]</f>
        <v>572747</v>
      </c>
      <c r="I90" s="113">
        <f ca="1">OFFSET(TblProd[[#This Row],[Food]],-1,0)+OFFSET(TblProd[[#This Row],[Food/hr]],-1,0)+ROUNDUP((TblConstr[[#This Row],[Farms]]*80+TblConstr[[#This Row],[Docks]]*35)*(1+OFFSET(TblProd[[#This Row],[Bonus Food/hr]],-1,0)),0)</f>
        <v>121992</v>
      </c>
      <c r="J90" s="113">
        <f ca="1">OFFSET(TblProd[[#This Row],[Lumber]],-1,0)+OFFSET(TblProd[[#This Row],[Lumber/hr]],-1,0) - TblProd[[#This Row],[Expenses Lumber]] + SUM(TblConstr[[#This Row],[Dest Hom]:[Dest Doc]])*TblConstr[[#This Row],[CPA Lumber -DB]]*tech_3_3_2*TblTech[[#This Row],[3-3]]</f>
        <v>64152</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Row],[Techpoints]],-1,0)+(1+research_bonus)*(26*MIN((TblConstr[[#This Row],[Tot Sch]]/(TblProd[[#This Row],[Land]]-TblExplore[[#This Row],[Land Bonus]]*20))*100,40))-TblProd[[#This Row],[Required]]*TblTech[[#This Row],[…]],0) + IF(TblProd[[#This Row],[Plat Bonus]]&lt;&gt;"",750,0)</f>
        <v>0</v>
      </c>
      <c r="Q90" s="113">
        <v>10000</v>
      </c>
      <c r="R90" s="184"/>
      <c r="S90" s="113">
        <f ca="1">ROUNDDOWN(TblProd[[#This Row],[Raw Plat/hr]]*(1+TblProd[[#This Row],[Bonus Plat/hr]]),0)</f>
        <v>5499</v>
      </c>
      <c r="T90" s="113">
        <f ca="1">ROUND(TblProd[[#This Row],[Raw Food/hr]]*(1+TblProd[[#This Row],[Bonus Food/hr]])-TblProd[[#This Row],[Food decay]]-TblProd[[#This Row],[Food eaten]],0)</f>
        <v>764</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5499.9000000000005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1219.92</v>
      </c>
      <c r="AP90" s="113">
        <f ca="1">(1+race_food_consumption)*TblPop[[#This Row],[Total]]*food_per_person*(1+tech_1_10*TblTech[[#This Row],[1-10]]+tech_7_5*TblTech[[#This Row],[7-5]])</f>
        <v>595.75</v>
      </c>
      <c r="AQ90" s="113">
        <f ca="1">TblProd[[#This Row],[Lumber]]*lumber_rot * (1 + tech_2_1*TblTech[[#This Row],[2-1]] + tech_2_8*TblTech[[#This Row],[2-8]] + tech_5_2*TblTech[[#This Row],[5-2]])</f>
        <v>641.52</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44346.583333333125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572747</v>
      </c>
      <c r="BJ90" s="113">
        <f ca="1">TblProd[[#This Row],[Food]]</f>
        <v>121992</v>
      </c>
      <c r="BK90" s="113">
        <f ca="1">TblProd[[#This Row],[Lumber]]</f>
        <v>64152</v>
      </c>
      <c r="BL90" s="113">
        <f ca="1">TblProd[[#This Row],[Mana]]</f>
        <v>0</v>
      </c>
      <c r="BM90" s="113">
        <f ca="1">TblProd[[#This Row],[Ore]]</f>
        <v>0</v>
      </c>
    </row>
    <row r="91" spans="1:65" x14ac:dyDescent="0.2">
      <c r="A91" s="178">
        <v>16</v>
      </c>
      <c r="B91" s="198">
        <f ca="1">TblImps[[#This Row],[Time]]</f>
        <v>44346.624999999789</v>
      </c>
      <c r="C91" s="199"/>
      <c r="D91" s="200"/>
      <c r="E91" s="113">
        <f ca="1">TblConstr[[#This Row],[Land]]</f>
        <v>250</v>
      </c>
      <c r="F91" s="113">
        <f ca="1">TblPop[[#This Row],[Peasants]]</f>
        <v>1537</v>
      </c>
      <c r="G91" s="113">
        <f ca="1">TblMili[[#This Row],[Networth (2)]]</f>
        <v>6455</v>
      </c>
      <c r="H91" s="113">
        <f ca="1">OFFSET(TblProd[[#This Row],[Platinum]],-1,0)+OFFSET(TblProd[[#This Row],[Plat/hr]],-1,0) - TblProd[[#This Row],[Expenses Platinum]] + IF(TblProd[[#This Row],[Plat Bonus]],TblPop[[#This Row],[Peasants]]*4) + SUM(TblConstr[[#This Row],[Dest Hom]:[Dest Doc]])*TblConstr[[#This Row],[CPA Platinum -DB]]*tech_3_3_2*TblTech[[#This Row],[3-3]]</f>
        <v>578246</v>
      </c>
      <c r="I91" s="113">
        <f ca="1">OFFSET(TblProd[[#This Row],[Food]],-1,0)+OFFSET(TblProd[[#This Row],[Food/hr]],-1,0)+ROUNDUP((TblConstr[[#This Row],[Farms]]*80+TblConstr[[#This Row],[Docks]]*35)*(1+OFFSET(TblProd[[#This Row],[Bonus Food/hr]],-1,0)),0)</f>
        <v>122756</v>
      </c>
      <c r="J91" s="113">
        <f ca="1">OFFSET(TblProd[[#This Row],[Lumber]],-1,0)+OFFSET(TblProd[[#This Row],[Lumber/hr]],-1,0) - TblProd[[#This Row],[Expenses Lumber]] + SUM(TblConstr[[#This Row],[Dest Hom]:[Dest Doc]])*TblConstr[[#This Row],[CPA Lumber -DB]]*tech_3_3_2*TblTech[[#This Row],[3-3]]</f>
        <v>64510</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Row],[Techpoints]],-1,0)+(1+research_bonus)*(26*MIN((TblConstr[[#This Row],[Tot Sch]]/(TblProd[[#This Row],[Land]]-TblExplore[[#This Row],[Land Bonus]]*20))*100,40))-TblProd[[#This Row],[Required]]*TblTech[[#This Row],[…]],0) + IF(TblProd[[#This Row],[Plat Bonus]]&lt;&gt;"",750,0)</f>
        <v>0</v>
      </c>
      <c r="Q91" s="113">
        <v>10000</v>
      </c>
      <c r="R91" s="184"/>
      <c r="S91" s="113">
        <f ca="1">ROUNDDOWN(TblProd[[#This Row],[Raw Plat/hr]]*(1+TblProd[[#This Row],[Bonus Plat/hr]]),0)</f>
        <v>5499</v>
      </c>
      <c r="T91" s="113">
        <f ca="1">ROUND(TblProd[[#This Row],[Raw Food/hr]]*(1+TblProd[[#This Row],[Bonus Food/hr]])-TblProd[[#This Row],[Food decay]]-TblProd[[#This Row],[Food eaten]],0)</f>
        <v>757</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5499.9000000000005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1227.56</v>
      </c>
      <c r="AP91" s="113">
        <f ca="1">(1+race_food_consumption)*TblPop[[#This Row],[Total]]*food_per_person*(1+tech_1_10*TblTech[[#This Row],[1-10]]+tech_7_5*TblTech[[#This Row],[7-5]])</f>
        <v>595.75</v>
      </c>
      <c r="AQ91" s="113">
        <f ca="1">TblProd[[#This Row],[Lumber]]*lumber_rot * (1 + tech_2_1*TblTech[[#This Row],[2-1]] + tech_2_8*TblTech[[#This Row],[2-8]] + tech_5_2*TblTech[[#This Row],[5-2]])</f>
        <v>645.1</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44346.624999999789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578246</v>
      </c>
      <c r="BJ91" s="113">
        <f ca="1">TblProd[[#This Row],[Food]]</f>
        <v>122756</v>
      </c>
      <c r="BK91" s="113">
        <f ca="1">TblProd[[#This Row],[Lumber]]</f>
        <v>64510</v>
      </c>
      <c r="BL91" s="113">
        <f ca="1">TblProd[[#This Row],[Mana]]</f>
        <v>0</v>
      </c>
      <c r="BM91" s="113">
        <f ca="1">TblProd[[#This Row],[Ore]]</f>
        <v>0</v>
      </c>
    </row>
    <row r="92" spans="1:65" x14ac:dyDescent="0.2">
      <c r="A92" s="178">
        <v>17</v>
      </c>
      <c r="B92" s="198">
        <f ca="1">TblImps[[#This Row],[Time]]</f>
        <v>44346.666666666453</v>
      </c>
      <c r="C92" s="199"/>
      <c r="D92" s="200"/>
      <c r="E92" s="113">
        <f ca="1">TblConstr[[#This Row],[Land]]</f>
        <v>250</v>
      </c>
      <c r="F92" s="113">
        <f ca="1">TblPop[[#This Row],[Peasants]]</f>
        <v>1537</v>
      </c>
      <c r="G92" s="113">
        <f ca="1">TblMili[[#This Row],[Networth (2)]]</f>
        <v>6455</v>
      </c>
      <c r="H92" s="113">
        <f ca="1">OFFSET(TblProd[[#This Row],[Platinum]],-1,0)+OFFSET(TblProd[[#This Row],[Plat/hr]],-1,0) - TblProd[[#This Row],[Expenses Platinum]] + IF(TblProd[[#This Row],[Plat Bonus]],TblPop[[#This Row],[Peasants]]*4) + SUM(TblConstr[[#This Row],[Dest Hom]:[Dest Doc]])*TblConstr[[#This Row],[CPA Platinum -DB]]*tech_3_3_2*TblTech[[#This Row],[3-3]]</f>
        <v>583745</v>
      </c>
      <c r="I92" s="113">
        <f ca="1">OFFSET(TblProd[[#This Row],[Food]],-1,0)+OFFSET(TblProd[[#This Row],[Food/hr]],-1,0)+ROUNDUP((TblConstr[[#This Row],[Farms]]*80+TblConstr[[#This Row],[Docks]]*35)*(1+OFFSET(TblProd[[#This Row],[Bonus Food/hr]],-1,0)),0)</f>
        <v>123513</v>
      </c>
      <c r="J92" s="113">
        <f ca="1">OFFSET(TblProd[[#This Row],[Lumber]],-1,0)+OFFSET(TblProd[[#This Row],[Lumber/hr]],-1,0) - TblProd[[#This Row],[Expenses Lumber]] + SUM(TblConstr[[#This Row],[Dest Hom]:[Dest Doc]])*TblConstr[[#This Row],[CPA Lumber -DB]]*tech_3_3_2*TblTech[[#This Row],[3-3]]</f>
        <v>64865</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Row],[Techpoints]],-1,0)+(1+research_bonus)*(26*MIN((TblConstr[[#This Row],[Tot Sch]]/(TblProd[[#This Row],[Land]]-TblExplore[[#This Row],[Land Bonus]]*20))*100,40))-TblProd[[#This Row],[Required]]*TblTech[[#This Row],[…]],0) + IF(TblProd[[#This Row],[Plat Bonus]]&lt;&gt;"",750,0)</f>
        <v>0</v>
      </c>
      <c r="Q92" s="113">
        <v>10000</v>
      </c>
      <c r="R92" s="184"/>
      <c r="S92" s="113">
        <f ca="1">ROUNDDOWN(TblProd[[#This Row],[Raw Plat/hr]]*(1+TblProd[[#This Row],[Bonus Plat/hr]]),0)</f>
        <v>5499</v>
      </c>
      <c r="T92" s="113">
        <f ca="1">ROUND(TblProd[[#This Row],[Raw Food/hr]]*(1+TblProd[[#This Row],[Bonus Food/hr]])-TblProd[[#This Row],[Food decay]]-TblProd[[#This Row],[Food eaten]],0)</f>
        <v>749</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5499.9000000000005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1235.1300000000001</v>
      </c>
      <c r="AP92" s="113">
        <f ca="1">(1+race_food_consumption)*TblPop[[#This Row],[Total]]*food_per_person*(1+tech_1_10*TblTech[[#This Row],[1-10]]+tech_7_5*TblTech[[#This Row],[7-5]])</f>
        <v>595.75</v>
      </c>
      <c r="AQ92" s="113">
        <f ca="1">TblProd[[#This Row],[Lumber]]*lumber_rot * (1 + tech_2_1*TblTech[[#This Row],[2-1]] + tech_2_8*TblTech[[#This Row],[2-8]] + tech_5_2*TblTech[[#This Row],[5-2]])</f>
        <v>648.65</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44346.666666666453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583745</v>
      </c>
      <c r="BJ92" s="113">
        <f ca="1">TblProd[[#This Row],[Food]]</f>
        <v>123513</v>
      </c>
      <c r="BK92" s="113">
        <f ca="1">TblProd[[#This Row],[Lumber]]</f>
        <v>64865</v>
      </c>
      <c r="BL92" s="113">
        <f ca="1">TblProd[[#This Row],[Mana]]</f>
        <v>0</v>
      </c>
      <c r="BM92" s="113">
        <f ca="1">TblProd[[#This Row],[Ore]]</f>
        <v>0</v>
      </c>
    </row>
    <row r="93" spans="1:65" x14ac:dyDescent="0.2">
      <c r="A93" s="178">
        <v>18</v>
      </c>
      <c r="B93" s="198">
        <f ca="1">TblImps[[#This Row],[Time]]</f>
        <v>44346.708333333117</v>
      </c>
      <c r="C93" s="199"/>
      <c r="D93" s="200"/>
      <c r="E93" s="113">
        <f ca="1">TblConstr[[#This Row],[Land]]</f>
        <v>250</v>
      </c>
      <c r="F93" s="113">
        <f ca="1">TblPop[[#This Row],[Peasants]]</f>
        <v>1537</v>
      </c>
      <c r="G93" s="113">
        <f ca="1">TblMili[[#This Row],[Networth (2)]]</f>
        <v>6455</v>
      </c>
      <c r="H93" s="113">
        <f ca="1">OFFSET(TblProd[[#This Row],[Platinum]],-1,0)+OFFSET(TblProd[[#This Row],[Plat/hr]],-1,0) - TblProd[[#This Row],[Expenses Platinum]] + IF(TblProd[[#This Row],[Plat Bonus]],TblPop[[#This Row],[Peasants]]*4) + SUM(TblConstr[[#This Row],[Dest Hom]:[Dest Doc]])*TblConstr[[#This Row],[CPA Platinum -DB]]*tech_3_3_2*TblTech[[#This Row],[3-3]]</f>
        <v>589244</v>
      </c>
      <c r="I93" s="113">
        <f ca="1">OFFSET(TblProd[[#This Row],[Food]],-1,0)+OFFSET(TblProd[[#This Row],[Food/hr]],-1,0)+ROUNDUP((TblConstr[[#This Row],[Farms]]*80+TblConstr[[#This Row],[Docks]]*35)*(1+OFFSET(TblProd[[#This Row],[Bonus Food/hr]],-1,0)),0)</f>
        <v>124262</v>
      </c>
      <c r="J93" s="113">
        <f ca="1">OFFSET(TblProd[[#This Row],[Lumber]],-1,0)+OFFSET(TblProd[[#This Row],[Lumber/hr]],-1,0) - TblProd[[#This Row],[Expenses Lumber]] + SUM(TblConstr[[#This Row],[Dest Hom]:[Dest Doc]])*TblConstr[[#This Row],[CPA Lumber -DB]]*tech_3_3_2*TblTech[[#This Row],[3-3]]</f>
        <v>65216</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Row],[Techpoints]],-1,0)+(1+research_bonus)*(26*MIN((TblConstr[[#This Row],[Tot Sch]]/(TblProd[[#This Row],[Land]]-TblExplore[[#This Row],[Land Bonus]]*20))*100,40))-TblProd[[#This Row],[Required]]*TblTech[[#This Row],[…]],0) + IF(TblProd[[#This Row],[Plat Bonus]]&lt;&gt;"",750,0)</f>
        <v>0</v>
      </c>
      <c r="Q93" s="113">
        <v>10000</v>
      </c>
      <c r="R93" s="184"/>
      <c r="S93" s="113">
        <f ca="1">ROUNDDOWN(TblProd[[#This Row],[Raw Plat/hr]]*(1+TblProd[[#This Row],[Bonus Plat/hr]]),0)</f>
        <v>5499</v>
      </c>
      <c r="T93" s="113">
        <f ca="1">ROUND(TblProd[[#This Row],[Raw Food/hr]]*(1+TblProd[[#This Row],[Bonus Food/hr]])-TblProd[[#This Row],[Food decay]]-TblProd[[#This Row],[Food eaten]],0)</f>
        <v>742</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5499.9000000000005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1242.6200000000001</v>
      </c>
      <c r="AP93" s="113">
        <f ca="1">(1+race_food_consumption)*TblPop[[#This Row],[Total]]*food_per_person*(1+tech_1_10*TblTech[[#This Row],[1-10]]+tech_7_5*TblTech[[#This Row],[7-5]])</f>
        <v>595.75</v>
      </c>
      <c r="AQ93" s="113">
        <f ca="1">TblProd[[#This Row],[Lumber]]*lumber_rot * (1 + tech_2_1*TblTech[[#This Row],[2-1]] + tech_2_8*TblTech[[#This Row],[2-8]] + tech_5_2*TblTech[[#This Row],[5-2]])</f>
        <v>652.16</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44346.708333333117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589244</v>
      </c>
      <c r="BJ93" s="113">
        <f ca="1">TblProd[[#This Row],[Food]]</f>
        <v>124262</v>
      </c>
      <c r="BK93" s="113">
        <f ca="1">TblProd[[#This Row],[Lumber]]</f>
        <v>65216</v>
      </c>
      <c r="BL93" s="113">
        <f ca="1">TblProd[[#This Row],[Mana]]</f>
        <v>0</v>
      </c>
      <c r="BM93" s="113">
        <f ca="1">TblProd[[#This Row],[Ore]]</f>
        <v>0</v>
      </c>
    </row>
    <row r="94" spans="1:65" x14ac:dyDescent="0.2">
      <c r="A94" s="178">
        <v>19</v>
      </c>
      <c r="B94" s="198">
        <f ca="1">TblImps[[#This Row],[Time]]</f>
        <v>44346.749999999782</v>
      </c>
      <c r="C94" s="199"/>
      <c r="D94" s="200"/>
      <c r="E94" s="113">
        <f ca="1">TblConstr[[#This Row],[Land]]</f>
        <v>250</v>
      </c>
      <c r="F94" s="113">
        <f ca="1">TblPop[[#This Row],[Peasants]]</f>
        <v>1537</v>
      </c>
      <c r="G94" s="113">
        <f ca="1">TblMili[[#This Row],[Networth (2)]]</f>
        <v>6455</v>
      </c>
      <c r="H94" s="113">
        <f ca="1">OFFSET(TblProd[[#This Row],[Platinum]],-1,0)+OFFSET(TblProd[[#This Row],[Plat/hr]],-1,0) - TblProd[[#This Row],[Expenses Platinum]] + IF(TblProd[[#This Row],[Plat Bonus]],TblPop[[#This Row],[Peasants]]*4) + SUM(TblConstr[[#This Row],[Dest Hom]:[Dest Doc]])*TblConstr[[#This Row],[CPA Platinum -DB]]*tech_3_3_2*TblTech[[#This Row],[3-3]]</f>
        <v>594743</v>
      </c>
      <c r="I94" s="113">
        <f ca="1">OFFSET(TblProd[[#This Row],[Food]],-1,0)+OFFSET(TblProd[[#This Row],[Food/hr]],-1,0)+ROUNDUP((TblConstr[[#This Row],[Farms]]*80+TblConstr[[#This Row],[Docks]]*35)*(1+OFFSET(TblProd[[#This Row],[Bonus Food/hr]],-1,0)),0)</f>
        <v>125004</v>
      </c>
      <c r="J94" s="113">
        <f ca="1">OFFSET(TblProd[[#This Row],[Lumber]],-1,0)+OFFSET(TblProd[[#This Row],[Lumber/hr]],-1,0) - TblProd[[#This Row],[Expenses Lumber]] + SUM(TblConstr[[#This Row],[Dest Hom]:[Dest Doc]])*TblConstr[[#This Row],[CPA Lumber -DB]]*tech_3_3_2*TblTech[[#This Row],[3-3]]</f>
        <v>65564</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Row],[Techpoints]],-1,0)+(1+research_bonus)*(26*MIN((TblConstr[[#This Row],[Tot Sch]]/(TblProd[[#This Row],[Land]]-TblExplore[[#This Row],[Land Bonus]]*20))*100,40))-TblProd[[#This Row],[Required]]*TblTech[[#This Row],[…]],0) + IF(TblProd[[#This Row],[Plat Bonus]]&lt;&gt;"",750,0)</f>
        <v>0</v>
      </c>
      <c r="Q94" s="113">
        <v>10000</v>
      </c>
      <c r="R94" s="184"/>
      <c r="S94" s="113">
        <f ca="1">ROUNDDOWN(TblProd[[#This Row],[Raw Plat/hr]]*(1+TblProd[[#This Row],[Bonus Plat/hr]]),0)</f>
        <v>5499</v>
      </c>
      <c r="T94" s="113">
        <f ca="1">ROUND(TblProd[[#This Row],[Raw Food/hr]]*(1+TblProd[[#This Row],[Bonus Food/hr]])-TblProd[[#This Row],[Food decay]]-TblProd[[#This Row],[Food eaten]],0)</f>
        <v>734</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5499.9000000000005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1250.04</v>
      </c>
      <c r="AP94" s="113">
        <f ca="1">(1+race_food_consumption)*TblPop[[#This Row],[Total]]*food_per_person*(1+tech_1_10*TblTech[[#This Row],[1-10]]+tech_7_5*TblTech[[#This Row],[7-5]])</f>
        <v>595.75</v>
      </c>
      <c r="AQ94" s="113">
        <f ca="1">TblProd[[#This Row],[Lumber]]*lumber_rot * (1 + tech_2_1*TblTech[[#This Row],[2-1]] + tech_2_8*TblTech[[#This Row],[2-8]] + tech_5_2*TblTech[[#This Row],[5-2]])</f>
        <v>655.64</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44346.749999999782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594743</v>
      </c>
      <c r="BJ94" s="113">
        <f ca="1">TblProd[[#This Row],[Food]]</f>
        <v>125004</v>
      </c>
      <c r="BK94" s="113">
        <f ca="1">TblProd[[#This Row],[Lumber]]</f>
        <v>65564</v>
      </c>
      <c r="BL94" s="113">
        <f ca="1">TblProd[[#This Row],[Mana]]</f>
        <v>0</v>
      </c>
      <c r="BM94" s="113">
        <f ca="1">TblProd[[#This Row],[Ore]]</f>
        <v>0</v>
      </c>
    </row>
    <row r="95" spans="1:65" x14ac:dyDescent="0.2">
      <c r="A95" s="178">
        <v>20</v>
      </c>
      <c r="B95" s="198">
        <f ca="1">TblImps[[#This Row],[Time]]</f>
        <v>44346.791666666446</v>
      </c>
      <c r="C95" s="199"/>
      <c r="D95" s="200"/>
      <c r="E95" s="113">
        <f ca="1">TblConstr[[#This Row],[Land]]</f>
        <v>250</v>
      </c>
      <c r="F95" s="113">
        <f ca="1">TblPop[[#This Row],[Peasants]]</f>
        <v>1537</v>
      </c>
      <c r="G95" s="113">
        <f ca="1">TblMili[[#This Row],[Networth (2)]]</f>
        <v>6455</v>
      </c>
      <c r="H95" s="113">
        <f ca="1">OFFSET(TblProd[[#This Row],[Platinum]],-1,0)+OFFSET(TblProd[[#This Row],[Plat/hr]],-1,0) - TblProd[[#This Row],[Expenses Platinum]] + IF(TblProd[[#This Row],[Plat Bonus]],TblPop[[#This Row],[Peasants]]*4) + SUM(TblConstr[[#This Row],[Dest Hom]:[Dest Doc]])*TblConstr[[#This Row],[CPA Platinum -DB]]*tech_3_3_2*TblTech[[#This Row],[3-3]]</f>
        <v>600242</v>
      </c>
      <c r="I95" s="113">
        <f ca="1">OFFSET(TblProd[[#This Row],[Food]],-1,0)+OFFSET(TblProd[[#This Row],[Food/hr]],-1,0)+ROUNDUP((TblConstr[[#This Row],[Farms]]*80+TblConstr[[#This Row],[Docks]]*35)*(1+OFFSET(TblProd[[#This Row],[Bonus Food/hr]],-1,0)),0)</f>
        <v>125738</v>
      </c>
      <c r="J95" s="113">
        <f ca="1">OFFSET(TblProd[[#This Row],[Lumber]],-1,0)+OFFSET(TblProd[[#This Row],[Lumber/hr]],-1,0) - TblProd[[#This Row],[Expenses Lumber]] + SUM(TblConstr[[#This Row],[Dest Hom]:[Dest Doc]])*TblConstr[[#This Row],[CPA Lumber -DB]]*tech_3_3_2*TblTech[[#This Row],[3-3]]</f>
        <v>65908</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Row],[Techpoints]],-1,0)+(1+research_bonus)*(26*MIN((TblConstr[[#This Row],[Tot Sch]]/(TblProd[[#This Row],[Land]]-TblExplore[[#This Row],[Land Bonus]]*20))*100,40))-TblProd[[#This Row],[Required]]*TblTech[[#This Row],[…]],0) + IF(TblProd[[#This Row],[Plat Bonus]]&lt;&gt;"",750,0)</f>
        <v>0</v>
      </c>
      <c r="Q95" s="113">
        <v>10000</v>
      </c>
      <c r="R95" s="184"/>
      <c r="S95" s="113">
        <f ca="1">ROUNDDOWN(TblProd[[#This Row],[Raw Plat/hr]]*(1+TblProd[[#This Row],[Bonus Plat/hr]]),0)</f>
        <v>5499</v>
      </c>
      <c r="T95" s="113">
        <f ca="1">ROUND(TblProd[[#This Row],[Raw Food/hr]]*(1+TblProd[[#This Row],[Bonus Food/hr]])-TblProd[[#This Row],[Food decay]]-TblProd[[#This Row],[Food eaten]],0)</f>
        <v>727</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5499.9000000000005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1257.3800000000001</v>
      </c>
      <c r="AP95" s="113">
        <f ca="1">(1+race_food_consumption)*TblPop[[#This Row],[Total]]*food_per_person*(1+tech_1_10*TblTech[[#This Row],[1-10]]+tech_7_5*TblTech[[#This Row],[7-5]])</f>
        <v>595.75</v>
      </c>
      <c r="AQ95" s="113">
        <f ca="1">TblProd[[#This Row],[Lumber]]*lumber_rot * (1 + tech_2_1*TblTech[[#This Row],[2-1]] + tech_2_8*TblTech[[#This Row],[2-8]] + tech_5_2*TblTech[[#This Row],[5-2]])</f>
        <v>659.08</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44346.791666666446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600242</v>
      </c>
      <c r="BJ95" s="113">
        <f ca="1">TblProd[[#This Row],[Food]]</f>
        <v>125738</v>
      </c>
      <c r="BK95" s="113">
        <f ca="1">TblProd[[#This Row],[Lumber]]</f>
        <v>65908</v>
      </c>
      <c r="BL95" s="113">
        <f ca="1">TblProd[[#This Row],[Mana]]</f>
        <v>0</v>
      </c>
      <c r="BM95" s="113">
        <f ca="1">TblProd[[#This Row],[Ore]]</f>
        <v>0</v>
      </c>
    </row>
    <row r="96" spans="1:65" x14ac:dyDescent="0.2">
      <c r="A96" s="178">
        <v>21</v>
      </c>
      <c r="B96" s="198">
        <f ca="1">TblImps[[#This Row],[Time]]</f>
        <v>44346.83333333311</v>
      </c>
      <c r="C96" s="199"/>
      <c r="D96" s="200"/>
      <c r="E96" s="113">
        <f ca="1">TblConstr[[#This Row],[Land]]</f>
        <v>250</v>
      </c>
      <c r="F96" s="113">
        <f ca="1">TblPop[[#This Row],[Peasants]]</f>
        <v>1537</v>
      </c>
      <c r="G96" s="113">
        <f ca="1">TblMili[[#This Row],[Networth (2)]]</f>
        <v>6455</v>
      </c>
      <c r="H96" s="113">
        <f ca="1">OFFSET(TblProd[[#This Row],[Platinum]],-1,0)+OFFSET(TblProd[[#This Row],[Plat/hr]],-1,0) - TblProd[[#This Row],[Expenses Platinum]] + IF(TblProd[[#This Row],[Plat Bonus]],TblPop[[#This Row],[Peasants]]*4) + SUM(TblConstr[[#This Row],[Dest Hom]:[Dest Doc]])*TblConstr[[#This Row],[CPA Platinum -DB]]*tech_3_3_2*TblTech[[#This Row],[3-3]]</f>
        <v>605741</v>
      </c>
      <c r="I96" s="113">
        <f ca="1">OFFSET(TblProd[[#This Row],[Food]],-1,0)+OFFSET(TblProd[[#This Row],[Food/hr]],-1,0)+ROUNDUP((TblConstr[[#This Row],[Farms]]*80+TblConstr[[#This Row],[Docks]]*35)*(1+OFFSET(TblProd[[#This Row],[Bonus Food/hr]],-1,0)),0)</f>
        <v>126465</v>
      </c>
      <c r="J96" s="113">
        <f ca="1">OFFSET(TblProd[[#This Row],[Lumber]],-1,0)+OFFSET(TblProd[[#This Row],[Lumber/hr]],-1,0) - TblProd[[#This Row],[Expenses Lumber]] + SUM(TblConstr[[#This Row],[Dest Hom]:[Dest Doc]])*TblConstr[[#This Row],[CPA Lumber -DB]]*tech_3_3_2*TblTech[[#This Row],[3-3]]</f>
        <v>66249</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Row],[Techpoints]],-1,0)+(1+research_bonus)*(26*MIN((TblConstr[[#This Row],[Tot Sch]]/(TblProd[[#This Row],[Land]]-TblExplore[[#This Row],[Land Bonus]]*20))*100,40))-TblProd[[#This Row],[Required]]*TblTech[[#This Row],[…]],0) + IF(TblProd[[#This Row],[Plat Bonus]]&lt;&gt;"",750,0)</f>
        <v>0</v>
      </c>
      <c r="Q96" s="113">
        <v>10000</v>
      </c>
      <c r="R96" s="184"/>
      <c r="S96" s="113">
        <f ca="1">ROUNDDOWN(TblProd[[#This Row],[Raw Plat/hr]]*(1+TblProd[[#This Row],[Bonus Plat/hr]]),0)</f>
        <v>5499</v>
      </c>
      <c r="T96" s="113">
        <f ca="1">ROUND(TblProd[[#This Row],[Raw Food/hr]]*(1+TblProd[[#This Row],[Bonus Food/hr]])-TblProd[[#This Row],[Food decay]]-TblProd[[#This Row],[Food eaten]],0)</f>
        <v>720</v>
      </c>
      <c r="U96" s="113">
        <f ca="1">ROUND(TblProd[[#This Row],[Raw Lumber/hr]]*(1+TblProd[[#This Row],[Bonus Lumber/hr]])-TblProd[[#This Row],[Lumber rot]],0)</f>
        <v>338</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5499.9000000000005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1264.6500000000001</v>
      </c>
      <c r="AP96" s="113">
        <f ca="1">(1+race_food_consumption)*TblPop[[#This Row],[Total]]*food_per_person*(1+tech_1_10*TblTech[[#This Row],[1-10]]+tech_7_5*TblTech[[#This Row],[7-5]])</f>
        <v>595.75</v>
      </c>
      <c r="AQ96" s="113">
        <f ca="1">TblProd[[#This Row],[Lumber]]*lumber_rot * (1 + tech_2_1*TblTech[[#This Row],[2-1]] + tech_2_8*TblTech[[#This Row],[2-8]] + tech_5_2*TblTech[[#This Row],[5-2]])</f>
        <v>662.49</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44346.83333333311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605741</v>
      </c>
      <c r="BJ96" s="113">
        <f ca="1">TblProd[[#This Row],[Food]]</f>
        <v>126465</v>
      </c>
      <c r="BK96" s="113">
        <f ca="1">TblProd[[#This Row],[Lumber]]</f>
        <v>66249</v>
      </c>
      <c r="BL96" s="113">
        <f ca="1">TblProd[[#This Row],[Mana]]</f>
        <v>0</v>
      </c>
      <c r="BM96" s="113">
        <f ca="1">TblProd[[#This Row],[Ore]]</f>
        <v>0</v>
      </c>
    </row>
    <row r="97" spans="1:65" x14ac:dyDescent="0.2">
      <c r="A97" s="178">
        <v>22</v>
      </c>
      <c r="B97" s="198">
        <f ca="1">TblImps[[#This Row],[Time]]</f>
        <v>44346.874999999774</v>
      </c>
      <c r="C97" s="199"/>
      <c r="D97" s="200"/>
      <c r="E97" s="113">
        <f ca="1">TblConstr[[#This Row],[Land]]</f>
        <v>250</v>
      </c>
      <c r="F97" s="113">
        <f ca="1">TblPop[[#This Row],[Peasants]]</f>
        <v>1537</v>
      </c>
      <c r="G97" s="113">
        <f ca="1">TblMili[[#This Row],[Networth (2)]]</f>
        <v>6455</v>
      </c>
      <c r="H97" s="113">
        <f ca="1">OFFSET(TblProd[[#This Row],[Platinum]],-1,0)+OFFSET(TblProd[[#This Row],[Plat/hr]],-1,0) - TblProd[[#This Row],[Expenses Platinum]] + IF(TblProd[[#This Row],[Plat Bonus]],TblPop[[#This Row],[Peasants]]*4) + SUM(TblConstr[[#This Row],[Dest Hom]:[Dest Doc]])*TblConstr[[#This Row],[CPA Platinum -DB]]*tech_3_3_2*TblTech[[#This Row],[3-3]]</f>
        <v>611240</v>
      </c>
      <c r="I97" s="113">
        <f ca="1">OFFSET(TblProd[[#This Row],[Food]],-1,0)+OFFSET(TblProd[[#This Row],[Food/hr]],-1,0)+ROUNDUP((TblConstr[[#This Row],[Farms]]*80+TblConstr[[#This Row],[Docks]]*35)*(1+OFFSET(TblProd[[#This Row],[Bonus Food/hr]],-1,0)),0)</f>
        <v>127185</v>
      </c>
      <c r="J97" s="113">
        <f ca="1">OFFSET(TblProd[[#This Row],[Lumber]],-1,0)+OFFSET(TblProd[[#This Row],[Lumber/hr]],-1,0) - TblProd[[#This Row],[Expenses Lumber]] + SUM(TblConstr[[#This Row],[Dest Hom]:[Dest Doc]])*TblConstr[[#This Row],[CPA Lumber -DB]]*tech_3_3_2*TblTech[[#This Row],[3-3]]</f>
        <v>66587</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Row],[Techpoints]],-1,0)+(1+research_bonus)*(26*MIN((TblConstr[[#This Row],[Tot Sch]]/(TblProd[[#This Row],[Land]]-TblExplore[[#This Row],[Land Bonus]]*20))*100,40))-TblProd[[#This Row],[Required]]*TblTech[[#This Row],[…]],0) + IF(TblProd[[#This Row],[Plat Bonus]]&lt;&gt;"",750,0)</f>
        <v>0</v>
      </c>
      <c r="Q97" s="113">
        <v>10000</v>
      </c>
      <c r="R97" s="184"/>
      <c r="S97" s="113">
        <f ca="1">ROUNDDOWN(TblProd[[#This Row],[Raw Plat/hr]]*(1+TblProd[[#This Row],[Bonus Plat/hr]]),0)</f>
        <v>5499</v>
      </c>
      <c r="T97" s="113">
        <f ca="1">ROUND(TblProd[[#This Row],[Raw Food/hr]]*(1+TblProd[[#This Row],[Bonus Food/hr]])-TblProd[[#This Row],[Food decay]]-TblProd[[#This Row],[Food eaten]],0)</f>
        <v>712</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5499.9000000000005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1271.8500000000001</v>
      </c>
      <c r="AP97" s="113">
        <f ca="1">(1+race_food_consumption)*TblPop[[#This Row],[Total]]*food_per_person*(1+tech_1_10*TblTech[[#This Row],[1-10]]+tech_7_5*TblTech[[#This Row],[7-5]])</f>
        <v>595.75</v>
      </c>
      <c r="AQ97" s="113">
        <f ca="1">TblProd[[#This Row],[Lumber]]*lumber_rot * (1 + tech_2_1*TblTech[[#This Row],[2-1]] + tech_2_8*TblTech[[#This Row],[2-8]] + tech_5_2*TblTech[[#This Row],[5-2]])</f>
        <v>665.87</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44346.874999999774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611240</v>
      </c>
      <c r="BJ97" s="113">
        <f ca="1">TblProd[[#This Row],[Food]]</f>
        <v>127185</v>
      </c>
      <c r="BK97" s="113">
        <f ca="1">TblProd[[#This Row],[Lumber]]</f>
        <v>66587</v>
      </c>
      <c r="BL97" s="113">
        <f ca="1">TblProd[[#This Row],[Mana]]</f>
        <v>0</v>
      </c>
      <c r="BM97" s="113">
        <f ca="1">TblProd[[#This Row],[Ore]]</f>
        <v>0</v>
      </c>
    </row>
    <row r="98" spans="1:65" x14ac:dyDescent="0.2">
      <c r="A98" s="178">
        <v>23</v>
      </c>
      <c r="B98" s="198">
        <f ca="1">TblImps[[#This Row],[Time]]</f>
        <v>44346.916666666439</v>
      </c>
      <c r="C98" s="199"/>
      <c r="D98" s="200"/>
      <c r="E98" s="113">
        <f ca="1">TblConstr[[#This Row],[Land]]</f>
        <v>250</v>
      </c>
      <c r="F98" s="113">
        <f ca="1">TblPop[[#This Row],[Peasants]]</f>
        <v>1537</v>
      </c>
      <c r="G98" s="113">
        <f ca="1">TblMili[[#This Row],[Networth (2)]]</f>
        <v>6455</v>
      </c>
      <c r="H98" s="113">
        <f ca="1">OFFSET(TblProd[[#This Row],[Platinum]],-1,0)+OFFSET(TblProd[[#This Row],[Plat/hr]],-1,0) - TblProd[[#This Row],[Expenses Platinum]] + IF(TblProd[[#This Row],[Plat Bonus]],TblPop[[#This Row],[Peasants]]*4) + SUM(TblConstr[[#This Row],[Dest Hom]:[Dest Doc]])*TblConstr[[#This Row],[CPA Platinum -DB]]*tech_3_3_2*TblTech[[#This Row],[3-3]]</f>
        <v>616739</v>
      </c>
      <c r="I98" s="113">
        <f ca="1">OFFSET(TblProd[[#This Row],[Food]],-1,0)+OFFSET(TblProd[[#This Row],[Food/hr]],-1,0)+ROUNDUP((TblConstr[[#This Row],[Farms]]*80+TblConstr[[#This Row],[Docks]]*35)*(1+OFFSET(TblProd[[#This Row],[Bonus Food/hr]],-1,0)),0)</f>
        <v>127897</v>
      </c>
      <c r="J98" s="113">
        <f ca="1">OFFSET(TblProd[[#This Row],[Lumber]],-1,0)+OFFSET(TblProd[[#This Row],[Lumber/hr]],-1,0) - TblProd[[#This Row],[Expenses Lumber]] + SUM(TblConstr[[#This Row],[Dest Hom]:[Dest Doc]])*TblConstr[[#This Row],[CPA Lumber -DB]]*tech_3_3_2*TblTech[[#This Row],[3-3]]</f>
        <v>66921</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Row],[Techpoints]],-1,0)+(1+research_bonus)*(26*MIN((TblConstr[[#This Row],[Tot Sch]]/(TblProd[[#This Row],[Land]]-TblExplore[[#This Row],[Land Bonus]]*20))*100,40))-TblProd[[#This Row],[Required]]*TblTech[[#This Row],[…]],0) + IF(TblProd[[#This Row],[Plat Bonus]]&lt;&gt;"",750,0)</f>
        <v>0</v>
      </c>
      <c r="Q98" s="113">
        <v>10000</v>
      </c>
      <c r="R98" s="184"/>
      <c r="S98" s="113">
        <f ca="1">ROUNDDOWN(TblProd[[#This Row],[Raw Plat/hr]]*(1+TblProd[[#This Row],[Bonus Plat/hr]]),0)</f>
        <v>5499</v>
      </c>
      <c r="T98" s="113">
        <f ca="1">ROUND(TblProd[[#This Row],[Raw Food/hr]]*(1+TblProd[[#This Row],[Bonus Food/hr]])-TblProd[[#This Row],[Food decay]]-TblProd[[#This Row],[Food eaten]],0)</f>
        <v>705</v>
      </c>
      <c r="U98" s="113">
        <f ca="1">ROUND(TblProd[[#This Row],[Raw Lumber/hr]]*(1+TblProd[[#This Row],[Bonus Lumber/hr]])-TblProd[[#This Row],[Lumber rot]],0)</f>
        <v>331</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5499.9000000000005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1278.97</v>
      </c>
      <c r="AP98" s="113">
        <f ca="1">(1+race_food_consumption)*TblPop[[#This Row],[Total]]*food_per_person*(1+tech_1_10*TblTech[[#This Row],[1-10]]+tech_7_5*TblTech[[#This Row],[7-5]])</f>
        <v>595.75</v>
      </c>
      <c r="AQ98" s="113">
        <f ca="1">TblProd[[#This Row],[Lumber]]*lumber_rot * (1 + tech_2_1*TblTech[[#This Row],[2-1]] + tech_2_8*TblTech[[#This Row],[2-8]] + tech_5_2*TblTech[[#This Row],[5-2]])</f>
        <v>669.21</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44346.916666666439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616739</v>
      </c>
      <c r="BJ98" s="113">
        <f ca="1">TblProd[[#This Row],[Food]]</f>
        <v>127897</v>
      </c>
      <c r="BK98" s="113">
        <f ca="1">TblProd[[#This Row],[Lumber]]</f>
        <v>66921</v>
      </c>
      <c r="BL98" s="113">
        <f ca="1">TblProd[[#This Row],[Mana]]</f>
        <v>0</v>
      </c>
      <c r="BM98" s="113">
        <f ca="1">TblProd[[#This Row],[Ore]]</f>
        <v>0</v>
      </c>
    </row>
    <row r="99" spans="1:65" x14ac:dyDescent="0.2">
      <c r="A99" s="178">
        <v>24</v>
      </c>
      <c r="B99" s="198">
        <f ca="1">TblImps[[#This Row],[Time]]</f>
        <v>44346.958333333103</v>
      </c>
      <c r="C99" s="199"/>
      <c r="D99" s="200"/>
      <c r="E99" s="113">
        <f ca="1">TblConstr[[#This Row],[Land]]</f>
        <v>250</v>
      </c>
      <c r="F99" s="113">
        <f ca="1">TblPop[[#This Row],[Peasants]]</f>
        <v>1537</v>
      </c>
      <c r="G99" s="113">
        <f ca="1">TblMili[[#This Row],[Networth (2)]]</f>
        <v>6455</v>
      </c>
      <c r="H99" s="113">
        <f ca="1">OFFSET(TblProd[[#This Row],[Platinum]],-1,0)+OFFSET(TblProd[[#This Row],[Plat/hr]],-1,0) - TblProd[[#This Row],[Expenses Platinum]] + IF(TblProd[[#This Row],[Plat Bonus]],TblPop[[#This Row],[Peasants]]*4) + SUM(TblConstr[[#This Row],[Dest Hom]:[Dest Doc]])*TblConstr[[#This Row],[CPA Platinum -DB]]*tech_3_3_2*TblTech[[#This Row],[3-3]]</f>
        <v>622238</v>
      </c>
      <c r="I99" s="113">
        <f ca="1">OFFSET(TblProd[[#This Row],[Food]],-1,0)+OFFSET(TblProd[[#This Row],[Food/hr]],-1,0)+ROUNDUP((TblConstr[[#This Row],[Farms]]*80+TblConstr[[#This Row],[Docks]]*35)*(1+OFFSET(TblProd[[#This Row],[Bonus Food/hr]],-1,0)),0)</f>
        <v>128602</v>
      </c>
      <c r="J99" s="113">
        <f ca="1">OFFSET(TblProd[[#This Row],[Lumber]],-1,0)+OFFSET(TblProd[[#This Row],[Lumber/hr]],-1,0) - TblProd[[#This Row],[Expenses Lumber]] + SUM(TblConstr[[#This Row],[Dest Hom]:[Dest Doc]])*TblConstr[[#This Row],[CPA Lumber -DB]]*tech_3_3_2*TblTech[[#This Row],[3-3]]</f>
        <v>67252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Row],[Techpoints]],-1,0)+(1+research_bonus)*(26*MIN((TblConstr[[#This Row],[Tot Sch]]/(TblProd[[#This Row],[Land]]-TblExplore[[#This Row],[Land Bonus]]*20))*100,40))-TblProd[[#This Row],[Required]]*TblTech[[#This Row],[…]],0) + IF(TblProd[[#This Row],[Plat Bonus]]&lt;&gt;"",750,0)</f>
        <v>0</v>
      </c>
      <c r="Q99" s="113">
        <v>10000</v>
      </c>
      <c r="R99" s="184"/>
      <c r="S99" s="113">
        <f ca="1">ROUNDDOWN(TblProd[[#This Row],[Raw Plat/hr]]*(1+TblProd[[#This Row],[Bonus Plat/hr]]),0)</f>
        <v>5499</v>
      </c>
      <c r="T99" s="113">
        <f ca="1">ROUND(TblProd[[#This Row],[Raw Food/hr]]*(1+TblProd[[#This Row],[Bonus Food/hr]])-TblProd[[#This Row],[Food decay]]-TblProd[[#This Row],[Food eaten]],0)</f>
        <v>698</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5499.9000000000005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1286.02</v>
      </c>
      <c r="AP99" s="113">
        <f ca="1">(1+race_food_consumption)*TblPop[[#This Row],[Total]]*food_per_person*(1+tech_1_10*TblTech[[#This Row],[1-10]]+tech_7_5*TblTech[[#This Row],[7-5]])</f>
        <v>595.75</v>
      </c>
      <c r="AQ99" s="113">
        <f ca="1">TblProd[[#This Row],[Lumber]]*lumber_rot * (1 + tech_2_1*TblTech[[#This Row],[2-1]] + tech_2_8*TblTech[[#This Row],[2-8]] + tech_5_2*TblTech[[#This Row],[5-2]])</f>
        <v>672.52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44346.958333333103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622238</v>
      </c>
      <c r="BJ99" s="113">
        <f ca="1">TblProd[[#This Row],[Food]]</f>
        <v>128602</v>
      </c>
      <c r="BK99" s="113">
        <f ca="1">TblProd[[#This Row],[Lumber]]</f>
        <v>67252</v>
      </c>
      <c r="BL99" s="113">
        <f ca="1">TblProd[[#This Row],[Mana]]</f>
        <v>0</v>
      </c>
      <c r="BM99" s="113">
        <f ca="1">TblProd[[#This Row],[Ore]]</f>
        <v>0</v>
      </c>
    </row>
    <row r="100" spans="1:65" x14ac:dyDescent="0.2">
      <c r="A100" s="178">
        <v>25</v>
      </c>
      <c r="B100" s="198">
        <f ca="1">TblImps[[#This Row],[Time]]</f>
        <v>44346.999999999767</v>
      </c>
      <c r="C100" s="199"/>
      <c r="D100" s="200"/>
      <c r="E100" s="113">
        <f ca="1">TblConstr[[#This Row],[Land]]</f>
        <v>250</v>
      </c>
      <c r="F100" s="113">
        <f ca="1">TblPop[[#This Row],[Peasants]]</f>
        <v>1537</v>
      </c>
      <c r="G100" s="113">
        <f ca="1">TblMili[[#This Row],[Networth (2)]]</f>
        <v>6455</v>
      </c>
      <c r="H100" s="113">
        <f ca="1">OFFSET(TblProd[[#This Row],[Platinum]],-1,0)+OFFSET(TblProd[[#This Row],[Plat/hr]],-1,0) - TblProd[[#This Row],[Expenses Platinum]] + IF(TblProd[[#This Row],[Plat Bonus]],TblPop[[#This Row],[Peasants]]*4) + SUM(TblConstr[[#This Row],[Dest Hom]:[Dest Doc]])*TblConstr[[#This Row],[CPA Platinum -DB]]*tech_3_3_2*TblTech[[#This Row],[3-3]]</f>
        <v>627737</v>
      </c>
      <c r="I100" s="113">
        <f ca="1">OFFSET(TblProd[[#This Row],[Food]],-1,0)+OFFSET(TblProd[[#This Row],[Food/hr]],-1,0)+ROUNDUP((TblConstr[[#This Row],[Farms]]*80+TblConstr[[#This Row],[Docks]]*35)*(1+OFFSET(TblProd[[#This Row],[Bonus Food/hr]],-1,0)),0)</f>
        <v>129300</v>
      </c>
      <c r="J100" s="113">
        <f ca="1">OFFSET(TblProd[[#This Row],[Lumber]],-1,0)+OFFSET(TblProd[[#This Row],[Lumber/hr]],-1,0) - TblProd[[#This Row],[Expenses Lumber]] + SUM(TblConstr[[#This Row],[Dest Hom]:[Dest Doc]])*TblConstr[[#This Row],[CPA Lumber -DB]]*tech_3_3_2*TblTech[[#This Row],[3-3]]</f>
        <v>67579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Row],[Techpoints]],-1,0)+(1+research_bonus)*(26*MIN((TblConstr[[#This Row],[Tot Sch]]/(TblProd[[#This Row],[Land]]-TblExplore[[#This Row],[Land Bonus]]*20))*100,40))-TblProd[[#This Row],[Required]]*TblTech[[#This Row],[…]],0) + IF(TblProd[[#This Row],[Plat Bonus]]&lt;&gt;"",750,0)</f>
        <v>0</v>
      </c>
      <c r="Q100" s="113">
        <v>10000</v>
      </c>
      <c r="R100" s="184"/>
      <c r="S100" s="113">
        <f ca="1">ROUNDDOWN(TblProd[[#This Row],[Raw Plat/hr]]*(1+TblProd[[#This Row],[Bonus Plat/hr]]),0)</f>
        <v>5499</v>
      </c>
      <c r="T100" s="113">
        <f ca="1">ROUND(TblProd[[#This Row],[Raw Food/hr]]*(1+TblProd[[#This Row],[Bonus Food/hr]])-TblProd[[#This Row],[Food decay]]-TblProd[[#This Row],[Food eaten]],0)</f>
        <v>691</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5499.9000000000005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1293</v>
      </c>
      <c r="AP100" s="113">
        <f ca="1">(1+race_food_consumption)*TblPop[[#This Row],[Total]]*food_per_person*(1+tech_1_10*TblTech[[#This Row],[1-10]]+tech_7_5*TblTech[[#This Row],[7-5]])</f>
        <v>595.75</v>
      </c>
      <c r="AQ100" s="113">
        <f ca="1">TblProd[[#This Row],[Lumber]]*lumber_rot * (1 + tech_2_1*TblTech[[#This Row],[2-1]] + tech_2_8*TblTech[[#This Row],[2-8]] + tech_5_2*TblTech[[#This Row],[5-2]])</f>
        <v>675.79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44346.999999999767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627737</v>
      </c>
      <c r="BJ100" s="113">
        <f ca="1">TblProd[[#This Row],[Food]]</f>
        <v>129300</v>
      </c>
      <c r="BK100" s="113">
        <f ca="1">TblProd[[#This Row],[Lumber]]</f>
        <v>67579</v>
      </c>
      <c r="BL100" s="113">
        <f ca="1">TblProd[[#This Row],[Mana]]</f>
        <v>0</v>
      </c>
      <c r="BM100" s="113">
        <f ca="1">TblProd[[#This Row],[Ore]]</f>
        <v>0</v>
      </c>
    </row>
    <row r="101" spans="1:65" x14ac:dyDescent="0.2">
      <c r="A101" s="178">
        <v>26</v>
      </c>
      <c r="B101" s="198">
        <f ca="1">TblImps[[#This Row],[Time]]</f>
        <v>44347.041666666431</v>
      </c>
      <c r="C101" s="199"/>
      <c r="D101" s="200"/>
      <c r="E101" s="113">
        <f ca="1">TblConstr[[#This Row],[Land]]</f>
        <v>250</v>
      </c>
      <c r="F101" s="113">
        <f ca="1">TblPop[[#This Row],[Peasants]]</f>
        <v>1537</v>
      </c>
      <c r="G101" s="113">
        <f ca="1">TblMili[[#This Row],[Networth (2)]]</f>
        <v>6455</v>
      </c>
      <c r="H101" s="113">
        <f ca="1">OFFSET(TblProd[[#This Row],[Platinum]],-1,0)+OFFSET(TblProd[[#This Row],[Plat/hr]],-1,0) - TblProd[[#This Row],[Expenses Platinum]] + IF(TblProd[[#This Row],[Plat Bonus]],TblPop[[#This Row],[Peasants]]*4) + SUM(TblConstr[[#This Row],[Dest Hom]:[Dest Doc]])*TblConstr[[#This Row],[CPA Platinum -DB]]*tech_3_3_2*TblTech[[#This Row],[3-3]]</f>
        <v>633236</v>
      </c>
      <c r="I101" s="113">
        <f ca="1">OFFSET(TblProd[[#This Row],[Food]],-1,0)+OFFSET(TblProd[[#This Row],[Food/hr]],-1,0)+ROUNDUP((TblConstr[[#This Row],[Farms]]*80+TblConstr[[#This Row],[Docks]]*35)*(1+OFFSET(TblProd[[#This Row],[Bonus Food/hr]],-1,0)),0)</f>
        <v>129991</v>
      </c>
      <c r="J101" s="113">
        <f ca="1">OFFSET(TblProd[[#This Row],[Lumber]],-1,0)+OFFSET(TblProd[[#This Row],[Lumber/hr]],-1,0) - TblProd[[#This Row],[Expenses Lumber]] + SUM(TblConstr[[#This Row],[Dest Hom]:[Dest Doc]])*TblConstr[[#This Row],[CPA Lumber -DB]]*tech_3_3_2*TblTech[[#This Row],[3-3]]</f>
        <v>67903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Row],[Techpoints]],-1,0)+(1+research_bonus)*(26*MIN((TblConstr[[#This Row],[Tot Sch]]/(TblProd[[#This Row],[Land]]-TblExplore[[#This Row],[Land Bonus]]*20))*100,40))-TblProd[[#This Row],[Required]]*TblTech[[#This Row],[…]],0) + IF(TblProd[[#This Row],[Plat Bonus]]&lt;&gt;"",750,0)</f>
        <v>0</v>
      </c>
      <c r="Q101" s="113">
        <v>10000</v>
      </c>
      <c r="R101" s="184"/>
      <c r="S101" s="113">
        <f ca="1">ROUNDDOWN(TblProd[[#This Row],[Raw Plat/hr]]*(1+TblProd[[#This Row],[Bonus Plat/hr]]),0)</f>
        <v>5499</v>
      </c>
      <c r="T101" s="113">
        <f ca="1">ROUND(TblProd[[#This Row],[Raw Food/hr]]*(1+TblProd[[#This Row],[Bonus Food/hr]])-TblProd[[#This Row],[Food decay]]-TblProd[[#This Row],[Food eaten]],0)</f>
        <v>684</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5499.9000000000005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1299.9100000000001</v>
      </c>
      <c r="AP101" s="113">
        <f ca="1">(1+race_food_consumption)*TblPop[[#This Row],[Total]]*food_per_person*(1+tech_1_10*TblTech[[#This Row],[1-10]]+tech_7_5*TblTech[[#This Row],[7-5]])</f>
        <v>595.75</v>
      </c>
      <c r="AQ101" s="113">
        <f ca="1">TblProd[[#This Row],[Lumber]]*lumber_rot * (1 + tech_2_1*TblTech[[#This Row],[2-1]] + tech_2_8*TblTech[[#This Row],[2-8]] + tech_5_2*TblTech[[#This Row],[5-2]])</f>
        <v>679.03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44347.041666666431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633236</v>
      </c>
      <c r="BJ101" s="113">
        <f ca="1">TblProd[[#This Row],[Food]]</f>
        <v>129991</v>
      </c>
      <c r="BK101" s="113">
        <f ca="1">TblProd[[#This Row],[Lumber]]</f>
        <v>67903</v>
      </c>
      <c r="BL101" s="113">
        <f ca="1">TblProd[[#This Row],[Mana]]</f>
        <v>0</v>
      </c>
      <c r="BM101" s="113">
        <f ca="1">TblProd[[#This Row],[Ore]]</f>
        <v>0</v>
      </c>
    </row>
    <row r="102" spans="1:65" x14ac:dyDescent="0.2">
      <c r="A102" s="178">
        <v>27</v>
      </c>
      <c r="B102" s="198">
        <f ca="1">TblImps[[#This Row],[Time]]</f>
        <v>44347.083333333096</v>
      </c>
      <c r="C102" s="199"/>
      <c r="D102" s="200"/>
      <c r="E102" s="113">
        <f ca="1">TblConstr[[#This Row],[Land]]</f>
        <v>250</v>
      </c>
      <c r="F102" s="113">
        <f ca="1">TblPop[[#This Row],[Peasants]]</f>
        <v>1537</v>
      </c>
      <c r="G102" s="113">
        <f ca="1">TblMili[[#This Row],[Networth (2)]]</f>
        <v>6455</v>
      </c>
      <c r="H102" s="113">
        <f ca="1">OFFSET(TblProd[[#This Row],[Platinum]],-1,0)+OFFSET(TblProd[[#This Row],[Plat/hr]],-1,0) - TblProd[[#This Row],[Expenses Platinum]] + IF(TblProd[[#This Row],[Plat Bonus]],TblPop[[#This Row],[Peasants]]*4) + SUM(TblConstr[[#This Row],[Dest Hom]:[Dest Doc]])*TblConstr[[#This Row],[CPA Platinum -DB]]*tech_3_3_2*TblTech[[#This Row],[3-3]]</f>
        <v>638735</v>
      </c>
      <c r="I102" s="113">
        <f ca="1">OFFSET(TblProd[[#This Row],[Food]],-1,0)+OFFSET(TblProd[[#This Row],[Food/hr]],-1,0)+ROUNDUP((TblConstr[[#This Row],[Farms]]*80+TblConstr[[#This Row],[Docks]]*35)*(1+OFFSET(TblProd[[#This Row],[Bonus Food/hr]],-1,0)),0)</f>
        <v>130675</v>
      </c>
      <c r="J102" s="113">
        <f ca="1">OFFSET(TblProd[[#This Row],[Lumber]],-1,0)+OFFSET(TblProd[[#This Row],[Lumber/hr]],-1,0) - TblProd[[#This Row],[Expenses Lumber]] + SUM(TblConstr[[#This Row],[Dest Hom]:[Dest Doc]])*TblConstr[[#This Row],[CPA Lumber -DB]]*tech_3_3_2*TblTech[[#This Row],[3-3]]</f>
        <v>68224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Row],[Techpoints]],-1,0)+(1+research_bonus)*(26*MIN((TblConstr[[#This Row],[Tot Sch]]/(TblProd[[#This Row],[Land]]-TblExplore[[#This Row],[Land Bonus]]*20))*100,40))-TblProd[[#This Row],[Required]]*TblTech[[#This Row],[…]],0) + IF(TblProd[[#This Row],[Plat Bonus]]&lt;&gt;"",750,0)</f>
        <v>0</v>
      </c>
      <c r="Q102" s="113">
        <v>10000</v>
      </c>
      <c r="R102" s="184"/>
      <c r="S102" s="113">
        <f ca="1">ROUNDDOWN(TblProd[[#This Row],[Raw Plat/hr]]*(1+TblProd[[#This Row],[Bonus Plat/hr]]),0)</f>
        <v>5499</v>
      </c>
      <c r="T102" s="113">
        <f ca="1">ROUND(TblProd[[#This Row],[Raw Food/hr]]*(1+TblProd[[#This Row],[Bonus Food/hr]])-TblProd[[#This Row],[Food decay]]-TblProd[[#This Row],[Food eaten]],0)</f>
        <v>678</v>
      </c>
      <c r="U102" s="113">
        <f ca="1">ROUND(TblProd[[#This Row],[Raw Lumber/hr]]*(1+TblProd[[#This Row],[Bonus Lumber/hr]])-TblProd[[#This Row],[Lumber rot]],0)</f>
        <v>318</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5499.9000000000005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1306.75</v>
      </c>
      <c r="AP102" s="113">
        <f ca="1">(1+race_food_consumption)*TblPop[[#This Row],[Total]]*food_per_person*(1+tech_1_10*TblTech[[#This Row],[1-10]]+tech_7_5*TblTech[[#This Row],[7-5]])</f>
        <v>595.75</v>
      </c>
      <c r="AQ102" s="113">
        <f ca="1">TblProd[[#This Row],[Lumber]]*lumber_rot * (1 + tech_2_1*TblTech[[#This Row],[2-1]] + tech_2_8*TblTech[[#This Row],[2-8]] + tech_5_2*TblTech[[#This Row],[5-2]])</f>
        <v>682.24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44347.083333333096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638735</v>
      </c>
      <c r="BJ102" s="113">
        <f ca="1">TblProd[[#This Row],[Food]]</f>
        <v>130675</v>
      </c>
      <c r="BK102" s="113">
        <f ca="1">TblProd[[#This Row],[Lumber]]</f>
        <v>68224</v>
      </c>
      <c r="BL102" s="113">
        <f ca="1">TblProd[[#This Row],[Mana]]</f>
        <v>0</v>
      </c>
      <c r="BM102" s="113">
        <f ca="1">TblProd[[#This Row],[Ore]]</f>
        <v>0</v>
      </c>
    </row>
    <row r="103" spans="1:65" x14ac:dyDescent="0.2">
      <c r="A103" s="178">
        <v>28</v>
      </c>
      <c r="B103" s="198">
        <f ca="1">TblImps[[#This Row],[Time]]</f>
        <v>44347.12499999976</v>
      </c>
      <c r="C103" s="199"/>
      <c r="D103" s="200"/>
      <c r="E103" s="113">
        <f ca="1">TblConstr[[#This Row],[Land]]</f>
        <v>250</v>
      </c>
      <c r="F103" s="113">
        <f ca="1">TblPop[[#This Row],[Peasants]]</f>
        <v>1537</v>
      </c>
      <c r="G103" s="113">
        <f ca="1">TblMili[[#This Row],[Networth (2)]]</f>
        <v>6455</v>
      </c>
      <c r="H103" s="113">
        <f ca="1">OFFSET(TblProd[[#This Row],[Platinum]],-1,0)+OFFSET(TblProd[[#This Row],[Plat/hr]],-1,0) - TblProd[[#This Row],[Expenses Platinum]] + IF(TblProd[[#This Row],[Plat Bonus]],TblPop[[#This Row],[Peasants]]*4) + SUM(TblConstr[[#This Row],[Dest Hom]:[Dest Doc]])*TblConstr[[#This Row],[CPA Platinum -DB]]*tech_3_3_2*TblTech[[#This Row],[3-3]]</f>
        <v>644234</v>
      </c>
      <c r="I103" s="113">
        <f ca="1">OFFSET(TblProd[[#This Row],[Food]],-1,0)+OFFSET(TblProd[[#This Row],[Food/hr]],-1,0)+ROUNDUP((TblConstr[[#This Row],[Farms]]*80+TblConstr[[#This Row],[Docks]]*35)*(1+OFFSET(TblProd[[#This Row],[Bonus Food/hr]],-1,0)),0)</f>
        <v>131353</v>
      </c>
      <c r="J103" s="113">
        <f ca="1">OFFSET(TblProd[[#This Row],[Lumber]],-1,0)+OFFSET(TblProd[[#This Row],[Lumber/hr]],-1,0) - TblProd[[#This Row],[Expenses Lumber]] + SUM(TblConstr[[#This Row],[Dest Hom]:[Dest Doc]])*TblConstr[[#This Row],[CPA Lumber -DB]]*tech_3_3_2*TblTech[[#This Row],[3-3]]</f>
        <v>68542</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Row],[Techpoints]],-1,0)+(1+research_bonus)*(26*MIN((TblConstr[[#This Row],[Tot Sch]]/(TblProd[[#This Row],[Land]]-TblExplore[[#This Row],[Land Bonus]]*20))*100,40))-TblProd[[#This Row],[Required]]*TblTech[[#This Row],[…]],0) + IF(TblProd[[#This Row],[Plat Bonus]]&lt;&gt;"",750,0)</f>
        <v>0</v>
      </c>
      <c r="Q103" s="113">
        <v>10000</v>
      </c>
      <c r="R103" s="184"/>
      <c r="S103" s="113">
        <f ca="1">ROUNDDOWN(TblProd[[#This Row],[Raw Plat/hr]]*(1+TblProd[[#This Row],[Bonus Plat/hr]]),0)</f>
        <v>5499</v>
      </c>
      <c r="T103" s="113">
        <f ca="1">ROUND(TblProd[[#This Row],[Raw Food/hr]]*(1+TblProd[[#This Row],[Bonus Food/hr]])-TblProd[[#This Row],[Food decay]]-TblProd[[#This Row],[Food eaten]],0)</f>
        <v>671</v>
      </c>
      <c r="U103" s="113">
        <f ca="1">ROUND(TblProd[[#This Row],[Raw Lumber/hr]]*(1+TblProd[[#This Row],[Bonus Lumber/hr]])-TblProd[[#This Row],[Lumber rot]],0)</f>
        <v>315</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5499.9000000000005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1313.53</v>
      </c>
      <c r="AP103" s="113">
        <f ca="1">(1+race_food_consumption)*TblPop[[#This Row],[Total]]*food_per_person*(1+tech_1_10*TblTech[[#This Row],[1-10]]+tech_7_5*TblTech[[#This Row],[7-5]])</f>
        <v>595.75</v>
      </c>
      <c r="AQ103" s="113">
        <f ca="1">TblProd[[#This Row],[Lumber]]*lumber_rot * (1 + tech_2_1*TblTech[[#This Row],[2-1]] + tech_2_8*TblTech[[#This Row],[2-8]] + tech_5_2*TblTech[[#This Row],[5-2]])</f>
        <v>685.42</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44347.12499999976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644234</v>
      </c>
      <c r="BJ103" s="113">
        <f ca="1">TblProd[[#This Row],[Food]]</f>
        <v>131353</v>
      </c>
      <c r="BK103" s="113">
        <f ca="1">TblProd[[#This Row],[Lumber]]</f>
        <v>68542</v>
      </c>
      <c r="BL103" s="113">
        <f ca="1">TblProd[[#This Row],[Mana]]</f>
        <v>0</v>
      </c>
      <c r="BM103" s="113">
        <f ca="1">TblProd[[#This Row],[Ore]]</f>
        <v>0</v>
      </c>
    </row>
    <row r="104" spans="1:65" x14ac:dyDescent="0.2">
      <c r="A104" s="178">
        <v>29</v>
      </c>
      <c r="B104" s="198">
        <f ca="1">TblImps[[#This Row],[Time]]</f>
        <v>44347.166666666424</v>
      </c>
      <c r="C104" s="199"/>
      <c r="D104" s="200"/>
      <c r="E104" s="113">
        <f ca="1">TblConstr[[#This Row],[Land]]</f>
        <v>250</v>
      </c>
      <c r="F104" s="113">
        <f ca="1">TblPop[[#This Row],[Peasants]]</f>
        <v>1537</v>
      </c>
      <c r="G104" s="113">
        <f ca="1">TblMili[[#This Row],[Networth (2)]]</f>
        <v>6455</v>
      </c>
      <c r="H104" s="113">
        <f ca="1">OFFSET(TblProd[[#This Row],[Platinum]],-1,0)+OFFSET(TblProd[[#This Row],[Plat/hr]],-1,0) - TblProd[[#This Row],[Expenses Platinum]] + IF(TblProd[[#This Row],[Plat Bonus]],TblPop[[#This Row],[Peasants]]*4) + SUM(TblConstr[[#This Row],[Dest Hom]:[Dest Doc]])*TblConstr[[#This Row],[CPA Platinum -DB]]*tech_3_3_2*TblTech[[#This Row],[3-3]]</f>
        <v>649733</v>
      </c>
      <c r="I104" s="113">
        <f ca="1">OFFSET(TblProd[[#This Row],[Food]],-1,0)+OFFSET(TblProd[[#This Row],[Food/hr]],-1,0)+ROUNDUP((TblConstr[[#This Row],[Farms]]*80+TblConstr[[#This Row],[Docks]]*35)*(1+OFFSET(TblProd[[#This Row],[Bonus Food/hr]],-1,0)),0)</f>
        <v>132024</v>
      </c>
      <c r="J104" s="113">
        <f ca="1">OFFSET(TblProd[[#This Row],[Lumber]],-1,0)+OFFSET(TblProd[[#This Row],[Lumber/hr]],-1,0) - TblProd[[#This Row],[Expenses Lumber]] + SUM(TblConstr[[#This Row],[Dest Hom]:[Dest Doc]])*TblConstr[[#This Row],[CPA Lumber -DB]]*tech_3_3_2*TblTech[[#This Row],[3-3]]</f>
        <v>68857</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Row],[Techpoints]],-1,0)+(1+research_bonus)*(26*MIN((TblConstr[[#This Row],[Tot Sch]]/(TblProd[[#This Row],[Land]]-TblExplore[[#This Row],[Land Bonus]]*20))*100,40))-TblProd[[#This Row],[Required]]*TblTech[[#This Row],[…]],0) + IF(TblProd[[#This Row],[Plat Bonus]]&lt;&gt;"",750,0)</f>
        <v>0</v>
      </c>
      <c r="Q104" s="113">
        <v>10000</v>
      </c>
      <c r="R104" s="184"/>
      <c r="S104" s="113">
        <f ca="1">ROUNDDOWN(TblProd[[#This Row],[Raw Plat/hr]]*(1+TblProd[[#This Row],[Bonus Plat/hr]]),0)</f>
        <v>5499</v>
      </c>
      <c r="T104" s="113">
        <f ca="1">ROUND(TblProd[[#This Row],[Raw Food/hr]]*(1+TblProd[[#This Row],[Bonus Food/hr]])-TblProd[[#This Row],[Food decay]]-TblProd[[#This Row],[Food eaten]],0)</f>
        <v>664</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5499.9000000000005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1320.24</v>
      </c>
      <c r="AP104" s="113">
        <f ca="1">(1+race_food_consumption)*TblPop[[#This Row],[Total]]*food_per_person*(1+tech_1_10*TblTech[[#This Row],[1-10]]+tech_7_5*TblTech[[#This Row],[7-5]])</f>
        <v>595.75</v>
      </c>
      <c r="AQ104" s="113">
        <f ca="1">TblProd[[#This Row],[Lumber]]*lumber_rot * (1 + tech_2_1*TblTech[[#This Row],[2-1]] + tech_2_8*TblTech[[#This Row],[2-8]] + tech_5_2*TblTech[[#This Row],[5-2]])</f>
        <v>688.57</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44347.166666666424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649733</v>
      </c>
      <c r="BJ104" s="113">
        <f ca="1">TblProd[[#This Row],[Food]]</f>
        <v>132024</v>
      </c>
      <c r="BK104" s="113">
        <f ca="1">TblProd[[#This Row],[Lumber]]</f>
        <v>68857</v>
      </c>
      <c r="BL104" s="113">
        <f ca="1">TblProd[[#This Row],[Mana]]</f>
        <v>0</v>
      </c>
      <c r="BM104" s="113">
        <f ca="1">TblProd[[#This Row],[Ore]]</f>
        <v>0</v>
      </c>
    </row>
    <row r="105" spans="1:65" x14ac:dyDescent="0.2">
      <c r="A105" s="178">
        <v>30</v>
      </c>
      <c r="B105" s="198">
        <f ca="1">TblImps[[#This Row],[Time]]</f>
        <v>44347.208333333088</v>
      </c>
      <c r="C105" s="199"/>
      <c r="D105" s="200"/>
      <c r="E105" s="113">
        <f ca="1">TblConstr[[#This Row],[Land]]</f>
        <v>250</v>
      </c>
      <c r="F105" s="113">
        <f ca="1">TblPop[[#This Row],[Peasants]]</f>
        <v>1537</v>
      </c>
      <c r="G105" s="113">
        <f ca="1">TblMili[[#This Row],[Networth (2)]]</f>
        <v>6455</v>
      </c>
      <c r="H105" s="113">
        <f ca="1">OFFSET(TblProd[[#This Row],[Platinum]],-1,0)+OFFSET(TblProd[[#This Row],[Plat/hr]],-1,0) - TblProd[[#This Row],[Expenses Platinum]] + IF(TblProd[[#This Row],[Plat Bonus]],TblPop[[#This Row],[Peasants]]*4) + SUM(TblConstr[[#This Row],[Dest Hom]:[Dest Doc]])*TblConstr[[#This Row],[CPA Platinum -DB]]*tech_3_3_2*TblTech[[#This Row],[3-3]]</f>
        <v>655232</v>
      </c>
      <c r="I105" s="113">
        <f ca="1">OFFSET(TblProd[[#This Row],[Food]],-1,0)+OFFSET(TblProd[[#This Row],[Food/hr]],-1,0)+ROUNDUP((TblConstr[[#This Row],[Farms]]*80+TblConstr[[#This Row],[Docks]]*35)*(1+OFFSET(TblProd[[#This Row],[Bonus Food/hr]],-1,0)),0)</f>
        <v>132688</v>
      </c>
      <c r="J105" s="113">
        <f ca="1">OFFSET(TblProd[[#This Row],[Lumber]],-1,0)+OFFSET(TblProd[[#This Row],[Lumber/hr]],-1,0) - TblProd[[#This Row],[Expenses Lumber]] + SUM(TblConstr[[#This Row],[Dest Hom]:[Dest Doc]])*TblConstr[[#This Row],[CPA Lumber -DB]]*tech_3_3_2*TblTech[[#This Row],[3-3]]</f>
        <v>69168</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Row],[Techpoints]],-1,0)+(1+research_bonus)*(26*MIN((TblConstr[[#This Row],[Tot Sch]]/(TblProd[[#This Row],[Land]]-TblExplore[[#This Row],[Land Bonus]]*20))*100,40))-TblProd[[#This Row],[Required]]*TblTech[[#This Row],[…]],0) + IF(TblProd[[#This Row],[Plat Bonus]]&lt;&gt;"",750,0)</f>
        <v>0</v>
      </c>
      <c r="Q105" s="113">
        <v>10000</v>
      </c>
      <c r="R105" s="184"/>
      <c r="S105" s="113">
        <f ca="1">ROUNDDOWN(TblProd[[#This Row],[Raw Plat/hr]]*(1+TblProd[[#This Row],[Bonus Plat/hr]]),0)</f>
        <v>5499</v>
      </c>
      <c r="T105" s="113">
        <f ca="1">ROUND(TblProd[[#This Row],[Raw Food/hr]]*(1+TblProd[[#This Row],[Bonus Food/hr]])-TblProd[[#This Row],[Food decay]]-TblProd[[#This Row],[Food eaten]],0)</f>
        <v>657</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5499.9000000000005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1326.88</v>
      </c>
      <c r="AP105" s="113">
        <f ca="1">(1+race_food_consumption)*TblPop[[#This Row],[Total]]*food_per_person*(1+tech_1_10*TblTech[[#This Row],[1-10]]+tech_7_5*TblTech[[#This Row],[7-5]])</f>
        <v>595.75</v>
      </c>
      <c r="AQ105" s="113">
        <f ca="1">TblProd[[#This Row],[Lumber]]*lumber_rot * (1 + tech_2_1*TblTech[[#This Row],[2-1]] + tech_2_8*TblTech[[#This Row],[2-8]] + tech_5_2*TblTech[[#This Row],[5-2]])</f>
        <v>691.68000000000006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44347.208333333088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655232</v>
      </c>
      <c r="BJ105" s="113">
        <f ca="1">TblProd[[#This Row],[Food]]</f>
        <v>132688</v>
      </c>
      <c r="BK105" s="113">
        <f ca="1">TblProd[[#This Row],[Lumber]]</f>
        <v>69168</v>
      </c>
      <c r="BL105" s="113">
        <f ca="1">TblProd[[#This Row],[Mana]]</f>
        <v>0</v>
      </c>
      <c r="BM105" s="113">
        <f ca="1">TblProd[[#This Row],[Ore]]</f>
        <v>0</v>
      </c>
    </row>
    <row r="106" spans="1:65" x14ac:dyDescent="0.2">
      <c r="A106" s="178">
        <v>31</v>
      </c>
      <c r="B106" s="198">
        <f ca="1">TblImps[[#This Row],[Time]]</f>
        <v>44347.249999999753</v>
      </c>
      <c r="C106" s="199"/>
      <c r="D106" s="200"/>
      <c r="E106" s="113">
        <f ca="1">TblConstr[[#This Row],[Land]]</f>
        <v>250</v>
      </c>
      <c r="F106" s="113">
        <f ca="1">TblPop[[#This Row],[Peasants]]</f>
        <v>1537</v>
      </c>
      <c r="G106" s="113">
        <f ca="1">TblMili[[#This Row],[Networth (2)]]</f>
        <v>6455</v>
      </c>
      <c r="H106" s="113">
        <f ca="1">OFFSET(TblProd[[#This Row],[Platinum]],-1,0)+OFFSET(TblProd[[#This Row],[Plat/hr]],-1,0) - TblProd[[#This Row],[Expenses Platinum]] + IF(TblProd[[#This Row],[Plat Bonus]],TblPop[[#This Row],[Peasants]]*4) + SUM(TblConstr[[#This Row],[Dest Hom]:[Dest Doc]])*TblConstr[[#This Row],[CPA Platinum -DB]]*tech_3_3_2*TblTech[[#This Row],[3-3]]</f>
        <v>660731</v>
      </c>
      <c r="I106" s="113">
        <f ca="1">OFFSET(TblProd[[#This Row],[Food]],-1,0)+OFFSET(TblProd[[#This Row],[Food/hr]],-1,0)+ROUNDUP((TblConstr[[#This Row],[Farms]]*80+TblConstr[[#This Row],[Docks]]*35)*(1+OFFSET(TblProd[[#This Row],[Bonus Food/hr]],-1,0)),0)</f>
        <v>133345</v>
      </c>
      <c r="J106" s="113">
        <f ca="1">OFFSET(TblProd[[#This Row],[Lumber]],-1,0)+OFFSET(TblProd[[#This Row],[Lumber/hr]],-1,0) - TblProd[[#This Row],[Expenses Lumber]] + SUM(TblConstr[[#This Row],[Dest Hom]:[Dest Doc]])*TblConstr[[#This Row],[CPA Lumber -DB]]*tech_3_3_2*TblTech[[#This Row],[3-3]]</f>
        <v>69476</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Row],[Techpoints]],-1,0)+(1+research_bonus)*(26*MIN((TblConstr[[#This Row],[Tot Sch]]/(TblProd[[#This Row],[Land]]-TblExplore[[#This Row],[Land Bonus]]*20))*100,40))-TblProd[[#This Row],[Required]]*TblTech[[#This Row],[…]],0) + IF(TblProd[[#This Row],[Plat Bonus]]&lt;&gt;"",750,0)</f>
        <v>0</v>
      </c>
      <c r="Q106" s="113">
        <v>10000</v>
      </c>
      <c r="R106" s="184"/>
      <c r="S106" s="113">
        <f ca="1">ROUNDDOWN(TblProd[[#This Row],[Raw Plat/hr]]*(1+TblProd[[#This Row],[Bonus Plat/hr]]),0)</f>
        <v>5499</v>
      </c>
      <c r="T106" s="113">
        <f ca="1">ROUND(TblProd[[#This Row],[Raw Food/hr]]*(1+TblProd[[#This Row],[Bonus Food/hr]])-TblProd[[#This Row],[Food decay]]-TblProd[[#This Row],[Food eaten]],0)</f>
        <v>651</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5499.9000000000005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1333.45</v>
      </c>
      <c r="AP106" s="113">
        <f ca="1">(1+race_food_consumption)*TblPop[[#This Row],[Total]]*food_per_person*(1+tech_1_10*TblTech[[#This Row],[1-10]]+tech_7_5*TblTech[[#This Row],[7-5]])</f>
        <v>595.75</v>
      </c>
      <c r="AQ106" s="113">
        <f ca="1">TblProd[[#This Row],[Lumber]]*lumber_rot * (1 + tech_2_1*TblTech[[#This Row],[2-1]] + tech_2_8*TblTech[[#This Row],[2-8]] + tech_5_2*TblTech[[#This Row],[5-2]])</f>
        <v>694.76</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44347.249999999753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660731</v>
      </c>
      <c r="BJ106" s="113">
        <f ca="1">TblProd[[#This Row],[Food]]</f>
        <v>133345</v>
      </c>
      <c r="BK106" s="113">
        <f ca="1">TblProd[[#This Row],[Lumber]]</f>
        <v>69476</v>
      </c>
      <c r="BL106" s="113">
        <f ca="1">TblProd[[#This Row],[Mana]]</f>
        <v>0</v>
      </c>
      <c r="BM106" s="113">
        <f ca="1">TblProd[[#This Row],[Ore]]</f>
        <v>0</v>
      </c>
    </row>
    <row r="107" spans="1:65" x14ac:dyDescent="0.2">
      <c r="A107" s="178">
        <v>32</v>
      </c>
      <c r="B107" s="198">
        <f ca="1">TblImps[[#This Row],[Time]]</f>
        <v>44347.291666666417</v>
      </c>
      <c r="C107" s="199"/>
      <c r="D107" s="200"/>
      <c r="E107" s="113">
        <f ca="1">TblConstr[[#This Row],[Land]]</f>
        <v>250</v>
      </c>
      <c r="F107" s="113">
        <f ca="1">TblPop[[#This Row],[Peasants]]</f>
        <v>1537</v>
      </c>
      <c r="G107" s="113">
        <f ca="1">TblMili[[#This Row],[Networth (2)]]</f>
        <v>6455</v>
      </c>
      <c r="H107" s="113">
        <f ca="1">OFFSET(TblProd[[#This Row],[Platinum]],-1,0)+OFFSET(TblProd[[#This Row],[Plat/hr]],-1,0) - TblProd[[#This Row],[Expenses Platinum]] + IF(TblProd[[#This Row],[Plat Bonus]],TblPop[[#This Row],[Peasants]]*4) + SUM(TblConstr[[#This Row],[Dest Hom]:[Dest Doc]])*TblConstr[[#This Row],[CPA Platinum -DB]]*tech_3_3_2*TblTech[[#This Row],[3-3]]</f>
        <v>666230</v>
      </c>
      <c r="I107" s="113">
        <f ca="1">OFFSET(TblProd[[#This Row],[Food]],-1,0)+OFFSET(TblProd[[#This Row],[Food/hr]],-1,0)+ROUNDUP((TblConstr[[#This Row],[Farms]]*80+TblConstr[[#This Row],[Docks]]*35)*(1+OFFSET(TblProd[[#This Row],[Bonus Food/hr]],-1,0)),0)</f>
        <v>133996</v>
      </c>
      <c r="J107" s="113">
        <f ca="1">OFFSET(TblProd[[#This Row],[Lumber]],-1,0)+OFFSET(TblProd[[#This Row],[Lumber/hr]],-1,0) - TblProd[[#This Row],[Expenses Lumber]] + SUM(TblConstr[[#This Row],[Dest Hom]:[Dest Doc]])*TblConstr[[#This Row],[CPA Lumber -DB]]*tech_3_3_2*TblTech[[#This Row],[3-3]]</f>
        <v>69781</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Row],[Techpoints]],-1,0)+(1+research_bonus)*(26*MIN((TblConstr[[#This Row],[Tot Sch]]/(TblProd[[#This Row],[Land]]-TblExplore[[#This Row],[Land Bonus]]*20))*100,40))-TblProd[[#This Row],[Required]]*TblTech[[#This Row],[…]],0) + IF(TblProd[[#This Row],[Plat Bonus]]&lt;&gt;"",750,0)</f>
        <v>0</v>
      </c>
      <c r="Q107" s="113">
        <v>10000</v>
      </c>
      <c r="R107" s="184"/>
      <c r="S107" s="113">
        <f ca="1">ROUNDDOWN(TblProd[[#This Row],[Raw Plat/hr]]*(1+TblProd[[#This Row],[Bonus Plat/hr]]),0)</f>
        <v>5499</v>
      </c>
      <c r="T107" s="113">
        <f ca="1">ROUND(TblProd[[#This Row],[Raw Food/hr]]*(1+TblProd[[#This Row],[Bonus Food/hr]])-TblProd[[#This Row],[Food decay]]-TblProd[[#This Row],[Food eaten]],0)</f>
        <v>644</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5499.9000000000005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1339.96</v>
      </c>
      <c r="AP107" s="113">
        <f ca="1">(1+race_food_consumption)*TblPop[[#This Row],[Total]]*food_per_person*(1+tech_1_10*TblTech[[#This Row],[1-10]]+tech_7_5*TblTech[[#This Row],[7-5]])</f>
        <v>595.75</v>
      </c>
      <c r="AQ107" s="113">
        <f ca="1">TblProd[[#This Row],[Lumber]]*lumber_rot * (1 + tech_2_1*TblTech[[#This Row],[2-1]] + tech_2_8*TblTech[[#This Row],[2-8]] + tech_5_2*TblTech[[#This Row],[5-2]])</f>
        <v>697.81000000000006</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44347.291666666417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666230</v>
      </c>
      <c r="BJ107" s="113">
        <f ca="1">TblProd[[#This Row],[Food]]</f>
        <v>133996</v>
      </c>
      <c r="BK107" s="113">
        <f ca="1">TblProd[[#This Row],[Lumber]]</f>
        <v>69781</v>
      </c>
      <c r="BL107" s="113">
        <f ca="1">TblProd[[#This Row],[Mana]]</f>
        <v>0</v>
      </c>
      <c r="BM107" s="113">
        <f ca="1">TblProd[[#This Row],[Ore]]</f>
        <v>0</v>
      </c>
    </row>
    <row r="108" spans="1:65" x14ac:dyDescent="0.2">
      <c r="A108" s="178">
        <v>33</v>
      </c>
      <c r="B108" s="198">
        <f ca="1">TblImps[[#This Row],[Time]]</f>
        <v>44347.333333333081</v>
      </c>
      <c r="C108" s="199"/>
      <c r="D108" s="200"/>
      <c r="E108" s="113">
        <f ca="1">TblConstr[[#This Row],[Land]]</f>
        <v>250</v>
      </c>
      <c r="F108" s="113">
        <f ca="1">TblPop[[#This Row],[Peasants]]</f>
        <v>1537</v>
      </c>
      <c r="G108" s="113">
        <f ca="1">TblMili[[#This Row],[Networth (2)]]</f>
        <v>6455</v>
      </c>
      <c r="H108" s="113">
        <f ca="1">OFFSET(TblProd[[#This Row],[Platinum]],-1,0)+OFFSET(TblProd[[#This Row],[Plat/hr]],-1,0) - TblProd[[#This Row],[Expenses Platinum]] + IF(TblProd[[#This Row],[Plat Bonus]],TblPop[[#This Row],[Peasants]]*4) + SUM(TblConstr[[#This Row],[Dest Hom]:[Dest Doc]])*TblConstr[[#This Row],[CPA Platinum -DB]]*tech_3_3_2*TblTech[[#This Row],[3-3]]</f>
        <v>671729</v>
      </c>
      <c r="I108" s="113">
        <f ca="1">OFFSET(TblProd[[#This Row],[Food]],-1,0)+OFFSET(TblProd[[#This Row],[Food/hr]],-1,0)+ROUNDUP((TblConstr[[#This Row],[Farms]]*80+TblConstr[[#This Row],[Docks]]*35)*(1+OFFSET(TblProd[[#This Row],[Bonus Food/hr]],-1,0)),0)</f>
        <v>134640</v>
      </c>
      <c r="J108" s="113">
        <f ca="1">OFFSET(TblProd[[#This Row],[Lumber]],-1,0)+OFFSET(TblProd[[#This Row],[Lumber/hr]],-1,0) - TblProd[[#This Row],[Expenses Lumber]] + SUM(TblConstr[[#This Row],[Dest Hom]:[Dest Doc]])*TblConstr[[#This Row],[CPA Lumber -DB]]*tech_3_3_2*TblTech[[#This Row],[3-3]]</f>
        <v>70083</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Row],[Techpoints]],-1,0)+(1+research_bonus)*(26*MIN((TblConstr[[#This Row],[Tot Sch]]/(TblProd[[#This Row],[Land]]-TblExplore[[#This Row],[Land Bonus]]*20))*100,40))-TblProd[[#This Row],[Required]]*TblTech[[#This Row],[…]],0) + IF(TblProd[[#This Row],[Plat Bonus]]&lt;&gt;"",750,0)</f>
        <v>0</v>
      </c>
      <c r="Q108" s="113">
        <v>10000</v>
      </c>
      <c r="R108" s="184"/>
      <c r="S108" s="113">
        <f ca="1">ROUNDDOWN(TblProd[[#This Row],[Raw Plat/hr]]*(1+TblProd[[#This Row],[Bonus Plat/hr]]),0)</f>
        <v>5499</v>
      </c>
      <c r="T108" s="113">
        <f ca="1">ROUND(TblProd[[#This Row],[Raw Food/hr]]*(1+TblProd[[#This Row],[Bonus Food/hr]])-TblProd[[#This Row],[Food decay]]-TblProd[[#This Row],[Food eaten]],0)</f>
        <v>638</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5499.9000000000005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1346.4</v>
      </c>
      <c r="AP108" s="113">
        <f ca="1">(1+race_food_consumption)*TblPop[[#This Row],[Total]]*food_per_person*(1+tech_1_10*TblTech[[#This Row],[1-10]]+tech_7_5*TblTech[[#This Row],[7-5]])</f>
        <v>595.75</v>
      </c>
      <c r="AQ108" s="113">
        <f ca="1">TblProd[[#This Row],[Lumber]]*lumber_rot * (1 + tech_2_1*TblTech[[#This Row],[2-1]] + tech_2_8*TblTech[[#This Row],[2-8]] + tech_5_2*TblTech[[#This Row],[5-2]])</f>
        <v>700.83</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44347.333333333081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671729</v>
      </c>
      <c r="BJ108" s="113">
        <f ca="1">TblProd[[#This Row],[Food]]</f>
        <v>134640</v>
      </c>
      <c r="BK108" s="113">
        <f ca="1">TblProd[[#This Row],[Lumber]]</f>
        <v>70083</v>
      </c>
      <c r="BL108" s="113">
        <f ca="1">TblProd[[#This Row],[Mana]]</f>
        <v>0</v>
      </c>
      <c r="BM108" s="113">
        <f ca="1">TblProd[[#This Row],[Ore]]</f>
        <v>0</v>
      </c>
    </row>
    <row r="109" spans="1:65" x14ac:dyDescent="0.2">
      <c r="A109" s="178">
        <v>34</v>
      </c>
      <c r="B109" s="198">
        <f ca="1">TblImps[[#This Row],[Time]]</f>
        <v>44347.374999999745</v>
      </c>
      <c r="C109" s="199"/>
      <c r="D109" s="200"/>
      <c r="E109" s="113">
        <f ca="1">TblConstr[[#This Row],[Land]]</f>
        <v>250</v>
      </c>
      <c r="F109" s="113">
        <f ca="1">TblPop[[#This Row],[Peasants]]</f>
        <v>1537</v>
      </c>
      <c r="G109" s="113">
        <f ca="1">TblMili[[#This Row],[Networth (2)]]</f>
        <v>6455</v>
      </c>
      <c r="H109" s="113">
        <f ca="1">OFFSET(TblProd[[#This Row],[Platinum]],-1,0)+OFFSET(TblProd[[#This Row],[Plat/hr]],-1,0) - TblProd[[#This Row],[Expenses Platinum]] + IF(TblProd[[#This Row],[Plat Bonus]],TblPop[[#This Row],[Peasants]]*4) + SUM(TblConstr[[#This Row],[Dest Hom]:[Dest Doc]])*TblConstr[[#This Row],[CPA Platinum -DB]]*tech_3_3_2*TblTech[[#This Row],[3-3]]</f>
        <v>677228</v>
      </c>
      <c r="I109" s="113">
        <f ca="1">OFFSET(TblProd[[#This Row],[Food]],-1,0)+OFFSET(TblProd[[#This Row],[Food/hr]],-1,0)+ROUNDUP((TblConstr[[#This Row],[Farms]]*80+TblConstr[[#This Row],[Docks]]*35)*(1+OFFSET(TblProd[[#This Row],[Bonus Food/hr]],-1,0)),0)</f>
        <v>135278</v>
      </c>
      <c r="J109" s="113">
        <f ca="1">OFFSET(TblProd[[#This Row],[Lumber]],-1,0)+OFFSET(TblProd[[#This Row],[Lumber/hr]],-1,0) - TblProd[[#This Row],[Expenses Lumber]] + SUM(TblConstr[[#This Row],[Dest Hom]:[Dest Doc]])*TblConstr[[#This Row],[CPA Lumber -DB]]*tech_3_3_2*TblTech[[#This Row],[3-3]]</f>
        <v>70382</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Row],[Techpoints]],-1,0)+(1+research_bonus)*(26*MIN((TblConstr[[#This Row],[Tot Sch]]/(TblProd[[#This Row],[Land]]-TblExplore[[#This Row],[Land Bonus]]*20))*100,40))-TblProd[[#This Row],[Required]]*TblTech[[#This Row],[…]],0) + IF(TblProd[[#This Row],[Plat Bonus]]&lt;&gt;"",750,0)</f>
        <v>0</v>
      </c>
      <c r="Q109" s="113">
        <v>10000</v>
      </c>
      <c r="R109" s="184"/>
      <c r="S109" s="113">
        <f ca="1">ROUNDDOWN(TblProd[[#This Row],[Raw Plat/hr]]*(1+TblProd[[#This Row],[Bonus Plat/hr]]),0)</f>
        <v>5499</v>
      </c>
      <c r="T109" s="113">
        <f ca="1">ROUND(TblProd[[#This Row],[Raw Food/hr]]*(1+TblProd[[#This Row],[Bonus Food/hr]])-TblProd[[#This Row],[Food decay]]-TblProd[[#This Row],[Food eaten]],0)</f>
        <v>631</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5499.9000000000005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1352.78</v>
      </c>
      <c r="AP109" s="113">
        <f ca="1">(1+race_food_consumption)*TblPop[[#This Row],[Total]]*food_per_person*(1+tech_1_10*TblTech[[#This Row],[1-10]]+tech_7_5*TblTech[[#This Row],[7-5]])</f>
        <v>595.75</v>
      </c>
      <c r="AQ109" s="113">
        <f ca="1">TblProd[[#This Row],[Lumber]]*lumber_rot * (1 + tech_2_1*TblTech[[#This Row],[2-1]] + tech_2_8*TblTech[[#This Row],[2-8]] + tech_5_2*TblTech[[#This Row],[5-2]])</f>
        <v>703.82</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44347.374999999745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677228</v>
      </c>
      <c r="BJ109" s="113">
        <f ca="1">TblProd[[#This Row],[Food]]</f>
        <v>135278</v>
      </c>
      <c r="BK109" s="113">
        <f ca="1">TblProd[[#This Row],[Lumber]]</f>
        <v>70382</v>
      </c>
      <c r="BL109" s="113">
        <f ca="1">TblProd[[#This Row],[Mana]]</f>
        <v>0</v>
      </c>
      <c r="BM109" s="113">
        <f ca="1">TblProd[[#This Row],[Ore]]</f>
        <v>0</v>
      </c>
    </row>
    <row r="110" spans="1:65" x14ac:dyDescent="0.2">
      <c r="A110" s="178">
        <v>35</v>
      </c>
      <c r="B110" s="198">
        <f ca="1">TblImps[[#This Row],[Time]]</f>
        <v>44347.41666666641</v>
      </c>
      <c r="C110" s="199"/>
      <c r="D110" s="200"/>
      <c r="E110" s="113">
        <f ca="1">TblConstr[[#This Row],[Land]]</f>
        <v>250</v>
      </c>
      <c r="F110" s="113">
        <f ca="1">TblPop[[#This Row],[Peasants]]</f>
        <v>1537</v>
      </c>
      <c r="G110" s="113">
        <f ca="1">TblMili[[#This Row],[Networth (2)]]</f>
        <v>6455</v>
      </c>
      <c r="H110" s="113">
        <f ca="1">OFFSET(TblProd[[#This Row],[Platinum]],-1,0)+OFFSET(TblProd[[#This Row],[Plat/hr]],-1,0) - TblProd[[#This Row],[Expenses Platinum]] + IF(TblProd[[#This Row],[Plat Bonus]],TblPop[[#This Row],[Peasants]]*4) + SUM(TblConstr[[#This Row],[Dest Hom]:[Dest Doc]])*TblConstr[[#This Row],[CPA Platinum -DB]]*tech_3_3_2*TblTech[[#This Row],[3-3]]</f>
        <v>682727</v>
      </c>
      <c r="I110" s="113">
        <f ca="1">OFFSET(TblProd[[#This Row],[Food]],-1,0)+OFFSET(TblProd[[#This Row],[Food/hr]],-1,0)+ROUNDUP((TblConstr[[#This Row],[Farms]]*80+TblConstr[[#This Row],[Docks]]*35)*(1+OFFSET(TblProd[[#This Row],[Bonus Food/hr]],-1,0)),0)</f>
        <v>135909</v>
      </c>
      <c r="J110" s="113">
        <f ca="1">OFFSET(TblProd[[#This Row],[Lumber]],-1,0)+OFFSET(TblProd[[#This Row],[Lumber/hr]],-1,0) - TblProd[[#This Row],[Expenses Lumber]] + SUM(TblConstr[[#This Row],[Dest Hom]:[Dest Doc]])*TblConstr[[#This Row],[CPA Lumber -DB]]*tech_3_3_2*TblTech[[#This Row],[3-3]]</f>
        <v>70678</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Row],[Techpoints]],-1,0)+(1+research_bonus)*(26*MIN((TblConstr[[#This Row],[Tot Sch]]/(TblProd[[#This Row],[Land]]-TblExplore[[#This Row],[Land Bonus]]*20))*100,40))-TblProd[[#This Row],[Required]]*TblTech[[#This Row],[…]],0) + IF(TblProd[[#This Row],[Plat Bonus]]&lt;&gt;"",750,0)</f>
        <v>0</v>
      </c>
      <c r="Q110" s="113">
        <v>10000</v>
      </c>
      <c r="R110" s="184"/>
      <c r="S110" s="113">
        <f ca="1">ROUNDDOWN(TblProd[[#This Row],[Raw Plat/hr]]*(1+TblProd[[#This Row],[Bonus Plat/hr]]),0)</f>
        <v>5499</v>
      </c>
      <c r="T110" s="113">
        <f ca="1">ROUND(TblProd[[#This Row],[Raw Food/hr]]*(1+TblProd[[#This Row],[Bonus Food/hr]])-TblProd[[#This Row],[Food decay]]-TblProd[[#This Row],[Food eaten]],0)</f>
        <v>625</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5499.9000000000005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1359.09</v>
      </c>
      <c r="AP110" s="113">
        <f ca="1">(1+race_food_consumption)*TblPop[[#This Row],[Total]]*food_per_person*(1+tech_1_10*TblTech[[#This Row],[1-10]]+tech_7_5*TblTech[[#This Row],[7-5]])</f>
        <v>595.75</v>
      </c>
      <c r="AQ110" s="113">
        <f ca="1">TblProd[[#This Row],[Lumber]]*lumber_rot * (1 + tech_2_1*TblTech[[#This Row],[2-1]] + tech_2_8*TblTech[[#This Row],[2-8]] + tech_5_2*TblTech[[#This Row],[5-2]])</f>
        <v>706.78</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44347.41666666641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682727</v>
      </c>
      <c r="BJ110" s="113">
        <f ca="1">TblProd[[#This Row],[Food]]</f>
        <v>135909</v>
      </c>
      <c r="BK110" s="113">
        <f ca="1">TblProd[[#This Row],[Lumber]]</f>
        <v>70678</v>
      </c>
      <c r="BL110" s="113">
        <f ca="1">TblProd[[#This Row],[Mana]]</f>
        <v>0</v>
      </c>
      <c r="BM110" s="113">
        <f ca="1">TblProd[[#This Row],[Ore]]</f>
        <v>0</v>
      </c>
    </row>
    <row r="111" spans="1:65" x14ac:dyDescent="0.2">
      <c r="A111" s="178">
        <v>36</v>
      </c>
      <c r="B111" s="198">
        <f ca="1">TblImps[[#This Row],[Time]]</f>
        <v>44347.458333333074</v>
      </c>
      <c r="C111" s="199"/>
      <c r="D111" s="200"/>
      <c r="E111" s="113">
        <f ca="1">TblConstr[[#This Row],[Land]]</f>
        <v>250</v>
      </c>
      <c r="F111" s="113">
        <f ca="1">TblPop[[#This Row],[Peasants]]</f>
        <v>1537</v>
      </c>
      <c r="G111" s="113">
        <f ca="1">TblMili[[#This Row],[Networth (2)]]</f>
        <v>6455</v>
      </c>
      <c r="H111" s="113">
        <f ca="1">OFFSET(TblProd[[#This Row],[Platinum]],-1,0)+OFFSET(TblProd[[#This Row],[Plat/hr]],-1,0) - TblProd[[#This Row],[Expenses Platinum]] + IF(TblProd[[#This Row],[Plat Bonus]],TblPop[[#This Row],[Peasants]]*4) + SUM(TblConstr[[#This Row],[Dest Hom]:[Dest Doc]])*TblConstr[[#This Row],[CPA Platinum -DB]]*tech_3_3_2*TblTech[[#This Row],[3-3]]</f>
        <v>688226</v>
      </c>
      <c r="I111" s="113">
        <f ca="1">OFFSET(TblProd[[#This Row],[Food]],-1,0)+OFFSET(TblProd[[#This Row],[Food/hr]],-1,0)+ROUNDUP((TblConstr[[#This Row],[Farms]]*80+TblConstr[[#This Row],[Docks]]*35)*(1+OFFSET(TblProd[[#This Row],[Bonus Food/hr]],-1,0)),0)</f>
        <v>136534</v>
      </c>
      <c r="J111" s="113">
        <f ca="1">OFFSET(TblProd[[#This Row],[Lumber]],-1,0)+OFFSET(TblProd[[#This Row],[Lumber/hr]],-1,0) - TblProd[[#This Row],[Expenses Lumber]] + SUM(TblConstr[[#This Row],[Dest Hom]:[Dest Doc]])*TblConstr[[#This Row],[CPA Lumber -DB]]*tech_3_3_2*TblTech[[#This Row],[3-3]]</f>
        <v>70971</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Row],[Techpoints]],-1,0)+(1+research_bonus)*(26*MIN((TblConstr[[#This Row],[Tot Sch]]/(TblProd[[#This Row],[Land]]-TblExplore[[#This Row],[Land Bonus]]*20))*100,40))-TblProd[[#This Row],[Required]]*TblTech[[#This Row],[…]],0) + IF(TblProd[[#This Row],[Plat Bonus]]&lt;&gt;"",750,0)</f>
        <v>0</v>
      </c>
      <c r="Q111" s="113">
        <v>10000</v>
      </c>
      <c r="R111" s="184"/>
      <c r="S111" s="113">
        <f ca="1">ROUNDDOWN(TblProd[[#This Row],[Raw Plat/hr]]*(1+TblProd[[#This Row],[Bonus Plat/hr]]),0)</f>
        <v>5499</v>
      </c>
      <c r="T111" s="113">
        <f ca="1">ROUND(TblProd[[#This Row],[Raw Food/hr]]*(1+TblProd[[#This Row],[Bonus Food/hr]])-TblProd[[#This Row],[Food decay]]-TblProd[[#This Row],[Food eaten]],0)</f>
        <v>619</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5499.9000000000005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1365.34</v>
      </c>
      <c r="AP111" s="113">
        <f ca="1">(1+race_food_consumption)*TblPop[[#This Row],[Total]]*food_per_person*(1+tech_1_10*TblTech[[#This Row],[1-10]]+tech_7_5*TblTech[[#This Row],[7-5]])</f>
        <v>595.75</v>
      </c>
      <c r="AQ111" s="113">
        <f ca="1">TblProd[[#This Row],[Lumber]]*lumber_rot * (1 + tech_2_1*TblTech[[#This Row],[2-1]] + tech_2_8*TblTech[[#This Row],[2-8]] + tech_5_2*TblTech[[#This Row],[5-2]])</f>
        <v>709.71</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44347.458333333074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688226</v>
      </c>
      <c r="BJ111" s="113">
        <f ca="1">TblProd[[#This Row],[Food]]</f>
        <v>136534</v>
      </c>
      <c r="BK111" s="113">
        <f ca="1">TblProd[[#This Row],[Lumber]]</f>
        <v>70971</v>
      </c>
      <c r="BL111" s="113">
        <f ca="1">TblProd[[#This Row],[Mana]]</f>
        <v>0</v>
      </c>
      <c r="BM111" s="113">
        <f ca="1">TblProd[[#This Row],[Ore]]</f>
        <v>0</v>
      </c>
    </row>
    <row r="112" spans="1:65" x14ac:dyDescent="0.2">
      <c r="A112" s="178">
        <v>37</v>
      </c>
      <c r="B112" s="198">
        <f ca="1">TblImps[[#This Row],[Time]]</f>
        <v>44347.499999999738</v>
      </c>
      <c r="C112" s="199"/>
      <c r="D112" s="200"/>
      <c r="E112" s="113">
        <f ca="1">TblConstr[[#This Row],[Land]]</f>
        <v>250</v>
      </c>
      <c r="F112" s="113">
        <f ca="1">TblPop[[#This Row],[Peasants]]</f>
        <v>1537</v>
      </c>
      <c r="G112" s="113">
        <f ca="1">TblMili[[#This Row],[Networth (2)]]</f>
        <v>6455</v>
      </c>
      <c r="H112" s="113">
        <f ca="1">OFFSET(TblProd[[#This Row],[Platinum]],-1,0)+OFFSET(TblProd[[#This Row],[Plat/hr]],-1,0) - TblProd[[#This Row],[Expenses Platinum]] + IF(TblProd[[#This Row],[Plat Bonus]],TblPop[[#This Row],[Peasants]]*4) + SUM(TblConstr[[#This Row],[Dest Hom]:[Dest Doc]])*TblConstr[[#This Row],[CPA Platinum -DB]]*tech_3_3_2*TblTech[[#This Row],[3-3]]</f>
        <v>693725</v>
      </c>
      <c r="I112" s="113">
        <f ca="1">OFFSET(TblProd[[#This Row],[Food]],-1,0)+OFFSET(TblProd[[#This Row],[Food/hr]],-1,0)+ROUNDUP((TblConstr[[#This Row],[Farms]]*80+TblConstr[[#This Row],[Docks]]*35)*(1+OFFSET(TblProd[[#This Row],[Bonus Food/hr]],-1,0)),0)</f>
        <v>137153</v>
      </c>
      <c r="J112" s="113">
        <f ca="1">OFFSET(TblProd[[#This Row],[Lumber]],-1,0)+OFFSET(TblProd[[#This Row],[Lumber/hr]],-1,0) - TblProd[[#This Row],[Expenses Lumber]] + SUM(TblConstr[[#This Row],[Dest Hom]:[Dest Doc]])*TblConstr[[#This Row],[CPA Lumber -DB]]*tech_3_3_2*TblTech[[#This Row],[3-3]]</f>
        <v>71261</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Row],[Techpoints]],-1,0)+(1+research_bonus)*(26*MIN((TblConstr[[#This Row],[Tot Sch]]/(TblProd[[#This Row],[Land]]-TblExplore[[#This Row],[Land Bonus]]*20))*100,40))-TblProd[[#This Row],[Required]]*TblTech[[#This Row],[…]],0) + IF(TblProd[[#This Row],[Plat Bonus]]&lt;&gt;"",750,0)</f>
        <v>0</v>
      </c>
      <c r="Q112" s="113">
        <v>10000</v>
      </c>
      <c r="R112" s="184"/>
      <c r="S112" s="113">
        <f ca="1">ROUNDDOWN(TblProd[[#This Row],[Raw Plat/hr]]*(1+TblProd[[#This Row],[Bonus Plat/hr]]),0)</f>
        <v>5499</v>
      </c>
      <c r="T112" s="113">
        <f ca="1">ROUND(TblProd[[#This Row],[Raw Food/hr]]*(1+TblProd[[#This Row],[Bonus Food/hr]])-TblProd[[#This Row],[Food decay]]-TblProd[[#This Row],[Food eaten]],0)</f>
        <v>613</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5499.9000000000005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1371.53</v>
      </c>
      <c r="AP112" s="113">
        <f ca="1">(1+race_food_consumption)*TblPop[[#This Row],[Total]]*food_per_person*(1+tech_1_10*TblTech[[#This Row],[1-10]]+tech_7_5*TblTech[[#This Row],[7-5]])</f>
        <v>595.75</v>
      </c>
      <c r="AQ112" s="113">
        <f ca="1">TblProd[[#This Row],[Lumber]]*lumber_rot * (1 + tech_2_1*TblTech[[#This Row],[2-1]] + tech_2_8*TblTech[[#This Row],[2-8]] + tech_5_2*TblTech[[#This Row],[5-2]])</f>
        <v>712.61</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44347.499999999738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693725</v>
      </c>
      <c r="BJ112" s="113">
        <f ca="1">TblProd[[#This Row],[Food]]</f>
        <v>137153</v>
      </c>
      <c r="BK112" s="113">
        <f ca="1">TblProd[[#This Row],[Lumber]]</f>
        <v>71261</v>
      </c>
      <c r="BL112" s="113">
        <f ca="1">TblProd[[#This Row],[Mana]]</f>
        <v>0</v>
      </c>
      <c r="BM112" s="113">
        <f ca="1">TblProd[[#This Row],[Ore]]</f>
        <v>0</v>
      </c>
    </row>
    <row r="113" spans="1:65" x14ac:dyDescent="0.2">
      <c r="A113" s="178">
        <v>38</v>
      </c>
      <c r="B113" s="198">
        <f ca="1">TblImps[[#This Row],[Time]]</f>
        <v>44347.541666666402</v>
      </c>
      <c r="C113" s="199"/>
      <c r="D113" s="200"/>
      <c r="E113" s="113">
        <f ca="1">TblConstr[[#This Row],[Land]]</f>
        <v>250</v>
      </c>
      <c r="F113" s="113">
        <f ca="1">TblPop[[#This Row],[Peasants]]</f>
        <v>1537</v>
      </c>
      <c r="G113" s="113">
        <f ca="1">TblMili[[#This Row],[Networth (2)]]</f>
        <v>6455</v>
      </c>
      <c r="H113" s="113">
        <f ca="1">OFFSET(TblProd[[#This Row],[Platinum]],-1,0)+OFFSET(TblProd[[#This Row],[Plat/hr]],-1,0) - TblProd[[#This Row],[Expenses Platinum]] + IF(TblProd[[#This Row],[Plat Bonus]],TblPop[[#This Row],[Peasants]]*4) + SUM(TblConstr[[#This Row],[Dest Hom]:[Dest Doc]])*TblConstr[[#This Row],[CPA Platinum -DB]]*tech_3_3_2*TblTech[[#This Row],[3-3]]</f>
        <v>699224</v>
      </c>
      <c r="I113" s="113">
        <f ca="1">OFFSET(TblProd[[#This Row],[Food]],-1,0)+OFFSET(TblProd[[#This Row],[Food/hr]],-1,0)+ROUNDUP((TblConstr[[#This Row],[Farms]]*80+TblConstr[[#This Row],[Docks]]*35)*(1+OFFSET(TblProd[[#This Row],[Bonus Food/hr]],-1,0)),0)</f>
        <v>137766</v>
      </c>
      <c r="J113" s="113">
        <f ca="1">OFFSET(TblProd[[#This Row],[Lumber]],-1,0)+OFFSET(TblProd[[#This Row],[Lumber/hr]],-1,0) - TblProd[[#This Row],[Expenses Lumber]] + SUM(TblConstr[[#This Row],[Dest Hom]:[Dest Doc]])*TblConstr[[#This Row],[CPA Lumber -DB]]*tech_3_3_2*TblTech[[#This Row],[3-3]]</f>
        <v>71548</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Row],[Techpoints]],-1,0)+(1+research_bonus)*(26*MIN((TblConstr[[#This Row],[Tot Sch]]/(TblProd[[#This Row],[Land]]-TblExplore[[#This Row],[Land Bonus]]*20))*100,40))-TblProd[[#This Row],[Required]]*TblTech[[#This Row],[…]],0) + IF(TblProd[[#This Row],[Plat Bonus]]&lt;&gt;"",750,0)</f>
        <v>0</v>
      </c>
      <c r="Q113" s="113">
        <v>10000</v>
      </c>
      <c r="R113" s="184"/>
      <c r="S113" s="113">
        <f ca="1">ROUNDDOWN(TblProd[[#This Row],[Raw Plat/hr]]*(1+TblProd[[#This Row],[Bonus Plat/hr]]),0)</f>
        <v>5499</v>
      </c>
      <c r="T113" s="113">
        <f ca="1">ROUND(TblProd[[#This Row],[Raw Food/hr]]*(1+TblProd[[#This Row],[Bonus Food/hr]])-TblProd[[#This Row],[Food decay]]-TblProd[[#This Row],[Food eaten]],0)</f>
        <v>607</v>
      </c>
      <c r="U113" s="113">
        <f ca="1">ROUND(TblProd[[#This Row],[Raw Lumber/hr]]*(1+TblProd[[#This Row],[Bonus Lumber/hr]])-TblProd[[#This Row],[Lumber rot]],0)</f>
        <v>285</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5499.9000000000005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1377.66</v>
      </c>
      <c r="AP113" s="113">
        <f ca="1">(1+race_food_consumption)*TblPop[[#This Row],[Total]]*food_per_person*(1+tech_1_10*TblTech[[#This Row],[1-10]]+tech_7_5*TblTech[[#This Row],[7-5]])</f>
        <v>595.75</v>
      </c>
      <c r="AQ113" s="113">
        <f ca="1">TblProd[[#This Row],[Lumber]]*lumber_rot * (1 + tech_2_1*TblTech[[#This Row],[2-1]] + tech_2_8*TblTech[[#This Row],[2-8]] + tech_5_2*TblTech[[#This Row],[5-2]])</f>
        <v>715.48</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44347.541666666402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699224</v>
      </c>
      <c r="BJ113" s="113">
        <f ca="1">TblProd[[#This Row],[Food]]</f>
        <v>137766</v>
      </c>
      <c r="BK113" s="113">
        <f ca="1">TblProd[[#This Row],[Lumber]]</f>
        <v>71548</v>
      </c>
      <c r="BL113" s="113">
        <f ca="1">TblProd[[#This Row],[Mana]]</f>
        <v>0</v>
      </c>
      <c r="BM113" s="113">
        <f ca="1">TblProd[[#This Row],[Ore]]</f>
        <v>0</v>
      </c>
    </row>
    <row r="114" spans="1:65" x14ac:dyDescent="0.2">
      <c r="A114" s="178">
        <v>39</v>
      </c>
      <c r="B114" s="198">
        <f ca="1">TblImps[[#This Row],[Time]]</f>
        <v>44347.583333333067</v>
      </c>
      <c r="C114" s="199"/>
      <c r="D114" s="200"/>
      <c r="E114" s="113">
        <f ca="1">TblConstr[[#This Row],[Land]]</f>
        <v>250</v>
      </c>
      <c r="F114" s="113">
        <f ca="1">TblPop[[#This Row],[Peasants]]</f>
        <v>1537</v>
      </c>
      <c r="G114" s="113">
        <f ca="1">TblMili[[#This Row],[Networth (2)]]</f>
        <v>6455</v>
      </c>
      <c r="H114" s="113">
        <f ca="1">OFFSET(TblProd[[#This Row],[Platinum]],-1,0)+OFFSET(TblProd[[#This Row],[Plat/hr]],-1,0) - TblProd[[#This Row],[Expenses Platinum]] + IF(TblProd[[#This Row],[Plat Bonus]],TblPop[[#This Row],[Peasants]]*4) + SUM(TblConstr[[#This Row],[Dest Hom]:[Dest Doc]])*TblConstr[[#This Row],[CPA Platinum -DB]]*tech_3_3_2*TblTech[[#This Row],[3-3]]</f>
        <v>704723</v>
      </c>
      <c r="I114" s="113">
        <f ca="1">OFFSET(TblProd[[#This Row],[Food]],-1,0)+OFFSET(TblProd[[#This Row],[Food/hr]],-1,0)+ROUNDUP((TblConstr[[#This Row],[Farms]]*80+TblConstr[[#This Row],[Docks]]*35)*(1+OFFSET(TblProd[[#This Row],[Bonus Food/hr]],-1,0)),0)</f>
        <v>138373</v>
      </c>
      <c r="J114" s="113">
        <f ca="1">OFFSET(TblProd[[#This Row],[Lumber]],-1,0)+OFFSET(TblProd[[#This Row],[Lumber/hr]],-1,0) - TblProd[[#This Row],[Expenses Lumber]] + SUM(TblConstr[[#This Row],[Dest Hom]:[Dest Doc]])*TblConstr[[#This Row],[CPA Lumber -DB]]*tech_3_3_2*TblTech[[#This Row],[3-3]]</f>
        <v>71833</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Row],[Techpoints]],-1,0)+(1+research_bonus)*(26*MIN((TblConstr[[#This Row],[Tot Sch]]/(TblProd[[#This Row],[Land]]-TblExplore[[#This Row],[Land Bonus]]*20))*100,40))-TblProd[[#This Row],[Required]]*TblTech[[#This Row],[…]],0) + IF(TblProd[[#This Row],[Plat Bonus]]&lt;&gt;"",750,0)</f>
        <v>0</v>
      </c>
      <c r="Q114" s="113">
        <v>10000</v>
      </c>
      <c r="R114" s="184"/>
      <c r="S114" s="113">
        <f ca="1">ROUNDDOWN(TblProd[[#This Row],[Raw Plat/hr]]*(1+TblProd[[#This Row],[Bonus Plat/hr]]),0)</f>
        <v>5499</v>
      </c>
      <c r="T114" s="113">
        <f ca="1">ROUND(TblProd[[#This Row],[Raw Food/hr]]*(1+TblProd[[#This Row],[Bonus Food/hr]])-TblProd[[#This Row],[Food decay]]-TblProd[[#This Row],[Food eaten]],0)</f>
        <v>601</v>
      </c>
      <c r="U114" s="113">
        <f ca="1">ROUND(TblProd[[#This Row],[Raw Lumber/hr]]*(1+TblProd[[#This Row],[Bonus Lumber/hr]])-TblProd[[#This Row],[Lumber rot]],0)</f>
        <v>282</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5499.9000000000005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1383.73</v>
      </c>
      <c r="AP114" s="113">
        <f ca="1">(1+race_food_consumption)*TblPop[[#This Row],[Total]]*food_per_person*(1+tech_1_10*TblTech[[#This Row],[1-10]]+tech_7_5*TblTech[[#This Row],[7-5]])</f>
        <v>595.75</v>
      </c>
      <c r="AQ114" s="113">
        <f ca="1">TblProd[[#This Row],[Lumber]]*lumber_rot * (1 + tech_2_1*TblTech[[#This Row],[2-1]] + tech_2_8*TblTech[[#This Row],[2-8]] + tech_5_2*TblTech[[#This Row],[5-2]])</f>
        <v>718.33</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44347.583333333067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704723</v>
      </c>
      <c r="BJ114" s="113">
        <f ca="1">TblProd[[#This Row],[Food]]</f>
        <v>138373</v>
      </c>
      <c r="BK114" s="113">
        <f ca="1">TblProd[[#This Row],[Lumber]]</f>
        <v>71833</v>
      </c>
      <c r="BL114" s="113">
        <f ca="1">TblProd[[#This Row],[Mana]]</f>
        <v>0</v>
      </c>
      <c r="BM114" s="113">
        <f ca="1">TblProd[[#This Row],[Ore]]</f>
        <v>0</v>
      </c>
    </row>
    <row r="115" spans="1:65" x14ac:dyDescent="0.2">
      <c r="A115" s="178">
        <v>40</v>
      </c>
      <c r="B115" s="198">
        <f ca="1">TblImps[[#This Row],[Time]]</f>
        <v>44347.624999999731</v>
      </c>
      <c r="C115" s="199"/>
      <c r="D115" s="200"/>
      <c r="E115" s="113">
        <f ca="1">TblConstr[[#This Row],[Land]]</f>
        <v>250</v>
      </c>
      <c r="F115" s="113">
        <f ca="1">TblPop[[#This Row],[Peasants]]</f>
        <v>1537</v>
      </c>
      <c r="G115" s="113">
        <f ca="1">TblMili[[#This Row],[Networth (2)]]</f>
        <v>6455</v>
      </c>
      <c r="H115" s="113">
        <f ca="1">OFFSET(TblProd[[#This Row],[Platinum]],-1,0)+OFFSET(TblProd[[#This Row],[Plat/hr]],-1,0) - TblProd[[#This Row],[Expenses Platinum]] + IF(TblProd[[#This Row],[Plat Bonus]],TblPop[[#This Row],[Peasants]]*4) + SUM(TblConstr[[#This Row],[Dest Hom]:[Dest Doc]])*TblConstr[[#This Row],[CPA Platinum -DB]]*tech_3_3_2*TblTech[[#This Row],[3-3]]</f>
        <v>710222</v>
      </c>
      <c r="I115" s="113">
        <f ca="1">OFFSET(TblProd[[#This Row],[Food]],-1,0)+OFFSET(TblProd[[#This Row],[Food/hr]],-1,0)+ROUNDUP((TblConstr[[#This Row],[Farms]]*80+TblConstr[[#This Row],[Docks]]*35)*(1+OFFSET(TblProd[[#This Row],[Bonus Food/hr]],-1,0)),0)</f>
        <v>138974</v>
      </c>
      <c r="J115" s="113">
        <f ca="1">OFFSET(TblProd[[#This Row],[Lumber]],-1,0)+OFFSET(TblProd[[#This Row],[Lumber/hr]],-1,0) - TblProd[[#This Row],[Expenses Lumber]] + SUM(TblConstr[[#This Row],[Dest Hom]:[Dest Doc]])*TblConstr[[#This Row],[CPA Lumber -DB]]*tech_3_3_2*TblTech[[#This Row],[3-3]]</f>
        <v>72115</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Row],[Techpoints]],-1,0)+(1+research_bonus)*(26*MIN((TblConstr[[#This Row],[Tot Sch]]/(TblProd[[#This Row],[Land]]-TblExplore[[#This Row],[Land Bonus]]*20))*100,40))-TblProd[[#This Row],[Required]]*TblTech[[#This Row],[…]],0) + IF(TblProd[[#This Row],[Plat Bonus]]&lt;&gt;"",750,0)</f>
        <v>0</v>
      </c>
      <c r="Q115" s="113">
        <v>10000</v>
      </c>
      <c r="R115" s="184"/>
      <c r="S115" s="113">
        <f ca="1">ROUNDDOWN(TblProd[[#This Row],[Raw Plat/hr]]*(1+TblProd[[#This Row],[Bonus Plat/hr]]),0)</f>
        <v>5499</v>
      </c>
      <c r="T115" s="113">
        <f ca="1">ROUND(TblProd[[#This Row],[Raw Food/hr]]*(1+TblProd[[#This Row],[Bonus Food/hr]])-TblProd[[#This Row],[Food decay]]-TblProd[[#This Row],[Food eaten]],0)</f>
        <v>595</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5499.9000000000005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1389.74</v>
      </c>
      <c r="AP115" s="113">
        <f ca="1">(1+race_food_consumption)*TblPop[[#This Row],[Total]]*food_per_person*(1+tech_1_10*TblTech[[#This Row],[1-10]]+tech_7_5*TblTech[[#This Row],[7-5]])</f>
        <v>595.75</v>
      </c>
      <c r="AQ115" s="113">
        <f ca="1">TblProd[[#This Row],[Lumber]]*lumber_rot * (1 + tech_2_1*TblTech[[#This Row],[2-1]] + tech_2_8*TblTech[[#This Row],[2-8]] + tech_5_2*TblTech[[#This Row],[5-2]])</f>
        <v>721.15</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44347.624999999731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710222</v>
      </c>
      <c r="BJ115" s="113">
        <f ca="1">TblProd[[#This Row],[Food]]</f>
        <v>138974</v>
      </c>
      <c r="BK115" s="113">
        <f ca="1">TblProd[[#This Row],[Lumber]]</f>
        <v>72115</v>
      </c>
      <c r="BL115" s="113">
        <f ca="1">TblProd[[#This Row],[Mana]]</f>
        <v>0</v>
      </c>
      <c r="BM115" s="113">
        <f ca="1">TblProd[[#This Row],[Ore]]</f>
        <v>0</v>
      </c>
    </row>
    <row r="116" spans="1:65" x14ac:dyDescent="0.2">
      <c r="A116" s="178">
        <v>41</v>
      </c>
      <c r="B116" s="198">
        <f ca="1">TblImps[[#This Row],[Time]]</f>
        <v>44347.666666666395</v>
      </c>
      <c r="C116" s="199"/>
      <c r="D116" s="200"/>
      <c r="E116" s="113">
        <f ca="1">TblConstr[[#This Row],[Land]]</f>
        <v>250</v>
      </c>
      <c r="F116" s="113">
        <f ca="1">TblPop[[#This Row],[Peasants]]</f>
        <v>1537</v>
      </c>
      <c r="G116" s="113">
        <f ca="1">TblMili[[#This Row],[Networth (2)]]</f>
        <v>6455</v>
      </c>
      <c r="H116" s="113">
        <f ca="1">OFFSET(TblProd[[#This Row],[Platinum]],-1,0)+OFFSET(TblProd[[#This Row],[Plat/hr]],-1,0) - TblProd[[#This Row],[Expenses Platinum]] + IF(TblProd[[#This Row],[Plat Bonus]],TblPop[[#This Row],[Peasants]]*4) + SUM(TblConstr[[#This Row],[Dest Hom]:[Dest Doc]])*TblConstr[[#This Row],[CPA Platinum -DB]]*tech_3_3_2*TblTech[[#This Row],[3-3]]</f>
        <v>715721</v>
      </c>
      <c r="I116" s="113">
        <f ca="1">OFFSET(TblProd[[#This Row],[Food]],-1,0)+OFFSET(TblProd[[#This Row],[Food/hr]],-1,0)+ROUNDUP((TblConstr[[#This Row],[Farms]]*80+TblConstr[[#This Row],[Docks]]*35)*(1+OFFSET(TblProd[[#This Row],[Bonus Food/hr]],-1,0)),0)</f>
        <v>139569</v>
      </c>
      <c r="J116" s="113">
        <f ca="1">OFFSET(TblProd[[#This Row],[Lumber]],-1,0)+OFFSET(TblProd[[#This Row],[Lumber/hr]],-1,0) - TblProd[[#This Row],[Expenses Lumber]] + SUM(TblConstr[[#This Row],[Dest Hom]:[Dest Doc]])*TblConstr[[#This Row],[CPA Lumber -DB]]*tech_3_3_2*TblTech[[#This Row],[3-3]]</f>
        <v>72394</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Row],[Techpoints]],-1,0)+(1+research_bonus)*(26*MIN((TblConstr[[#This Row],[Tot Sch]]/(TblProd[[#This Row],[Land]]-TblExplore[[#This Row],[Land Bonus]]*20))*100,40))-TblProd[[#This Row],[Required]]*TblTech[[#This Row],[…]],0) + IF(TblProd[[#This Row],[Plat Bonus]]&lt;&gt;"",750,0)</f>
        <v>0</v>
      </c>
      <c r="Q116" s="113">
        <v>10000</v>
      </c>
      <c r="R116" s="184"/>
      <c r="S116" s="113">
        <f ca="1">ROUNDDOWN(TblProd[[#This Row],[Raw Plat/hr]]*(1+TblProd[[#This Row],[Bonus Plat/hr]]),0)</f>
        <v>5499</v>
      </c>
      <c r="T116" s="113">
        <f ca="1">ROUND(TblProd[[#This Row],[Raw Food/hr]]*(1+TblProd[[#This Row],[Bonus Food/hr]])-TblProd[[#This Row],[Food decay]]-TblProd[[#This Row],[Food eaten]],0)</f>
        <v>589</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5499.9000000000005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1395.69</v>
      </c>
      <c r="AP116" s="113">
        <f ca="1">(1+race_food_consumption)*TblPop[[#This Row],[Total]]*food_per_person*(1+tech_1_10*TblTech[[#This Row],[1-10]]+tech_7_5*TblTech[[#This Row],[7-5]])</f>
        <v>595.75</v>
      </c>
      <c r="AQ116" s="113">
        <f ca="1">TblProd[[#This Row],[Lumber]]*lumber_rot * (1 + tech_2_1*TblTech[[#This Row],[2-1]] + tech_2_8*TblTech[[#This Row],[2-8]] + tech_5_2*TblTech[[#This Row],[5-2]])</f>
        <v>723.94</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44347.666666666395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715721</v>
      </c>
      <c r="BJ116" s="113">
        <f ca="1">TblProd[[#This Row],[Food]]</f>
        <v>139569</v>
      </c>
      <c r="BK116" s="113">
        <f ca="1">TblProd[[#This Row],[Lumber]]</f>
        <v>72394</v>
      </c>
      <c r="BL116" s="113">
        <f ca="1">TblProd[[#This Row],[Mana]]</f>
        <v>0</v>
      </c>
      <c r="BM116" s="113">
        <f ca="1">TblProd[[#This Row],[Ore]]</f>
        <v>0</v>
      </c>
    </row>
    <row r="117" spans="1:65" x14ac:dyDescent="0.2">
      <c r="A117" s="178">
        <v>42</v>
      </c>
      <c r="B117" s="198">
        <f ca="1">TblImps[[#This Row],[Time]]</f>
        <v>44347.708333333059</v>
      </c>
      <c r="C117" s="199"/>
      <c r="D117" s="200"/>
      <c r="E117" s="113">
        <f ca="1">TblConstr[[#This Row],[Land]]</f>
        <v>250</v>
      </c>
      <c r="F117" s="113">
        <f ca="1">TblPop[[#This Row],[Peasants]]</f>
        <v>1537</v>
      </c>
      <c r="G117" s="113">
        <f ca="1">TblMili[[#This Row],[Networth (2)]]</f>
        <v>6455</v>
      </c>
      <c r="H117" s="113">
        <f ca="1">OFFSET(TblProd[[#This Row],[Platinum]],-1,0)+OFFSET(TblProd[[#This Row],[Plat/hr]],-1,0) - TblProd[[#This Row],[Expenses Platinum]] + IF(TblProd[[#This Row],[Plat Bonus]],TblPop[[#This Row],[Peasants]]*4) + SUM(TblConstr[[#This Row],[Dest Hom]:[Dest Doc]])*TblConstr[[#This Row],[CPA Platinum -DB]]*tech_3_3_2*TblTech[[#This Row],[3-3]]</f>
        <v>721220</v>
      </c>
      <c r="I117" s="113">
        <f ca="1">OFFSET(TblProd[[#This Row],[Food]],-1,0)+OFFSET(TblProd[[#This Row],[Food/hr]],-1,0)+ROUNDUP((TblConstr[[#This Row],[Farms]]*80+TblConstr[[#This Row],[Docks]]*35)*(1+OFFSET(TblProd[[#This Row],[Bonus Food/hr]],-1,0)),0)</f>
        <v>140158</v>
      </c>
      <c r="J117" s="113">
        <f ca="1">OFFSET(TblProd[[#This Row],[Lumber]],-1,0)+OFFSET(TblProd[[#This Row],[Lumber/hr]],-1,0) - TblProd[[#This Row],[Expenses Lumber]] + SUM(TblConstr[[#This Row],[Dest Hom]:[Dest Doc]])*TblConstr[[#This Row],[CPA Lumber -DB]]*tech_3_3_2*TblTech[[#This Row],[3-3]]</f>
        <v>72670</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Row],[Techpoints]],-1,0)+(1+research_bonus)*(26*MIN((TblConstr[[#This Row],[Tot Sch]]/(TblProd[[#This Row],[Land]]-TblExplore[[#This Row],[Land Bonus]]*20))*100,40))-TblProd[[#This Row],[Required]]*TblTech[[#This Row],[…]],0) + IF(TblProd[[#This Row],[Plat Bonus]]&lt;&gt;"",750,0)</f>
        <v>0</v>
      </c>
      <c r="Q117" s="113">
        <v>10000</v>
      </c>
      <c r="R117" s="184"/>
      <c r="S117" s="113">
        <f ca="1">ROUNDDOWN(TblProd[[#This Row],[Raw Plat/hr]]*(1+TblProd[[#This Row],[Bonus Plat/hr]]),0)</f>
        <v>5499</v>
      </c>
      <c r="T117" s="113">
        <f ca="1">ROUND(TblProd[[#This Row],[Raw Food/hr]]*(1+TblProd[[#This Row],[Bonus Food/hr]])-TblProd[[#This Row],[Food decay]]-TblProd[[#This Row],[Food eaten]],0)</f>
        <v>583</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5499.9000000000005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1401.58</v>
      </c>
      <c r="AP117" s="113">
        <f ca="1">(1+race_food_consumption)*TblPop[[#This Row],[Total]]*food_per_person*(1+tech_1_10*TblTech[[#This Row],[1-10]]+tech_7_5*TblTech[[#This Row],[7-5]])</f>
        <v>595.75</v>
      </c>
      <c r="AQ117" s="113">
        <f ca="1">TblProd[[#This Row],[Lumber]]*lumber_rot * (1 + tech_2_1*TblTech[[#This Row],[2-1]] + tech_2_8*TblTech[[#This Row],[2-8]] + tech_5_2*TblTech[[#This Row],[5-2]])</f>
        <v>726.7</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44347.708333333059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721220</v>
      </c>
      <c r="BJ117" s="113">
        <f ca="1">TblProd[[#This Row],[Food]]</f>
        <v>140158</v>
      </c>
      <c r="BK117" s="113">
        <f ca="1">TblProd[[#This Row],[Lumber]]</f>
        <v>72670</v>
      </c>
      <c r="BL117" s="113">
        <f ca="1">TblProd[[#This Row],[Mana]]</f>
        <v>0</v>
      </c>
      <c r="BM117" s="113">
        <f ca="1">TblProd[[#This Row],[Ore]]</f>
        <v>0</v>
      </c>
    </row>
    <row r="118" spans="1:65" x14ac:dyDescent="0.2">
      <c r="A118" s="178">
        <v>43</v>
      </c>
      <c r="B118" s="198">
        <f ca="1">TblImps[[#This Row],[Time]]</f>
        <v>44347.749999999724</v>
      </c>
      <c r="C118" s="199"/>
      <c r="D118" s="200"/>
      <c r="E118" s="113">
        <f ca="1">TblConstr[[#This Row],[Land]]</f>
        <v>250</v>
      </c>
      <c r="F118" s="113">
        <f ca="1">TblPop[[#This Row],[Peasants]]</f>
        <v>1537</v>
      </c>
      <c r="G118" s="113">
        <f ca="1">TblMili[[#This Row],[Networth (2)]]</f>
        <v>6455</v>
      </c>
      <c r="H118" s="113">
        <f ca="1">OFFSET(TblProd[[#This Row],[Platinum]],-1,0)+OFFSET(TblProd[[#This Row],[Plat/hr]],-1,0) - TblProd[[#This Row],[Expenses Platinum]] + IF(TblProd[[#This Row],[Plat Bonus]],TblPop[[#This Row],[Peasants]]*4) + SUM(TblConstr[[#This Row],[Dest Hom]:[Dest Doc]])*TblConstr[[#This Row],[CPA Platinum -DB]]*tech_3_3_2*TblTech[[#This Row],[3-3]]</f>
        <v>726719</v>
      </c>
      <c r="I118" s="113">
        <f ca="1">OFFSET(TblProd[[#This Row],[Food]],-1,0)+OFFSET(TblProd[[#This Row],[Food/hr]],-1,0)+ROUNDUP((TblConstr[[#This Row],[Farms]]*80+TblConstr[[#This Row],[Docks]]*35)*(1+OFFSET(TblProd[[#This Row],[Bonus Food/hr]],-1,0)),0)</f>
        <v>140741</v>
      </c>
      <c r="J118" s="113">
        <f ca="1">OFFSET(TblProd[[#This Row],[Lumber]],-1,0)+OFFSET(TblProd[[#This Row],[Lumber/hr]],-1,0) - TblProd[[#This Row],[Expenses Lumber]] + SUM(TblConstr[[#This Row],[Dest Hom]:[Dest Doc]])*TblConstr[[#This Row],[CPA Lumber -DB]]*tech_3_3_2*TblTech[[#This Row],[3-3]]</f>
        <v>72943</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Row],[Techpoints]],-1,0)+(1+research_bonus)*(26*MIN((TblConstr[[#This Row],[Tot Sch]]/(TblProd[[#This Row],[Land]]-TblExplore[[#This Row],[Land Bonus]]*20))*100,40))-TblProd[[#This Row],[Required]]*TblTech[[#This Row],[…]],0) + IF(TblProd[[#This Row],[Plat Bonus]]&lt;&gt;"",750,0)</f>
        <v>0</v>
      </c>
      <c r="Q118" s="113">
        <v>10000</v>
      </c>
      <c r="R118" s="184"/>
      <c r="S118" s="113">
        <f ca="1">ROUNDDOWN(TblProd[[#This Row],[Raw Plat/hr]]*(1+TblProd[[#This Row],[Bonus Plat/hr]]),0)</f>
        <v>5499</v>
      </c>
      <c r="T118" s="113">
        <f ca="1">ROUND(TblProd[[#This Row],[Raw Food/hr]]*(1+TblProd[[#This Row],[Bonus Food/hr]])-TblProd[[#This Row],[Food decay]]-TblProd[[#This Row],[Food eaten]],0)</f>
        <v>577</v>
      </c>
      <c r="U118" s="113">
        <f ca="1">ROUND(TblProd[[#This Row],[Raw Lumber/hr]]*(1+TblProd[[#This Row],[Bonus Lumber/hr]])-TblProd[[#This Row],[Lumber rot]],0)</f>
        <v>271</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5499.9000000000005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1407.41</v>
      </c>
      <c r="AP118" s="113">
        <f ca="1">(1+race_food_consumption)*TblPop[[#This Row],[Total]]*food_per_person*(1+tech_1_10*TblTech[[#This Row],[1-10]]+tech_7_5*TblTech[[#This Row],[7-5]])</f>
        <v>595.75</v>
      </c>
      <c r="AQ118" s="113">
        <f ca="1">TblProd[[#This Row],[Lumber]]*lumber_rot * (1 + tech_2_1*TblTech[[#This Row],[2-1]] + tech_2_8*TblTech[[#This Row],[2-8]] + tech_5_2*TblTech[[#This Row],[5-2]])</f>
        <v>729.43000000000006</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44347.749999999724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726719</v>
      </c>
      <c r="BJ118" s="113">
        <f ca="1">TblProd[[#This Row],[Food]]</f>
        <v>140741</v>
      </c>
      <c r="BK118" s="113">
        <f ca="1">TblProd[[#This Row],[Lumber]]</f>
        <v>72943</v>
      </c>
      <c r="BL118" s="113">
        <f ca="1">TblProd[[#This Row],[Mana]]</f>
        <v>0</v>
      </c>
      <c r="BM118" s="113">
        <f ca="1">TblProd[[#This Row],[Ore]]</f>
        <v>0</v>
      </c>
    </row>
    <row r="119" spans="1:65" x14ac:dyDescent="0.2">
      <c r="A119" s="178">
        <v>44</v>
      </c>
      <c r="B119" s="198">
        <f ca="1">TblImps[[#This Row],[Time]]</f>
        <v>44347.791666666388</v>
      </c>
      <c r="C119" s="199"/>
      <c r="D119" s="200"/>
      <c r="E119" s="113">
        <f ca="1">TblConstr[[#This Row],[Land]]</f>
        <v>250</v>
      </c>
      <c r="F119" s="113">
        <f ca="1">TblPop[[#This Row],[Peasants]]</f>
        <v>1537</v>
      </c>
      <c r="G119" s="113">
        <f ca="1">TblMili[[#This Row],[Networth (2)]]</f>
        <v>6455</v>
      </c>
      <c r="H119" s="113">
        <f ca="1">OFFSET(TblProd[[#This Row],[Platinum]],-1,0)+OFFSET(TblProd[[#This Row],[Plat/hr]],-1,0) - TblProd[[#This Row],[Expenses Platinum]] + IF(TblProd[[#This Row],[Plat Bonus]],TblPop[[#This Row],[Peasants]]*4) + SUM(TblConstr[[#This Row],[Dest Hom]:[Dest Doc]])*TblConstr[[#This Row],[CPA Platinum -DB]]*tech_3_3_2*TblTech[[#This Row],[3-3]]</f>
        <v>732218</v>
      </c>
      <c r="I119" s="113">
        <f ca="1">OFFSET(TblProd[[#This Row],[Food]],-1,0)+OFFSET(TblProd[[#This Row],[Food/hr]],-1,0)+ROUNDUP((TblConstr[[#This Row],[Farms]]*80+TblConstr[[#This Row],[Docks]]*35)*(1+OFFSET(TblProd[[#This Row],[Bonus Food/hr]],-1,0)),0)</f>
        <v>141318</v>
      </c>
      <c r="J119" s="113">
        <f ca="1">OFFSET(TblProd[[#This Row],[Lumber]],-1,0)+OFFSET(TblProd[[#This Row],[Lumber/hr]],-1,0) - TblProd[[#This Row],[Expenses Lumber]] + SUM(TblConstr[[#This Row],[Dest Hom]:[Dest Doc]])*TblConstr[[#This Row],[CPA Lumber -DB]]*tech_3_3_2*TblTech[[#This Row],[3-3]]</f>
        <v>73214</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Row],[Techpoints]],-1,0)+(1+research_bonus)*(26*MIN((TblConstr[[#This Row],[Tot Sch]]/(TblProd[[#This Row],[Land]]-TblExplore[[#This Row],[Land Bonus]]*20))*100,40))-TblProd[[#This Row],[Required]]*TblTech[[#This Row],[…]],0) + IF(TblProd[[#This Row],[Plat Bonus]]&lt;&gt;"",750,0)</f>
        <v>0</v>
      </c>
      <c r="Q119" s="113">
        <v>10000</v>
      </c>
      <c r="R119" s="184"/>
      <c r="S119" s="113">
        <f ca="1">ROUNDDOWN(TblProd[[#This Row],[Raw Plat/hr]]*(1+TblProd[[#This Row],[Bonus Plat/hr]]),0)</f>
        <v>5499</v>
      </c>
      <c r="T119" s="113">
        <f ca="1">ROUND(TblProd[[#This Row],[Raw Food/hr]]*(1+TblProd[[#This Row],[Bonus Food/hr]])-TblProd[[#This Row],[Food decay]]-TblProd[[#This Row],[Food eaten]],0)</f>
        <v>571</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5499.9000000000005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1413.18</v>
      </c>
      <c r="AP119" s="113">
        <f ca="1">(1+race_food_consumption)*TblPop[[#This Row],[Total]]*food_per_person*(1+tech_1_10*TblTech[[#This Row],[1-10]]+tech_7_5*TblTech[[#This Row],[7-5]])</f>
        <v>595.75</v>
      </c>
      <c r="AQ119" s="113">
        <f ca="1">TblProd[[#This Row],[Lumber]]*lumber_rot * (1 + tech_2_1*TblTech[[#This Row],[2-1]] + tech_2_8*TblTech[[#This Row],[2-8]] + tech_5_2*TblTech[[#This Row],[5-2]])</f>
        <v>732.14</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44347.791666666388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732218</v>
      </c>
      <c r="BJ119" s="113">
        <f ca="1">TblProd[[#This Row],[Food]]</f>
        <v>141318</v>
      </c>
      <c r="BK119" s="113">
        <f ca="1">TblProd[[#This Row],[Lumber]]</f>
        <v>73214</v>
      </c>
      <c r="BL119" s="113">
        <f ca="1">TblProd[[#This Row],[Mana]]</f>
        <v>0</v>
      </c>
      <c r="BM119" s="113">
        <f ca="1">TblProd[[#This Row],[Ore]]</f>
        <v>0</v>
      </c>
    </row>
    <row r="120" spans="1:65" x14ac:dyDescent="0.2">
      <c r="A120" s="178">
        <v>45</v>
      </c>
      <c r="B120" s="198">
        <f ca="1">TblImps[[#This Row],[Time]]</f>
        <v>44347.833333333052</v>
      </c>
      <c r="C120" s="199"/>
      <c r="D120" s="200"/>
      <c r="E120" s="113">
        <f ca="1">TblConstr[[#This Row],[Land]]</f>
        <v>250</v>
      </c>
      <c r="F120" s="113">
        <f ca="1">TblPop[[#This Row],[Peasants]]</f>
        <v>1537</v>
      </c>
      <c r="G120" s="113">
        <f ca="1">TblMili[[#This Row],[Networth (2)]]</f>
        <v>6455</v>
      </c>
      <c r="H120" s="113">
        <f ca="1">OFFSET(TblProd[[#This Row],[Platinum]],-1,0)+OFFSET(TblProd[[#This Row],[Plat/hr]],-1,0) - TblProd[[#This Row],[Expenses Platinum]] + IF(TblProd[[#This Row],[Plat Bonus]],TblPop[[#This Row],[Peasants]]*4) + SUM(TblConstr[[#This Row],[Dest Hom]:[Dest Doc]])*TblConstr[[#This Row],[CPA Platinum -DB]]*tech_3_3_2*TblTech[[#This Row],[3-3]]</f>
        <v>737717</v>
      </c>
      <c r="I120" s="113">
        <f ca="1">OFFSET(TblProd[[#This Row],[Food]],-1,0)+OFFSET(TblProd[[#This Row],[Food/hr]],-1,0)+ROUNDUP((TblConstr[[#This Row],[Farms]]*80+TblConstr[[#This Row],[Docks]]*35)*(1+OFFSET(TblProd[[#This Row],[Bonus Food/hr]],-1,0)),0)</f>
        <v>141889</v>
      </c>
      <c r="J120" s="113">
        <f ca="1">OFFSET(TblProd[[#This Row],[Lumber]],-1,0)+OFFSET(TblProd[[#This Row],[Lumber/hr]],-1,0) - TblProd[[#This Row],[Expenses Lumber]] + SUM(TblConstr[[#This Row],[Dest Hom]:[Dest Doc]])*TblConstr[[#This Row],[CPA Lumber -DB]]*tech_3_3_2*TblTech[[#This Row],[3-3]]</f>
        <v>73482</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Row],[Techpoints]],-1,0)+(1+research_bonus)*(26*MIN((TblConstr[[#This Row],[Tot Sch]]/(TblProd[[#This Row],[Land]]-TblExplore[[#This Row],[Land Bonus]]*20))*100,40))-TblProd[[#This Row],[Required]]*TblTech[[#This Row],[…]],0) + IF(TblProd[[#This Row],[Plat Bonus]]&lt;&gt;"",750,0)</f>
        <v>0</v>
      </c>
      <c r="Q120" s="113">
        <v>10000</v>
      </c>
      <c r="R120" s="184"/>
      <c r="S120" s="113">
        <f ca="1">ROUNDDOWN(TblProd[[#This Row],[Raw Plat/hr]]*(1+TblProd[[#This Row],[Bonus Plat/hr]]),0)</f>
        <v>5499</v>
      </c>
      <c r="T120" s="113">
        <f ca="1">ROUND(TblProd[[#This Row],[Raw Food/hr]]*(1+TblProd[[#This Row],[Bonus Food/hr]])-TblProd[[#This Row],[Food decay]]-TblProd[[#This Row],[Food eaten]],0)</f>
        <v>565</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5499.9000000000005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1418.89</v>
      </c>
      <c r="AP120" s="113">
        <f ca="1">(1+race_food_consumption)*TblPop[[#This Row],[Total]]*food_per_person*(1+tech_1_10*TblTech[[#This Row],[1-10]]+tech_7_5*TblTech[[#This Row],[7-5]])</f>
        <v>595.75</v>
      </c>
      <c r="AQ120" s="113">
        <f ca="1">TblProd[[#This Row],[Lumber]]*lumber_rot * (1 + tech_2_1*TblTech[[#This Row],[2-1]] + tech_2_8*TblTech[[#This Row],[2-8]] + tech_5_2*TblTech[[#This Row],[5-2]])</f>
        <v>734.82</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44347.833333333052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737717</v>
      </c>
      <c r="BJ120" s="113">
        <f ca="1">TblProd[[#This Row],[Food]]</f>
        <v>141889</v>
      </c>
      <c r="BK120" s="113">
        <f ca="1">TblProd[[#This Row],[Lumber]]</f>
        <v>73482</v>
      </c>
      <c r="BL120" s="113">
        <f ca="1">TblProd[[#This Row],[Mana]]</f>
        <v>0</v>
      </c>
      <c r="BM120" s="113">
        <f ca="1">TblProd[[#This Row],[Ore]]</f>
        <v>0</v>
      </c>
    </row>
    <row r="121" spans="1:65" x14ac:dyDescent="0.2">
      <c r="A121" s="178">
        <v>46</v>
      </c>
      <c r="B121" s="198">
        <f ca="1">TblImps[[#This Row],[Time]]</f>
        <v>44347.874999999716</v>
      </c>
      <c r="C121" s="199"/>
      <c r="D121" s="200"/>
      <c r="E121" s="113">
        <f ca="1">TblConstr[[#This Row],[Land]]</f>
        <v>250</v>
      </c>
      <c r="F121" s="113">
        <f ca="1">TblPop[[#This Row],[Peasants]]</f>
        <v>1537</v>
      </c>
      <c r="G121" s="113">
        <f ca="1">TblMili[[#This Row],[Networth (2)]]</f>
        <v>6455</v>
      </c>
      <c r="H121" s="113">
        <f ca="1">OFFSET(TblProd[[#This Row],[Platinum]],-1,0)+OFFSET(TblProd[[#This Row],[Plat/hr]],-1,0) - TblProd[[#This Row],[Expenses Platinum]] + IF(TblProd[[#This Row],[Plat Bonus]],TblPop[[#This Row],[Peasants]]*4) + SUM(TblConstr[[#This Row],[Dest Hom]:[Dest Doc]])*TblConstr[[#This Row],[CPA Platinum -DB]]*tech_3_3_2*TblTech[[#This Row],[3-3]]</f>
        <v>743216</v>
      </c>
      <c r="I121" s="113">
        <f ca="1">OFFSET(TblProd[[#This Row],[Food]],-1,0)+OFFSET(TblProd[[#This Row],[Food/hr]],-1,0)+ROUNDUP((TblConstr[[#This Row],[Farms]]*80+TblConstr[[#This Row],[Docks]]*35)*(1+OFFSET(TblProd[[#This Row],[Bonus Food/hr]],-1,0)),0)</f>
        <v>142454</v>
      </c>
      <c r="J121" s="113">
        <f ca="1">OFFSET(TblProd[[#This Row],[Lumber]],-1,0)+OFFSET(TblProd[[#This Row],[Lumber/hr]],-1,0) - TblProd[[#This Row],[Expenses Lumber]] + SUM(TblConstr[[#This Row],[Dest Hom]:[Dest Doc]])*TblConstr[[#This Row],[CPA Lumber -DB]]*tech_3_3_2*TblTech[[#This Row],[3-3]]</f>
        <v>73747</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Row],[Techpoints]],-1,0)+(1+research_bonus)*(26*MIN((TblConstr[[#This Row],[Tot Sch]]/(TblProd[[#This Row],[Land]]-TblExplore[[#This Row],[Land Bonus]]*20))*100,40))-TblProd[[#This Row],[Required]]*TblTech[[#This Row],[…]],0) + IF(TblProd[[#This Row],[Plat Bonus]]&lt;&gt;"",750,0)</f>
        <v>0</v>
      </c>
      <c r="Q121" s="113">
        <v>10000</v>
      </c>
      <c r="R121" s="184"/>
      <c r="S121" s="113">
        <f ca="1">ROUNDDOWN(TblProd[[#This Row],[Raw Plat/hr]]*(1+TblProd[[#This Row],[Bonus Plat/hr]]),0)</f>
        <v>5499</v>
      </c>
      <c r="T121" s="113">
        <f ca="1">ROUND(TblProd[[#This Row],[Raw Food/hr]]*(1+TblProd[[#This Row],[Bonus Food/hr]])-TblProd[[#This Row],[Food decay]]-TblProd[[#This Row],[Food eaten]],0)</f>
        <v>560</v>
      </c>
      <c r="U121" s="113">
        <f ca="1">ROUND(TblProd[[#This Row],[Raw Lumber/hr]]*(1+TblProd[[#This Row],[Bonus Lumber/hr]])-TblProd[[#This Row],[Lumber rot]],0)</f>
        <v>263</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5499.9000000000005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1424.54</v>
      </c>
      <c r="AP121" s="113">
        <f ca="1">(1+race_food_consumption)*TblPop[[#This Row],[Total]]*food_per_person*(1+tech_1_10*TblTech[[#This Row],[1-10]]+tech_7_5*TblTech[[#This Row],[7-5]])</f>
        <v>595.75</v>
      </c>
      <c r="AQ121" s="113">
        <f ca="1">TblProd[[#This Row],[Lumber]]*lumber_rot * (1 + tech_2_1*TblTech[[#This Row],[2-1]] + tech_2_8*TblTech[[#This Row],[2-8]] + tech_5_2*TblTech[[#This Row],[5-2]])</f>
        <v>737.47</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44347.874999999716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743216</v>
      </c>
      <c r="BJ121" s="113">
        <f ca="1">TblProd[[#This Row],[Food]]</f>
        <v>142454</v>
      </c>
      <c r="BK121" s="113">
        <f ca="1">TblProd[[#This Row],[Lumber]]</f>
        <v>73747</v>
      </c>
      <c r="BL121" s="113">
        <f ca="1">TblProd[[#This Row],[Mana]]</f>
        <v>0</v>
      </c>
      <c r="BM121" s="113">
        <f ca="1">TblProd[[#This Row],[Ore]]</f>
        <v>0</v>
      </c>
    </row>
    <row r="122" spans="1:65" x14ac:dyDescent="0.2">
      <c r="A122" s="178">
        <v>47</v>
      </c>
      <c r="B122" s="198">
        <f ca="1">TblImps[[#This Row],[Time]]</f>
        <v>44347.91666666638</v>
      </c>
      <c r="C122" s="199"/>
      <c r="D122" s="200"/>
      <c r="E122" s="113">
        <f ca="1">TblConstr[[#This Row],[Land]]</f>
        <v>250</v>
      </c>
      <c r="F122" s="113">
        <f ca="1">TblPop[[#This Row],[Peasants]]</f>
        <v>1537</v>
      </c>
      <c r="G122" s="113">
        <f ca="1">TblMili[[#This Row],[Networth (2)]]</f>
        <v>6455</v>
      </c>
      <c r="H122" s="113">
        <f ca="1">OFFSET(TblProd[[#This Row],[Platinum]],-1,0)+OFFSET(TblProd[[#This Row],[Plat/hr]],-1,0) - TblProd[[#This Row],[Expenses Platinum]] + IF(TblProd[[#This Row],[Plat Bonus]],TblPop[[#This Row],[Peasants]]*4) + SUM(TblConstr[[#This Row],[Dest Hom]:[Dest Doc]])*TblConstr[[#This Row],[CPA Platinum -DB]]*tech_3_3_2*TblTech[[#This Row],[3-3]]</f>
        <v>748715</v>
      </c>
      <c r="I122" s="113">
        <f ca="1">OFFSET(TblProd[[#This Row],[Food]],-1,0)+OFFSET(TblProd[[#This Row],[Food/hr]],-1,0)+ROUNDUP((TblConstr[[#This Row],[Farms]]*80+TblConstr[[#This Row],[Docks]]*35)*(1+OFFSET(TblProd[[#This Row],[Bonus Food/hr]],-1,0)),0)</f>
        <v>143014</v>
      </c>
      <c r="J122" s="113">
        <f ca="1">OFFSET(TblProd[[#This Row],[Lumber]],-1,0)+OFFSET(TblProd[[#This Row],[Lumber/hr]],-1,0) - TblProd[[#This Row],[Expenses Lumber]] + SUM(TblConstr[[#This Row],[Dest Hom]:[Dest Doc]])*TblConstr[[#This Row],[CPA Lumber -DB]]*tech_3_3_2*TblTech[[#This Row],[3-3]]</f>
        <v>74010</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Row],[Techpoints]],-1,0)+(1+research_bonus)*(26*MIN((TblConstr[[#This Row],[Tot Sch]]/(TblProd[[#This Row],[Land]]-TblExplore[[#This Row],[Land Bonus]]*20))*100,40))-TblProd[[#This Row],[Required]]*TblTech[[#This Row],[…]],0) + IF(TblProd[[#This Row],[Plat Bonus]]&lt;&gt;"",750,0)</f>
        <v>0</v>
      </c>
      <c r="Q122" s="113">
        <v>10000</v>
      </c>
      <c r="R122" s="184"/>
      <c r="S122" s="113">
        <f ca="1">ROUNDDOWN(TblProd[[#This Row],[Raw Plat/hr]]*(1+TblProd[[#This Row],[Bonus Plat/hr]]),0)</f>
        <v>5499</v>
      </c>
      <c r="T122" s="113">
        <f ca="1">ROUND(TblProd[[#This Row],[Raw Food/hr]]*(1+TblProd[[#This Row],[Bonus Food/hr]])-TblProd[[#This Row],[Food decay]]-TblProd[[#This Row],[Food eaten]],0)</f>
        <v>554</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5499.9000000000005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1430.14</v>
      </c>
      <c r="AP122" s="113">
        <f ca="1">(1+race_food_consumption)*TblPop[[#This Row],[Total]]*food_per_person*(1+tech_1_10*TblTech[[#This Row],[1-10]]+tech_7_5*TblTech[[#This Row],[7-5]])</f>
        <v>595.75</v>
      </c>
      <c r="AQ122" s="113">
        <f ca="1">TblProd[[#This Row],[Lumber]]*lumber_rot * (1 + tech_2_1*TblTech[[#This Row],[2-1]] + tech_2_8*TblTech[[#This Row],[2-8]] + tech_5_2*TblTech[[#This Row],[5-2]])</f>
        <v>740.1</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44347.91666666638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748715</v>
      </c>
      <c r="BJ122" s="113">
        <f ca="1">TblProd[[#This Row],[Food]]</f>
        <v>143014</v>
      </c>
      <c r="BK122" s="113">
        <f ca="1">TblProd[[#This Row],[Lumber]]</f>
        <v>74010</v>
      </c>
      <c r="BL122" s="113">
        <f ca="1">TblProd[[#This Row],[Mana]]</f>
        <v>0</v>
      </c>
      <c r="BM122" s="113">
        <f ca="1">TblProd[[#This Row],[Ore]]</f>
        <v>0</v>
      </c>
    </row>
    <row r="123" spans="1:65" x14ac:dyDescent="0.2">
      <c r="A123" s="178">
        <v>48</v>
      </c>
      <c r="B123" s="198">
        <f ca="1">TblImps[[#This Row],[Time]]</f>
        <v>44347.958333333045</v>
      </c>
      <c r="C123" s="199"/>
      <c r="D123" s="200"/>
      <c r="E123" s="113">
        <f ca="1">TblConstr[[#This Row],[Land]]</f>
        <v>250</v>
      </c>
      <c r="F123" s="113">
        <f ca="1">TblPop[[#This Row],[Peasants]]</f>
        <v>1537</v>
      </c>
      <c r="G123" s="113">
        <f ca="1">TblMili[[#This Row],[Networth (2)]]</f>
        <v>6455</v>
      </c>
      <c r="H123" s="113">
        <f ca="1">OFFSET(TblProd[[#This Row],[Platinum]],-1,0)+OFFSET(TblProd[[#This Row],[Plat/hr]],-1,0) - TblProd[[#This Row],[Expenses Platinum]] + IF(TblProd[[#This Row],[Plat Bonus]],TblPop[[#This Row],[Peasants]]*4) + SUM(TblConstr[[#This Row],[Dest Hom]:[Dest Doc]])*TblConstr[[#This Row],[CPA Platinum -DB]]*tech_3_3_2*TblTech[[#This Row],[3-3]]</f>
        <v>754214</v>
      </c>
      <c r="I123" s="113">
        <f ca="1">OFFSET(TblProd[[#This Row],[Food]],-1,0)+OFFSET(TblProd[[#This Row],[Food/hr]],-1,0)+ROUNDUP((TblConstr[[#This Row],[Farms]]*80+TblConstr[[#This Row],[Docks]]*35)*(1+OFFSET(TblProd[[#This Row],[Bonus Food/hr]],-1,0)),0)</f>
        <v>143568</v>
      </c>
      <c r="J123" s="113">
        <f ca="1">OFFSET(TblProd[[#This Row],[Lumber]],-1,0)+OFFSET(TblProd[[#This Row],[Lumber/hr]],-1,0) - TblProd[[#This Row],[Expenses Lumber]] + SUM(TblConstr[[#This Row],[Dest Hom]:[Dest Doc]])*TblConstr[[#This Row],[CPA Lumber -DB]]*tech_3_3_2*TblTech[[#This Row],[3-3]]</f>
        <v>74270</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Row],[Techpoints]],-1,0)+(1+research_bonus)*(26*MIN((TblConstr[[#This Row],[Tot Sch]]/(TblProd[[#This Row],[Land]]-TblExplore[[#This Row],[Land Bonus]]*20))*100,40))-TblProd[[#This Row],[Required]]*TblTech[[#This Row],[…]],0) + IF(TblProd[[#This Row],[Plat Bonus]]&lt;&gt;"",750,0)</f>
        <v>0</v>
      </c>
      <c r="Q123" s="113">
        <v>10000</v>
      </c>
      <c r="R123" s="184"/>
      <c r="S123" s="113">
        <f ca="1">ROUNDDOWN(TblProd[[#This Row],[Raw Plat/hr]]*(1+TblProd[[#This Row],[Bonus Plat/hr]]),0)</f>
        <v>5499</v>
      </c>
      <c r="T123" s="113">
        <f ca="1">ROUND(TblProd[[#This Row],[Raw Food/hr]]*(1+TblProd[[#This Row],[Bonus Food/hr]])-TblProd[[#This Row],[Food decay]]-TblProd[[#This Row],[Food eaten]],0)</f>
        <v>549</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5499.9000000000005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1435.68</v>
      </c>
      <c r="AP123" s="113">
        <f ca="1">(1+race_food_consumption)*TblPop[[#This Row],[Total]]*food_per_person*(1+tech_1_10*TblTech[[#This Row],[1-10]]+tech_7_5*TblTech[[#This Row],[7-5]])</f>
        <v>595.75</v>
      </c>
      <c r="AQ123" s="113">
        <f ca="1">TblProd[[#This Row],[Lumber]]*lumber_rot * (1 + tech_2_1*TblTech[[#This Row],[2-1]] + tech_2_8*TblTech[[#This Row],[2-8]] + tech_5_2*TblTech[[#This Row],[5-2]])</f>
        <v>742.7</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44347.958333333045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754214</v>
      </c>
      <c r="BJ123" s="113">
        <f ca="1">TblProd[[#This Row],[Food]]</f>
        <v>143568</v>
      </c>
      <c r="BK123" s="113">
        <f ca="1">TblProd[[#This Row],[Lumber]]</f>
        <v>74270</v>
      </c>
      <c r="BL123" s="113">
        <f ca="1">TblProd[[#This Row],[Mana]]</f>
        <v>0</v>
      </c>
      <c r="BM123" s="113">
        <f ca="1">TblProd[[#This Row],[Ore]]</f>
        <v>0</v>
      </c>
    </row>
    <row r="124" spans="1:65" x14ac:dyDescent="0.2">
      <c r="A124" s="178">
        <v>49</v>
      </c>
      <c r="B124" s="198">
        <f ca="1">TblImps[[#This Row],[Time]]</f>
        <v>44347.999999999709</v>
      </c>
      <c r="C124" s="199"/>
      <c r="D124" s="200"/>
      <c r="E124" s="113">
        <f ca="1">TblConstr[[#This Row],[Land]]</f>
        <v>250</v>
      </c>
      <c r="F124" s="113">
        <f ca="1">TblPop[[#This Row],[Peasants]]</f>
        <v>1537</v>
      </c>
      <c r="G124" s="113">
        <f ca="1">TblMili[[#This Row],[Networth (2)]]</f>
        <v>6455</v>
      </c>
      <c r="H124" s="113">
        <f ca="1">OFFSET(TblProd[[#This Row],[Platinum]],-1,0)+OFFSET(TblProd[[#This Row],[Plat/hr]],-1,0) - TblProd[[#This Row],[Expenses Platinum]] + IF(TblProd[[#This Row],[Plat Bonus]],TblPop[[#This Row],[Peasants]]*4) + SUM(TblConstr[[#This Row],[Dest Hom]:[Dest Doc]])*TblConstr[[#This Row],[CPA Platinum -DB]]*tech_3_3_2*TblTech[[#This Row],[3-3]]</f>
        <v>759713</v>
      </c>
      <c r="I124" s="113">
        <f ca="1">OFFSET(TblProd[[#This Row],[Food]],-1,0)+OFFSET(TblProd[[#This Row],[Food/hr]],-1,0)+ROUNDUP((TblConstr[[#This Row],[Farms]]*80+TblConstr[[#This Row],[Docks]]*35)*(1+OFFSET(TblProd[[#This Row],[Bonus Food/hr]],-1,0)),0)</f>
        <v>144117</v>
      </c>
      <c r="J124" s="113">
        <f ca="1">OFFSET(TblProd[[#This Row],[Lumber]],-1,0)+OFFSET(TblProd[[#This Row],[Lumber/hr]],-1,0) - TblProd[[#This Row],[Expenses Lumber]] + SUM(TblConstr[[#This Row],[Dest Hom]:[Dest Doc]])*TblConstr[[#This Row],[CPA Lumber -DB]]*tech_3_3_2*TblTech[[#This Row],[3-3]]</f>
        <v>74527</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Row],[Techpoints]],-1,0)+(1+research_bonus)*(26*MIN((TblConstr[[#This Row],[Tot Sch]]/(TblProd[[#This Row],[Land]]-TblExplore[[#This Row],[Land Bonus]]*20))*100,40))-TblProd[[#This Row],[Required]]*TblTech[[#This Row],[…]],0) + IF(TblProd[[#This Row],[Plat Bonus]]&lt;&gt;"",750,0)</f>
        <v>0</v>
      </c>
      <c r="Q124" s="113">
        <v>10000</v>
      </c>
      <c r="R124" s="184"/>
      <c r="S124" s="113">
        <f ca="1">ROUNDDOWN(TblProd[[#This Row],[Raw Plat/hr]]*(1+TblProd[[#This Row],[Bonus Plat/hr]]),0)</f>
        <v>5499</v>
      </c>
      <c r="T124" s="113">
        <f ca="1">ROUND(TblProd[[#This Row],[Raw Food/hr]]*(1+TblProd[[#This Row],[Bonus Food/hr]])-TblProd[[#This Row],[Food decay]]-TblProd[[#This Row],[Food eaten]],0)</f>
        <v>543</v>
      </c>
      <c r="U124" s="113">
        <f ca="1">ROUND(TblProd[[#This Row],[Raw Lumber/hr]]*(1+TblProd[[#This Row],[Bonus Lumber/hr]])-TblProd[[#This Row],[Lumber rot]],0)</f>
        <v>255</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5499.9000000000005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1441.17</v>
      </c>
      <c r="AP124" s="113">
        <f ca="1">(1+race_food_consumption)*TblPop[[#This Row],[Total]]*food_per_person*(1+tech_1_10*TblTech[[#This Row],[1-10]]+tech_7_5*TblTech[[#This Row],[7-5]])</f>
        <v>595.75</v>
      </c>
      <c r="AQ124" s="113">
        <f ca="1">TblProd[[#This Row],[Lumber]]*lumber_rot * (1 + tech_2_1*TblTech[[#This Row],[2-1]] + tech_2_8*TblTech[[#This Row],[2-8]] + tech_5_2*TblTech[[#This Row],[5-2]])</f>
        <v>745.27</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44347.999999999709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759713</v>
      </c>
      <c r="BJ124" s="113">
        <f ca="1">TblProd[[#This Row],[Food]]</f>
        <v>144117</v>
      </c>
      <c r="BK124" s="113">
        <f ca="1">TblProd[[#This Row],[Lumber]]</f>
        <v>74527</v>
      </c>
      <c r="BL124" s="113">
        <f ca="1">TblProd[[#This Row],[Mana]]</f>
        <v>0</v>
      </c>
      <c r="BM124" s="113">
        <f ca="1">TblProd[[#This Row],[Ore]]</f>
        <v>0</v>
      </c>
    </row>
    <row r="125" spans="1:65" x14ac:dyDescent="0.2">
      <c r="A125" s="178">
        <v>50</v>
      </c>
      <c r="B125" s="198">
        <f ca="1">TblImps[[#This Row],[Time]]</f>
        <v>44348.041666666373</v>
      </c>
      <c r="C125" s="199"/>
      <c r="D125" s="200"/>
      <c r="E125" s="113">
        <f ca="1">TblConstr[[#This Row],[Land]]</f>
        <v>250</v>
      </c>
      <c r="F125" s="113">
        <f ca="1">TblPop[[#This Row],[Peasants]]</f>
        <v>1537</v>
      </c>
      <c r="G125" s="113">
        <f ca="1">TblMili[[#This Row],[Networth (2)]]</f>
        <v>6455</v>
      </c>
      <c r="H125" s="113">
        <f ca="1">OFFSET(TblProd[[#This Row],[Platinum]],-1,0)+OFFSET(TblProd[[#This Row],[Plat/hr]],-1,0) - TblProd[[#This Row],[Expenses Platinum]] + IF(TblProd[[#This Row],[Plat Bonus]],TblPop[[#This Row],[Peasants]]*4) + SUM(TblConstr[[#This Row],[Dest Hom]:[Dest Doc]])*TblConstr[[#This Row],[CPA Platinum -DB]]*tech_3_3_2*TblTech[[#This Row],[3-3]]</f>
        <v>765212</v>
      </c>
      <c r="I125" s="113">
        <f ca="1">OFFSET(TblProd[[#This Row],[Food]],-1,0)+OFFSET(TblProd[[#This Row],[Food/hr]],-1,0)+ROUNDUP((TblConstr[[#This Row],[Farms]]*80+TblConstr[[#This Row],[Docks]]*35)*(1+OFFSET(TblProd[[#This Row],[Bonus Food/hr]],-1,0)),0)</f>
        <v>144660</v>
      </c>
      <c r="J125" s="113">
        <f ca="1">OFFSET(TblProd[[#This Row],[Lumber]],-1,0)+OFFSET(TblProd[[#This Row],[Lumber/hr]],-1,0) - TblProd[[#This Row],[Expenses Lumber]] + SUM(TblConstr[[#This Row],[Dest Hom]:[Dest Doc]])*TblConstr[[#This Row],[CPA Lumber -DB]]*tech_3_3_2*TblTech[[#This Row],[3-3]]</f>
        <v>74782</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Row],[Techpoints]],-1,0)+(1+research_bonus)*(26*MIN((TblConstr[[#This Row],[Tot Sch]]/(TblProd[[#This Row],[Land]]-TblExplore[[#This Row],[Land Bonus]]*20))*100,40))-TblProd[[#This Row],[Required]]*TblTech[[#This Row],[…]],0) + IF(TblProd[[#This Row],[Plat Bonus]]&lt;&gt;"",750,0)</f>
        <v>0</v>
      </c>
      <c r="Q125" s="113">
        <v>10000</v>
      </c>
      <c r="R125" s="184"/>
      <c r="S125" s="113">
        <f ca="1">ROUNDDOWN(TblProd[[#This Row],[Raw Plat/hr]]*(1+TblProd[[#This Row],[Bonus Plat/hr]]),0)</f>
        <v>5499</v>
      </c>
      <c r="T125" s="113">
        <f ca="1">ROUND(TblProd[[#This Row],[Raw Food/hr]]*(1+TblProd[[#This Row],[Bonus Food/hr]])-TblProd[[#This Row],[Food decay]]-TblProd[[#This Row],[Food eaten]],0)</f>
        <v>538</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5499.9000000000005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1446.6000000000001</v>
      </c>
      <c r="AP125" s="113">
        <f ca="1">(1+race_food_consumption)*TblPop[[#This Row],[Total]]*food_per_person*(1+tech_1_10*TblTech[[#This Row],[1-10]]+tech_7_5*TblTech[[#This Row],[7-5]])</f>
        <v>595.75</v>
      </c>
      <c r="AQ125" s="113">
        <f ca="1">TblProd[[#This Row],[Lumber]]*lumber_rot * (1 + tech_2_1*TblTech[[#This Row],[2-1]] + tech_2_8*TblTech[[#This Row],[2-8]] + tech_5_2*TblTech[[#This Row],[5-2]])</f>
        <v>747.82</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44348.041666666373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765212</v>
      </c>
      <c r="BJ125" s="113">
        <f ca="1">TblProd[[#This Row],[Food]]</f>
        <v>144660</v>
      </c>
      <c r="BK125" s="113">
        <f ca="1">TblProd[[#This Row],[Lumber]]</f>
        <v>74782</v>
      </c>
      <c r="BL125" s="113">
        <f ca="1">TblProd[[#This Row],[Mana]]</f>
        <v>0</v>
      </c>
      <c r="BM125" s="113">
        <f ca="1">TblProd[[#This Row],[Ore]]</f>
        <v>0</v>
      </c>
    </row>
    <row r="126" spans="1:65" x14ac:dyDescent="0.2">
      <c r="A126" s="178">
        <v>51</v>
      </c>
      <c r="B126" s="198">
        <f ca="1">TblImps[[#This Row],[Time]]</f>
        <v>44348.083333333037</v>
      </c>
      <c r="C126" s="199"/>
      <c r="D126" s="200"/>
      <c r="E126" s="113">
        <f ca="1">TblConstr[[#This Row],[Land]]</f>
        <v>250</v>
      </c>
      <c r="F126" s="113">
        <f ca="1">TblPop[[#This Row],[Peasants]]</f>
        <v>1537</v>
      </c>
      <c r="G126" s="113">
        <f ca="1">TblMili[[#This Row],[Networth (2)]]</f>
        <v>6455</v>
      </c>
      <c r="H126" s="113">
        <f ca="1">OFFSET(TblProd[[#This Row],[Platinum]],-1,0)+OFFSET(TblProd[[#This Row],[Plat/hr]],-1,0) - TblProd[[#This Row],[Expenses Platinum]] + IF(TblProd[[#This Row],[Plat Bonus]],TblPop[[#This Row],[Peasants]]*4) + SUM(TblConstr[[#This Row],[Dest Hom]:[Dest Doc]])*TblConstr[[#This Row],[CPA Platinum -DB]]*tech_3_3_2*TblTech[[#This Row],[3-3]]</f>
        <v>770711</v>
      </c>
      <c r="I126" s="113">
        <f ca="1">OFFSET(TblProd[[#This Row],[Food]],-1,0)+OFFSET(TblProd[[#This Row],[Food/hr]],-1,0)+ROUNDUP((TblConstr[[#This Row],[Farms]]*80+TblConstr[[#This Row],[Docks]]*35)*(1+OFFSET(TblProd[[#This Row],[Bonus Food/hr]],-1,0)),0)</f>
        <v>145198</v>
      </c>
      <c r="J126" s="113">
        <f ca="1">OFFSET(TblProd[[#This Row],[Lumber]],-1,0)+OFFSET(TblProd[[#This Row],[Lumber/hr]],-1,0) - TblProd[[#This Row],[Expenses Lumber]] + SUM(TblConstr[[#This Row],[Dest Hom]:[Dest Doc]])*TblConstr[[#This Row],[CPA Lumber -DB]]*tech_3_3_2*TblTech[[#This Row],[3-3]]</f>
        <v>75034</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Row],[Techpoints]],-1,0)+(1+research_bonus)*(26*MIN((TblConstr[[#This Row],[Tot Sch]]/(TblProd[[#This Row],[Land]]-TblExplore[[#This Row],[Land Bonus]]*20))*100,40))-TblProd[[#This Row],[Required]]*TblTech[[#This Row],[…]],0) + IF(TblProd[[#This Row],[Plat Bonus]]&lt;&gt;"",750,0)</f>
        <v>0</v>
      </c>
      <c r="Q126" s="113">
        <v>10000</v>
      </c>
      <c r="R126" s="184"/>
      <c r="S126" s="113">
        <f ca="1">ROUNDDOWN(TblProd[[#This Row],[Raw Plat/hr]]*(1+TblProd[[#This Row],[Bonus Plat/hr]]),0)</f>
        <v>5499</v>
      </c>
      <c r="T126" s="113">
        <f ca="1">ROUND(TblProd[[#This Row],[Raw Food/hr]]*(1+TblProd[[#This Row],[Bonus Food/hr]])-TblProd[[#This Row],[Food decay]]-TblProd[[#This Row],[Food eaten]],0)</f>
        <v>532</v>
      </c>
      <c r="U126" s="113">
        <f ca="1">ROUND(TblProd[[#This Row],[Raw Lumber/hr]]*(1+TblProd[[#This Row],[Bonus Lumber/hr]])-TblProd[[#This Row],[Lumber rot]],0)</f>
        <v>250</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5499.9000000000005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1451.98</v>
      </c>
      <c r="AP126" s="113">
        <f ca="1">(1+race_food_consumption)*TblPop[[#This Row],[Total]]*food_per_person*(1+tech_1_10*TblTech[[#This Row],[1-10]]+tech_7_5*TblTech[[#This Row],[7-5]])</f>
        <v>595.75</v>
      </c>
      <c r="AQ126" s="113">
        <f ca="1">TblProd[[#This Row],[Lumber]]*lumber_rot * (1 + tech_2_1*TblTech[[#This Row],[2-1]] + tech_2_8*TblTech[[#This Row],[2-8]] + tech_5_2*TblTech[[#This Row],[5-2]])</f>
        <v>750.34</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44348.083333333037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770711</v>
      </c>
      <c r="BJ126" s="113">
        <f ca="1">TblProd[[#This Row],[Food]]</f>
        <v>145198</v>
      </c>
      <c r="BK126" s="113">
        <f ca="1">TblProd[[#This Row],[Lumber]]</f>
        <v>75034</v>
      </c>
      <c r="BL126" s="113">
        <f ca="1">TblProd[[#This Row],[Mana]]</f>
        <v>0</v>
      </c>
      <c r="BM126" s="113">
        <f ca="1">TblProd[[#This Row],[Ore]]</f>
        <v>0</v>
      </c>
    </row>
    <row r="127" spans="1:65" x14ac:dyDescent="0.2">
      <c r="A127" s="178">
        <v>52</v>
      </c>
      <c r="B127" s="198">
        <f ca="1">TblImps[[#This Row],[Time]]</f>
        <v>44348.124999999702</v>
      </c>
      <c r="C127" s="199"/>
      <c r="D127" s="200"/>
      <c r="E127" s="113">
        <f ca="1">TblConstr[[#This Row],[Land]]</f>
        <v>250</v>
      </c>
      <c r="F127" s="113">
        <f ca="1">TblPop[[#This Row],[Peasants]]</f>
        <v>1537</v>
      </c>
      <c r="G127" s="113">
        <f ca="1">TblMili[[#This Row],[Networth (2)]]</f>
        <v>6455</v>
      </c>
      <c r="H127" s="113">
        <f ca="1">OFFSET(TblProd[[#This Row],[Platinum]],-1,0)+OFFSET(TblProd[[#This Row],[Plat/hr]],-1,0) - TblProd[[#This Row],[Expenses Platinum]] + IF(TblProd[[#This Row],[Plat Bonus]],TblPop[[#This Row],[Peasants]]*4) + SUM(TblConstr[[#This Row],[Dest Hom]:[Dest Doc]])*TblConstr[[#This Row],[CPA Platinum -DB]]*tech_3_3_2*TblTech[[#This Row],[3-3]]</f>
        <v>776210</v>
      </c>
      <c r="I127" s="113">
        <f ca="1">OFFSET(TblProd[[#This Row],[Food]],-1,0)+OFFSET(TblProd[[#This Row],[Food/hr]],-1,0)+ROUNDUP((TblConstr[[#This Row],[Farms]]*80+TblConstr[[#This Row],[Docks]]*35)*(1+OFFSET(TblProd[[#This Row],[Bonus Food/hr]],-1,0)),0)</f>
        <v>145730</v>
      </c>
      <c r="J127" s="113">
        <f ca="1">OFFSET(TblProd[[#This Row],[Lumber]],-1,0)+OFFSET(TblProd[[#This Row],[Lumber/hr]],-1,0) - TblProd[[#This Row],[Expenses Lumber]] + SUM(TblConstr[[#This Row],[Dest Hom]:[Dest Doc]])*TblConstr[[#This Row],[CPA Lumber -DB]]*tech_3_3_2*TblTech[[#This Row],[3-3]]</f>
        <v>75284</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Row],[Techpoints]],-1,0)+(1+research_bonus)*(26*MIN((TblConstr[[#This Row],[Tot Sch]]/(TblProd[[#This Row],[Land]]-TblExplore[[#This Row],[Land Bonus]]*20))*100,40))-TblProd[[#This Row],[Required]]*TblTech[[#This Row],[…]],0) + IF(TblProd[[#This Row],[Plat Bonus]]&lt;&gt;"",750,0)</f>
        <v>0</v>
      </c>
      <c r="Q127" s="113">
        <v>10000</v>
      </c>
      <c r="R127" s="184"/>
      <c r="S127" s="113">
        <f ca="1">ROUNDDOWN(TblProd[[#This Row],[Raw Plat/hr]]*(1+TblProd[[#This Row],[Bonus Plat/hr]]),0)</f>
        <v>5499</v>
      </c>
      <c r="T127" s="113">
        <f ca="1">ROUND(TblProd[[#This Row],[Raw Food/hr]]*(1+TblProd[[#This Row],[Bonus Food/hr]])-TblProd[[#This Row],[Food decay]]-TblProd[[#This Row],[Food eaten]],0)</f>
        <v>527</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5499.9000000000005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1457.3</v>
      </c>
      <c r="AP127" s="113">
        <f ca="1">(1+race_food_consumption)*TblPop[[#This Row],[Total]]*food_per_person*(1+tech_1_10*TblTech[[#This Row],[1-10]]+tech_7_5*TblTech[[#This Row],[7-5]])</f>
        <v>595.75</v>
      </c>
      <c r="AQ127" s="113">
        <f ca="1">TblProd[[#This Row],[Lumber]]*lumber_rot * (1 + tech_2_1*TblTech[[#This Row],[2-1]] + tech_2_8*TblTech[[#This Row],[2-8]] + tech_5_2*TblTech[[#This Row],[5-2]])</f>
        <v>752.84</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44348.124999999702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776210</v>
      </c>
      <c r="BJ127" s="113">
        <f ca="1">TblProd[[#This Row],[Food]]</f>
        <v>145730</v>
      </c>
      <c r="BK127" s="113">
        <f ca="1">TblProd[[#This Row],[Lumber]]</f>
        <v>75284</v>
      </c>
      <c r="BL127" s="113">
        <f ca="1">TblProd[[#This Row],[Mana]]</f>
        <v>0</v>
      </c>
      <c r="BM127" s="113">
        <f ca="1">TblProd[[#This Row],[Ore]]</f>
        <v>0</v>
      </c>
    </row>
    <row r="128" spans="1:65" x14ac:dyDescent="0.2">
      <c r="A128" s="178">
        <v>53</v>
      </c>
      <c r="B128" s="198">
        <f ca="1">TblImps[[#This Row],[Time]]</f>
        <v>44348.166666666366</v>
      </c>
      <c r="C128" s="199"/>
      <c r="D128" s="200"/>
      <c r="E128" s="113">
        <f ca="1">TblConstr[[#This Row],[Land]]</f>
        <v>250</v>
      </c>
      <c r="F128" s="113">
        <f ca="1">TblPop[[#This Row],[Peasants]]</f>
        <v>1537</v>
      </c>
      <c r="G128" s="113">
        <f ca="1">TblMili[[#This Row],[Networth (2)]]</f>
        <v>6455</v>
      </c>
      <c r="H128" s="113">
        <f ca="1">OFFSET(TblProd[[#This Row],[Platinum]],-1,0)+OFFSET(TblProd[[#This Row],[Plat/hr]],-1,0) - TblProd[[#This Row],[Expenses Platinum]] + IF(TblProd[[#This Row],[Plat Bonus]],TblPop[[#This Row],[Peasants]]*4) + SUM(TblConstr[[#This Row],[Dest Hom]:[Dest Doc]])*TblConstr[[#This Row],[CPA Platinum -DB]]*tech_3_3_2*TblTech[[#This Row],[3-3]]</f>
        <v>781709</v>
      </c>
      <c r="I128" s="113">
        <f ca="1">OFFSET(TblProd[[#This Row],[Food]],-1,0)+OFFSET(TblProd[[#This Row],[Food/hr]],-1,0)+ROUNDUP((TblConstr[[#This Row],[Farms]]*80+TblConstr[[#This Row],[Docks]]*35)*(1+OFFSET(TblProd[[#This Row],[Bonus Food/hr]],-1,0)),0)</f>
        <v>146257</v>
      </c>
      <c r="J128" s="113">
        <f ca="1">OFFSET(TblProd[[#This Row],[Lumber]],-1,0)+OFFSET(TblProd[[#This Row],[Lumber/hr]],-1,0) - TblProd[[#This Row],[Expenses Lumber]] + SUM(TblConstr[[#This Row],[Dest Hom]:[Dest Doc]])*TblConstr[[#This Row],[CPA Lumber -DB]]*tech_3_3_2*TblTech[[#This Row],[3-3]]</f>
        <v>75531</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Row],[Techpoints]],-1,0)+(1+research_bonus)*(26*MIN((TblConstr[[#This Row],[Tot Sch]]/(TblProd[[#This Row],[Land]]-TblExplore[[#This Row],[Land Bonus]]*20))*100,40))-TblProd[[#This Row],[Required]]*TblTech[[#This Row],[…]],0) + IF(TblProd[[#This Row],[Plat Bonus]]&lt;&gt;"",750,0)</f>
        <v>0</v>
      </c>
      <c r="Q128" s="113">
        <v>10000</v>
      </c>
      <c r="R128" s="184"/>
      <c r="S128" s="113">
        <f ca="1">ROUNDDOWN(TblProd[[#This Row],[Raw Plat/hr]]*(1+TblProd[[#This Row],[Bonus Plat/hr]]),0)</f>
        <v>5499</v>
      </c>
      <c r="T128" s="113">
        <f ca="1">ROUND(TblProd[[#This Row],[Raw Food/hr]]*(1+TblProd[[#This Row],[Bonus Food/hr]])-TblProd[[#This Row],[Food decay]]-TblProd[[#This Row],[Food eaten]],0)</f>
        <v>522</v>
      </c>
      <c r="U128" s="113">
        <f ca="1">ROUND(TblProd[[#This Row],[Raw Lumber/hr]]*(1+TblProd[[#This Row],[Bonus Lumber/hr]])-TblProd[[#This Row],[Lumber rot]],0)</f>
        <v>245</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5499.9000000000005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1462.57</v>
      </c>
      <c r="AP128" s="113">
        <f ca="1">(1+race_food_consumption)*TblPop[[#This Row],[Total]]*food_per_person*(1+tech_1_10*TblTech[[#This Row],[1-10]]+tech_7_5*TblTech[[#This Row],[7-5]])</f>
        <v>595.75</v>
      </c>
      <c r="AQ128" s="113">
        <f ca="1">TblProd[[#This Row],[Lumber]]*lumber_rot * (1 + tech_2_1*TblTech[[#This Row],[2-1]] + tech_2_8*TblTech[[#This Row],[2-8]] + tech_5_2*TblTech[[#This Row],[5-2]])</f>
        <v>755.31000000000006</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44348.166666666366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781709</v>
      </c>
      <c r="BJ128" s="113">
        <f ca="1">TblProd[[#This Row],[Food]]</f>
        <v>146257</v>
      </c>
      <c r="BK128" s="113">
        <f ca="1">TblProd[[#This Row],[Lumber]]</f>
        <v>75531</v>
      </c>
      <c r="BL128" s="113">
        <f ca="1">TblProd[[#This Row],[Mana]]</f>
        <v>0</v>
      </c>
      <c r="BM128" s="113">
        <f ca="1">TblProd[[#This Row],[Ore]]</f>
        <v>0</v>
      </c>
    </row>
    <row r="129" spans="1:65" x14ac:dyDescent="0.2">
      <c r="A129" s="178">
        <v>54</v>
      </c>
      <c r="B129" s="198">
        <f ca="1">TblImps[[#This Row],[Time]]</f>
        <v>44348.20833333303</v>
      </c>
      <c r="C129" s="199"/>
      <c r="D129" s="200"/>
      <c r="E129" s="113">
        <f ca="1">TblConstr[[#This Row],[Land]]</f>
        <v>250</v>
      </c>
      <c r="F129" s="113">
        <f ca="1">TblPop[[#This Row],[Peasants]]</f>
        <v>1537</v>
      </c>
      <c r="G129" s="113">
        <f ca="1">TblMili[[#This Row],[Networth (2)]]</f>
        <v>6455</v>
      </c>
      <c r="H129" s="113">
        <f ca="1">OFFSET(TblProd[[#This Row],[Platinum]],-1,0)+OFFSET(TblProd[[#This Row],[Plat/hr]],-1,0) - TblProd[[#This Row],[Expenses Platinum]] + IF(TblProd[[#This Row],[Plat Bonus]],TblPop[[#This Row],[Peasants]]*4) + SUM(TblConstr[[#This Row],[Dest Hom]:[Dest Doc]])*TblConstr[[#This Row],[CPA Platinum -DB]]*tech_3_3_2*TblTech[[#This Row],[3-3]]</f>
        <v>787208</v>
      </c>
      <c r="I129" s="113">
        <f ca="1">OFFSET(TblProd[[#This Row],[Food]],-1,0)+OFFSET(TblProd[[#This Row],[Food/hr]],-1,0)+ROUNDUP((TblConstr[[#This Row],[Farms]]*80+TblConstr[[#This Row],[Docks]]*35)*(1+OFFSET(TblProd[[#This Row],[Bonus Food/hr]],-1,0)),0)</f>
        <v>146779</v>
      </c>
      <c r="J129" s="113">
        <f ca="1">OFFSET(TblProd[[#This Row],[Lumber]],-1,0)+OFFSET(TblProd[[#This Row],[Lumber/hr]],-1,0) - TblProd[[#This Row],[Expenses Lumber]] + SUM(TblConstr[[#This Row],[Dest Hom]:[Dest Doc]])*TblConstr[[#This Row],[CPA Lumber -DB]]*tech_3_3_2*TblTech[[#This Row],[3-3]]</f>
        <v>75776</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Row],[Techpoints]],-1,0)+(1+research_bonus)*(26*MIN((TblConstr[[#This Row],[Tot Sch]]/(TblProd[[#This Row],[Land]]-TblExplore[[#This Row],[Land Bonus]]*20))*100,40))-TblProd[[#This Row],[Required]]*TblTech[[#This Row],[…]],0) + IF(TblProd[[#This Row],[Plat Bonus]]&lt;&gt;"",750,0)</f>
        <v>0</v>
      </c>
      <c r="Q129" s="113">
        <v>10000</v>
      </c>
      <c r="R129" s="184"/>
      <c r="S129" s="113">
        <f ca="1">ROUNDDOWN(TblProd[[#This Row],[Raw Plat/hr]]*(1+TblProd[[#This Row],[Bonus Plat/hr]]),0)</f>
        <v>5499</v>
      </c>
      <c r="T129" s="113">
        <f ca="1">ROUND(TblProd[[#This Row],[Raw Food/hr]]*(1+TblProd[[#This Row],[Bonus Food/hr]])-TblProd[[#This Row],[Food decay]]-TblProd[[#This Row],[Food eaten]],0)</f>
        <v>516</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5499.9000000000005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1467.79</v>
      </c>
      <c r="AP129" s="113">
        <f ca="1">(1+race_food_consumption)*TblPop[[#This Row],[Total]]*food_per_person*(1+tech_1_10*TblTech[[#This Row],[1-10]]+tech_7_5*TblTech[[#This Row],[7-5]])</f>
        <v>595.75</v>
      </c>
      <c r="AQ129" s="113">
        <f ca="1">TblProd[[#This Row],[Lumber]]*lumber_rot * (1 + tech_2_1*TblTech[[#This Row],[2-1]] + tech_2_8*TblTech[[#This Row],[2-8]] + tech_5_2*TblTech[[#This Row],[5-2]])</f>
        <v>757.76</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44348.20833333303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787208</v>
      </c>
      <c r="BJ129" s="113">
        <f ca="1">TblProd[[#This Row],[Food]]</f>
        <v>146779</v>
      </c>
      <c r="BK129" s="113">
        <f ca="1">TblProd[[#This Row],[Lumber]]</f>
        <v>75776</v>
      </c>
      <c r="BL129" s="113">
        <f ca="1">TblProd[[#This Row],[Mana]]</f>
        <v>0</v>
      </c>
      <c r="BM129" s="113">
        <f ca="1">TblProd[[#This Row],[Ore]]</f>
        <v>0</v>
      </c>
    </row>
    <row r="130" spans="1:65" x14ac:dyDescent="0.2">
      <c r="A130" s="178">
        <v>55</v>
      </c>
      <c r="B130" s="198">
        <f ca="1">TblImps[[#This Row],[Time]]</f>
        <v>44348.249999999694</v>
      </c>
      <c r="C130" s="199"/>
      <c r="D130" s="200"/>
      <c r="E130" s="113">
        <f ca="1">TblConstr[[#This Row],[Land]]</f>
        <v>250</v>
      </c>
      <c r="F130" s="113">
        <f ca="1">TblPop[[#This Row],[Peasants]]</f>
        <v>1537</v>
      </c>
      <c r="G130" s="113">
        <f ca="1">TblMili[[#This Row],[Networth (2)]]</f>
        <v>6455</v>
      </c>
      <c r="H130" s="113">
        <f ca="1">OFFSET(TblProd[[#This Row],[Platinum]],-1,0)+OFFSET(TblProd[[#This Row],[Plat/hr]],-1,0) - TblProd[[#This Row],[Expenses Platinum]] + IF(TblProd[[#This Row],[Plat Bonus]],TblPop[[#This Row],[Peasants]]*4) + SUM(TblConstr[[#This Row],[Dest Hom]:[Dest Doc]])*TblConstr[[#This Row],[CPA Platinum -DB]]*tech_3_3_2*TblTech[[#This Row],[3-3]]</f>
        <v>792707</v>
      </c>
      <c r="I130" s="113">
        <f ca="1">OFFSET(TblProd[[#This Row],[Food]],-1,0)+OFFSET(TblProd[[#This Row],[Food/hr]],-1,0)+ROUNDUP((TblConstr[[#This Row],[Farms]]*80+TblConstr[[#This Row],[Docks]]*35)*(1+OFFSET(TblProd[[#This Row],[Bonus Food/hr]],-1,0)),0)</f>
        <v>147295</v>
      </c>
      <c r="J130" s="113">
        <f ca="1">OFFSET(TblProd[[#This Row],[Lumber]],-1,0)+OFFSET(TblProd[[#This Row],[Lumber/hr]],-1,0) - TblProd[[#This Row],[Expenses Lumber]] + SUM(TblConstr[[#This Row],[Dest Hom]:[Dest Doc]])*TblConstr[[#This Row],[CPA Lumber -DB]]*tech_3_3_2*TblTech[[#This Row],[3-3]]</f>
        <v>76018</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Row],[Techpoints]],-1,0)+(1+research_bonus)*(26*MIN((TblConstr[[#This Row],[Tot Sch]]/(TblProd[[#This Row],[Land]]-TblExplore[[#This Row],[Land Bonus]]*20))*100,40))-TblProd[[#This Row],[Required]]*TblTech[[#This Row],[…]],0) + IF(TblProd[[#This Row],[Plat Bonus]]&lt;&gt;"",750,0)</f>
        <v>0</v>
      </c>
      <c r="Q130" s="113">
        <v>10000</v>
      </c>
      <c r="R130" s="184"/>
      <c r="S130" s="113">
        <f ca="1">ROUNDDOWN(TblProd[[#This Row],[Raw Plat/hr]]*(1+TblProd[[#This Row],[Bonus Plat/hr]]),0)</f>
        <v>5499</v>
      </c>
      <c r="T130" s="113">
        <f ca="1">ROUND(TblProd[[#This Row],[Raw Food/hr]]*(1+TblProd[[#This Row],[Bonus Food/hr]])-TblProd[[#This Row],[Food decay]]-TblProd[[#This Row],[Food eaten]],0)</f>
        <v>511</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5499.9000000000005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1472.95</v>
      </c>
      <c r="AP130" s="113">
        <f ca="1">(1+race_food_consumption)*TblPop[[#This Row],[Total]]*food_per_person*(1+tech_1_10*TblTech[[#This Row],[1-10]]+tech_7_5*TblTech[[#This Row],[7-5]])</f>
        <v>595.75</v>
      </c>
      <c r="AQ130" s="113">
        <f ca="1">TblProd[[#This Row],[Lumber]]*lumber_rot * (1 + tech_2_1*TblTech[[#This Row],[2-1]] + tech_2_8*TblTech[[#This Row],[2-8]] + tech_5_2*TblTech[[#This Row],[5-2]])</f>
        <v>760.18000000000006</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44348.249999999694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792707</v>
      </c>
      <c r="BJ130" s="113">
        <f ca="1">TblProd[[#This Row],[Food]]</f>
        <v>147295</v>
      </c>
      <c r="BK130" s="113">
        <f ca="1">TblProd[[#This Row],[Lumber]]</f>
        <v>76018</v>
      </c>
      <c r="BL130" s="113">
        <f ca="1">TblProd[[#This Row],[Mana]]</f>
        <v>0</v>
      </c>
      <c r="BM130" s="113">
        <f ca="1">TblProd[[#This Row],[Ore]]</f>
        <v>0</v>
      </c>
    </row>
    <row r="131" spans="1:65" x14ac:dyDescent="0.2">
      <c r="A131" s="178">
        <v>56</v>
      </c>
      <c r="B131" s="198">
        <f ca="1">TblImps[[#This Row],[Time]]</f>
        <v>44348.291666666359</v>
      </c>
      <c r="C131" s="199"/>
      <c r="D131" s="200"/>
      <c r="E131" s="113">
        <f ca="1">TblConstr[[#This Row],[Land]]</f>
        <v>250</v>
      </c>
      <c r="F131" s="113">
        <f ca="1">TblPop[[#This Row],[Peasants]]</f>
        <v>1537</v>
      </c>
      <c r="G131" s="113">
        <f ca="1">TblMili[[#This Row],[Networth (2)]]</f>
        <v>6455</v>
      </c>
      <c r="H131" s="113">
        <f ca="1">OFFSET(TblProd[[#This Row],[Platinum]],-1,0)+OFFSET(TblProd[[#This Row],[Plat/hr]],-1,0) - TblProd[[#This Row],[Expenses Platinum]] + IF(TblProd[[#This Row],[Plat Bonus]],TblPop[[#This Row],[Peasants]]*4) + SUM(TblConstr[[#This Row],[Dest Hom]:[Dest Doc]])*TblConstr[[#This Row],[CPA Platinum -DB]]*tech_3_3_2*TblTech[[#This Row],[3-3]]</f>
        <v>798206</v>
      </c>
      <c r="I131" s="113">
        <f ca="1">OFFSET(TblProd[[#This Row],[Food]],-1,0)+OFFSET(TblProd[[#This Row],[Food/hr]],-1,0)+ROUNDUP((TblConstr[[#This Row],[Farms]]*80+TblConstr[[#This Row],[Docks]]*35)*(1+OFFSET(TblProd[[#This Row],[Bonus Food/hr]],-1,0)),0)</f>
        <v>147806</v>
      </c>
      <c r="J131" s="113">
        <f ca="1">OFFSET(TblProd[[#This Row],[Lumber]],-1,0)+OFFSET(TblProd[[#This Row],[Lumber/hr]],-1,0) - TblProd[[#This Row],[Expenses Lumber]] + SUM(TblConstr[[#This Row],[Dest Hom]:[Dest Doc]])*TblConstr[[#This Row],[CPA Lumber -DB]]*tech_3_3_2*TblTech[[#This Row],[3-3]]</f>
        <v>76258</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Row],[Techpoints]],-1,0)+(1+research_bonus)*(26*MIN((TblConstr[[#This Row],[Tot Sch]]/(TblProd[[#This Row],[Land]]-TblExplore[[#This Row],[Land Bonus]]*20))*100,40))-TblProd[[#This Row],[Required]]*TblTech[[#This Row],[…]],0) + IF(TblProd[[#This Row],[Plat Bonus]]&lt;&gt;"",750,0)</f>
        <v>0</v>
      </c>
      <c r="Q131" s="113">
        <v>10000</v>
      </c>
      <c r="R131" s="184"/>
      <c r="S131" s="113">
        <f ca="1">ROUNDDOWN(TblProd[[#This Row],[Raw Plat/hr]]*(1+TblProd[[#This Row],[Bonus Plat/hr]]),0)</f>
        <v>5499</v>
      </c>
      <c r="T131" s="113">
        <f ca="1">ROUND(TblProd[[#This Row],[Raw Food/hr]]*(1+TblProd[[#This Row],[Bonus Food/hr]])-TblProd[[#This Row],[Food decay]]-TblProd[[#This Row],[Food eaten]],0)</f>
        <v>506</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5499.9000000000005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1478.06</v>
      </c>
      <c r="AP131" s="113">
        <f ca="1">(1+race_food_consumption)*TblPop[[#This Row],[Total]]*food_per_person*(1+tech_1_10*TblTech[[#This Row],[1-10]]+tech_7_5*TblTech[[#This Row],[7-5]])</f>
        <v>595.75</v>
      </c>
      <c r="AQ131" s="113">
        <f ca="1">TblProd[[#This Row],[Lumber]]*lumber_rot * (1 + tech_2_1*TblTech[[#This Row],[2-1]] + tech_2_8*TblTech[[#This Row],[2-8]] + tech_5_2*TblTech[[#This Row],[5-2]])</f>
        <v>762.58</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44348.291666666359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798206</v>
      </c>
      <c r="BJ131" s="113">
        <f ca="1">TblProd[[#This Row],[Food]]</f>
        <v>147806</v>
      </c>
      <c r="BK131" s="113">
        <f ca="1">TblProd[[#This Row],[Lumber]]</f>
        <v>76258</v>
      </c>
      <c r="BL131" s="113">
        <f ca="1">TblProd[[#This Row],[Mana]]</f>
        <v>0</v>
      </c>
      <c r="BM131" s="113">
        <f ca="1">TblProd[[#This Row],[Ore]]</f>
        <v>0</v>
      </c>
    </row>
    <row r="132" spans="1:65" x14ac:dyDescent="0.2">
      <c r="A132" s="178">
        <v>57</v>
      </c>
      <c r="B132" s="198">
        <f ca="1">TblImps[[#This Row],[Time]]</f>
        <v>44348.333333333023</v>
      </c>
      <c r="C132" s="199"/>
      <c r="D132" s="200"/>
      <c r="E132" s="113">
        <f ca="1">TblConstr[[#This Row],[Land]]</f>
        <v>250</v>
      </c>
      <c r="F132" s="113">
        <f ca="1">TblPop[[#This Row],[Peasants]]</f>
        <v>1537</v>
      </c>
      <c r="G132" s="113">
        <f ca="1">TblMili[[#This Row],[Networth (2)]]</f>
        <v>6455</v>
      </c>
      <c r="H132" s="113">
        <f ca="1">OFFSET(TblProd[[#This Row],[Platinum]],-1,0)+OFFSET(TblProd[[#This Row],[Plat/hr]],-1,0) - TblProd[[#This Row],[Expenses Platinum]] + IF(TblProd[[#This Row],[Plat Bonus]],TblPop[[#This Row],[Peasants]]*4) + SUM(TblConstr[[#This Row],[Dest Hom]:[Dest Doc]])*TblConstr[[#This Row],[CPA Platinum -DB]]*tech_3_3_2*TblTech[[#This Row],[3-3]]</f>
        <v>803705</v>
      </c>
      <c r="I132" s="113">
        <f ca="1">OFFSET(TblProd[[#This Row],[Food]],-1,0)+OFFSET(TblProd[[#This Row],[Food/hr]],-1,0)+ROUNDUP((TblConstr[[#This Row],[Farms]]*80+TblConstr[[#This Row],[Docks]]*35)*(1+OFFSET(TblProd[[#This Row],[Bonus Food/hr]],-1,0)),0)</f>
        <v>148312</v>
      </c>
      <c r="J132" s="113">
        <f ca="1">OFFSET(TblProd[[#This Row],[Lumber]],-1,0)+OFFSET(TblProd[[#This Row],[Lumber/hr]],-1,0) - TblProd[[#This Row],[Expenses Lumber]] + SUM(TblConstr[[#This Row],[Dest Hom]:[Dest Doc]])*TblConstr[[#This Row],[CPA Lumber -DB]]*tech_3_3_2*TblTech[[#This Row],[3-3]]</f>
        <v>76495</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Row],[Techpoints]],-1,0)+(1+research_bonus)*(26*MIN((TblConstr[[#This Row],[Tot Sch]]/(TblProd[[#This Row],[Land]]-TblExplore[[#This Row],[Land Bonus]]*20))*100,40))-TblProd[[#This Row],[Required]]*TblTech[[#This Row],[…]],0) + IF(TblProd[[#This Row],[Plat Bonus]]&lt;&gt;"",750,0)</f>
        <v>0</v>
      </c>
      <c r="Q132" s="113">
        <v>10000</v>
      </c>
      <c r="R132" s="184"/>
      <c r="S132" s="113">
        <f ca="1">ROUNDDOWN(TblProd[[#This Row],[Raw Plat/hr]]*(1+TblProd[[#This Row],[Bonus Plat/hr]]),0)</f>
        <v>5499</v>
      </c>
      <c r="T132" s="113">
        <f ca="1">ROUND(TblProd[[#This Row],[Raw Food/hr]]*(1+TblProd[[#This Row],[Bonus Food/hr]])-TblProd[[#This Row],[Food decay]]-TblProd[[#This Row],[Food eaten]],0)</f>
        <v>501</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5499.9000000000005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1483.1200000000001</v>
      </c>
      <c r="AP132" s="113">
        <f ca="1">(1+race_food_consumption)*TblPop[[#This Row],[Total]]*food_per_person*(1+tech_1_10*TblTech[[#This Row],[1-10]]+tech_7_5*TblTech[[#This Row],[7-5]])</f>
        <v>595.75</v>
      </c>
      <c r="AQ132" s="113">
        <f ca="1">TblProd[[#This Row],[Lumber]]*lumber_rot * (1 + tech_2_1*TblTech[[#This Row],[2-1]] + tech_2_8*TblTech[[#This Row],[2-8]] + tech_5_2*TblTech[[#This Row],[5-2]])</f>
        <v>764.95</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44348.333333333023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803705</v>
      </c>
      <c r="BJ132" s="113">
        <f ca="1">TblProd[[#This Row],[Food]]</f>
        <v>148312</v>
      </c>
      <c r="BK132" s="113">
        <f ca="1">TblProd[[#This Row],[Lumber]]</f>
        <v>76495</v>
      </c>
      <c r="BL132" s="113">
        <f ca="1">TblProd[[#This Row],[Mana]]</f>
        <v>0</v>
      </c>
      <c r="BM132" s="113">
        <f ca="1">TblProd[[#This Row],[Ore]]</f>
        <v>0</v>
      </c>
    </row>
    <row r="133" spans="1:65" x14ac:dyDescent="0.2">
      <c r="A133" s="178">
        <v>58</v>
      </c>
      <c r="B133" s="198">
        <f ca="1">TblImps[[#This Row],[Time]]</f>
        <v>44348.374999999687</v>
      </c>
      <c r="C133" s="199"/>
      <c r="D133" s="200"/>
      <c r="E133" s="113">
        <f ca="1">TblConstr[[#This Row],[Land]]</f>
        <v>250</v>
      </c>
      <c r="F133" s="113">
        <f ca="1">TblPop[[#This Row],[Peasants]]</f>
        <v>1537</v>
      </c>
      <c r="G133" s="113">
        <f ca="1">TblMili[[#This Row],[Networth (2)]]</f>
        <v>6455</v>
      </c>
      <c r="H133" s="113">
        <f ca="1">OFFSET(TblProd[[#This Row],[Platinum]],-1,0)+OFFSET(TblProd[[#This Row],[Plat/hr]],-1,0) - TblProd[[#This Row],[Expenses Platinum]] + IF(TblProd[[#This Row],[Plat Bonus]],TblPop[[#This Row],[Peasants]]*4) + SUM(TblConstr[[#This Row],[Dest Hom]:[Dest Doc]])*TblConstr[[#This Row],[CPA Platinum -DB]]*tech_3_3_2*TblTech[[#This Row],[3-3]]</f>
        <v>809204</v>
      </c>
      <c r="I133" s="113">
        <f ca="1">OFFSET(TblProd[[#This Row],[Food]],-1,0)+OFFSET(TblProd[[#This Row],[Food/hr]],-1,0)+ROUNDUP((TblConstr[[#This Row],[Farms]]*80+TblConstr[[#This Row],[Docks]]*35)*(1+OFFSET(TblProd[[#This Row],[Bonus Food/hr]],-1,0)),0)</f>
        <v>148813</v>
      </c>
      <c r="J133" s="113">
        <f ca="1">OFFSET(TblProd[[#This Row],[Lumber]],-1,0)+OFFSET(TblProd[[#This Row],[Lumber/hr]],-1,0) - TblProd[[#This Row],[Expenses Lumber]] + SUM(TblConstr[[#This Row],[Dest Hom]:[Dest Doc]])*TblConstr[[#This Row],[CPA Lumber -DB]]*tech_3_3_2*TblTech[[#This Row],[3-3]]</f>
        <v>76730</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Row],[Techpoints]],-1,0)+(1+research_bonus)*(26*MIN((TblConstr[[#This Row],[Tot Sch]]/(TblProd[[#This Row],[Land]]-TblExplore[[#This Row],[Land Bonus]]*20))*100,40))-TblProd[[#This Row],[Required]]*TblTech[[#This Row],[…]],0) + IF(TblProd[[#This Row],[Plat Bonus]]&lt;&gt;"",750,0)</f>
        <v>0</v>
      </c>
      <c r="Q133" s="113">
        <v>10000</v>
      </c>
      <c r="R133" s="184"/>
      <c r="S133" s="113">
        <f ca="1">ROUNDDOWN(TblProd[[#This Row],[Raw Plat/hr]]*(1+TblProd[[#This Row],[Bonus Plat/hr]]),0)</f>
        <v>5499</v>
      </c>
      <c r="T133" s="113">
        <f ca="1">ROUND(TblProd[[#This Row],[Raw Food/hr]]*(1+TblProd[[#This Row],[Bonus Food/hr]])-TblProd[[#This Row],[Food decay]]-TblProd[[#This Row],[Food eaten]],0)</f>
        <v>496</v>
      </c>
      <c r="U133" s="113">
        <f ca="1">ROUND(TblProd[[#This Row],[Raw Lumber/hr]]*(1+TblProd[[#This Row],[Bonus Lumber/hr]])-TblProd[[#This Row],[Lumber rot]],0)</f>
        <v>233</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5499.9000000000005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1488.13</v>
      </c>
      <c r="AP133" s="113">
        <f ca="1">(1+race_food_consumption)*TblPop[[#This Row],[Total]]*food_per_person*(1+tech_1_10*TblTech[[#This Row],[1-10]]+tech_7_5*TblTech[[#This Row],[7-5]])</f>
        <v>595.75</v>
      </c>
      <c r="AQ133" s="113">
        <f ca="1">TblProd[[#This Row],[Lumber]]*lumber_rot * (1 + tech_2_1*TblTech[[#This Row],[2-1]] + tech_2_8*TblTech[[#This Row],[2-8]] + tech_5_2*TblTech[[#This Row],[5-2]])</f>
        <v>767.30000000000007</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44348.374999999687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809204</v>
      </c>
      <c r="BJ133" s="113">
        <f ca="1">TblProd[[#This Row],[Food]]</f>
        <v>148813</v>
      </c>
      <c r="BK133" s="113">
        <f ca="1">TblProd[[#This Row],[Lumber]]</f>
        <v>76730</v>
      </c>
      <c r="BL133" s="113">
        <f ca="1">TblProd[[#This Row],[Mana]]</f>
        <v>0</v>
      </c>
      <c r="BM133" s="113">
        <f ca="1">TblProd[[#This Row],[Ore]]</f>
        <v>0</v>
      </c>
    </row>
    <row r="134" spans="1:65" x14ac:dyDescent="0.2">
      <c r="A134" s="178">
        <v>59</v>
      </c>
      <c r="B134" s="198">
        <f ca="1">TblImps[[#This Row],[Time]]</f>
        <v>44348.416666666351</v>
      </c>
      <c r="C134" s="199"/>
      <c r="D134" s="200"/>
      <c r="E134" s="113">
        <f ca="1">TblConstr[[#This Row],[Land]]</f>
        <v>250</v>
      </c>
      <c r="F134" s="113">
        <f ca="1">TblPop[[#This Row],[Peasants]]</f>
        <v>1537</v>
      </c>
      <c r="G134" s="113">
        <f ca="1">TblMili[[#This Row],[Networth (2)]]</f>
        <v>6455</v>
      </c>
      <c r="H134" s="113">
        <f ca="1">OFFSET(TblProd[[#This Row],[Platinum]],-1,0)+OFFSET(TblProd[[#This Row],[Plat/hr]],-1,0) - TblProd[[#This Row],[Expenses Platinum]] + IF(TblProd[[#This Row],[Plat Bonus]],TblPop[[#This Row],[Peasants]]*4) + SUM(TblConstr[[#This Row],[Dest Hom]:[Dest Doc]])*TblConstr[[#This Row],[CPA Platinum -DB]]*tech_3_3_2*TblTech[[#This Row],[3-3]]</f>
        <v>814703</v>
      </c>
      <c r="I134" s="113">
        <f ca="1">OFFSET(TblProd[[#This Row],[Food]],-1,0)+OFFSET(TblProd[[#This Row],[Food/hr]],-1,0)+ROUNDUP((TblConstr[[#This Row],[Farms]]*80+TblConstr[[#This Row],[Docks]]*35)*(1+OFFSET(TblProd[[#This Row],[Bonus Food/hr]],-1,0)),0)</f>
        <v>149309</v>
      </c>
      <c r="J134" s="113">
        <f ca="1">OFFSET(TblProd[[#This Row],[Lumber]],-1,0)+OFFSET(TblProd[[#This Row],[Lumber/hr]],-1,0) - TblProd[[#This Row],[Expenses Lumber]] + SUM(TblConstr[[#This Row],[Dest Hom]:[Dest Doc]])*TblConstr[[#This Row],[CPA Lumber -DB]]*tech_3_3_2*TblTech[[#This Row],[3-3]]</f>
        <v>76963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Row],[Techpoints]],-1,0)+(1+research_bonus)*(26*MIN((TblConstr[[#This Row],[Tot Sch]]/(TblProd[[#This Row],[Land]]-TblExplore[[#This Row],[Land Bonus]]*20))*100,40))-TblProd[[#This Row],[Required]]*TblTech[[#This Row],[…]],0) + IF(TblProd[[#This Row],[Plat Bonus]]&lt;&gt;"",750,0)</f>
        <v>0</v>
      </c>
      <c r="Q134" s="113">
        <v>10000</v>
      </c>
      <c r="R134" s="184"/>
      <c r="S134" s="113">
        <f ca="1">ROUNDDOWN(TblProd[[#This Row],[Raw Plat/hr]]*(1+TblProd[[#This Row],[Bonus Plat/hr]]),0)</f>
        <v>5499</v>
      </c>
      <c r="T134" s="113">
        <f ca="1">ROUND(TblProd[[#This Row],[Raw Food/hr]]*(1+TblProd[[#This Row],[Bonus Food/hr]])-TblProd[[#This Row],[Food decay]]-TblProd[[#This Row],[Food eaten]],0)</f>
        <v>491</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5499.9000000000005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1493.09</v>
      </c>
      <c r="AP134" s="113">
        <f ca="1">(1+race_food_consumption)*TblPop[[#This Row],[Total]]*food_per_person*(1+tech_1_10*TblTech[[#This Row],[1-10]]+tech_7_5*TblTech[[#This Row],[7-5]])</f>
        <v>595.75</v>
      </c>
      <c r="AQ134" s="113">
        <f ca="1">TblProd[[#This Row],[Lumber]]*lumber_rot * (1 + tech_2_1*TblTech[[#This Row],[2-1]] + tech_2_8*TblTech[[#This Row],[2-8]] + tech_5_2*TblTech[[#This Row],[5-2]])</f>
        <v>769.63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44348.416666666351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814703</v>
      </c>
      <c r="BJ134" s="113">
        <f ca="1">TblProd[[#This Row],[Food]]</f>
        <v>149309</v>
      </c>
      <c r="BK134" s="113">
        <f ca="1">TblProd[[#This Row],[Lumber]]</f>
        <v>76963</v>
      </c>
      <c r="BL134" s="113">
        <f ca="1">TblProd[[#This Row],[Mana]]</f>
        <v>0</v>
      </c>
      <c r="BM134" s="113">
        <f ca="1">TblProd[[#This Row],[Ore]]</f>
        <v>0</v>
      </c>
    </row>
    <row r="135" spans="1:65" x14ac:dyDescent="0.2">
      <c r="A135" s="178">
        <v>60</v>
      </c>
      <c r="B135" s="198">
        <f ca="1">TblImps[[#This Row],[Time]]</f>
        <v>44348.458333333016</v>
      </c>
      <c r="C135" s="199"/>
      <c r="D135" s="200"/>
      <c r="E135" s="113">
        <f ca="1">TblConstr[[#This Row],[Land]]</f>
        <v>250</v>
      </c>
      <c r="F135" s="113">
        <f ca="1">TblPop[[#This Row],[Peasants]]</f>
        <v>1537</v>
      </c>
      <c r="G135" s="113">
        <f ca="1">TblMili[[#This Row],[Networth (2)]]</f>
        <v>6455</v>
      </c>
      <c r="H135" s="113">
        <f ca="1">OFFSET(TblProd[[#This Row],[Platinum]],-1,0)+OFFSET(TblProd[[#This Row],[Plat/hr]],-1,0) - TblProd[[#This Row],[Expenses Platinum]] + IF(TblProd[[#This Row],[Plat Bonus]],TblPop[[#This Row],[Peasants]]*4) + SUM(TblConstr[[#This Row],[Dest Hom]:[Dest Doc]])*TblConstr[[#This Row],[CPA Platinum -DB]]*tech_3_3_2*TblTech[[#This Row],[3-3]]</f>
        <v>820202</v>
      </c>
      <c r="I135" s="113">
        <f ca="1">OFFSET(TblProd[[#This Row],[Food]],-1,0)+OFFSET(TblProd[[#This Row],[Food/hr]],-1,0)+ROUNDUP((TblConstr[[#This Row],[Farms]]*80+TblConstr[[#This Row],[Docks]]*35)*(1+OFFSET(TblProd[[#This Row],[Bonus Food/hr]],-1,0)),0)</f>
        <v>149800</v>
      </c>
      <c r="J135" s="113">
        <f ca="1">OFFSET(TblProd[[#This Row],[Lumber]],-1,0)+OFFSET(TblProd[[#This Row],[Lumber/hr]],-1,0) - TblProd[[#This Row],[Expenses Lumber]] + SUM(TblConstr[[#This Row],[Dest Hom]:[Dest Doc]])*TblConstr[[#This Row],[CPA Lumber -DB]]*tech_3_3_2*TblTech[[#This Row],[3-3]]</f>
        <v>77193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Row],[Techpoints]],-1,0)+(1+research_bonus)*(26*MIN((TblConstr[[#This Row],[Tot Sch]]/(TblProd[[#This Row],[Land]]-TblExplore[[#This Row],[Land Bonus]]*20))*100,40))-TblProd[[#This Row],[Required]]*TblTech[[#This Row],[…]],0) + IF(TblProd[[#This Row],[Plat Bonus]]&lt;&gt;"",750,0)</f>
        <v>0</v>
      </c>
      <c r="Q135" s="113">
        <v>10000</v>
      </c>
      <c r="R135" s="184"/>
      <c r="S135" s="113">
        <f ca="1">ROUNDDOWN(TblProd[[#This Row],[Raw Plat/hr]]*(1+TblProd[[#This Row],[Bonus Plat/hr]]),0)</f>
        <v>5499</v>
      </c>
      <c r="T135" s="113">
        <f ca="1">ROUND(TblProd[[#This Row],[Raw Food/hr]]*(1+TblProd[[#This Row],[Bonus Food/hr]])-TblProd[[#This Row],[Food decay]]-TblProd[[#This Row],[Food eaten]],0)</f>
        <v>486</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5499.9000000000005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1498</v>
      </c>
      <c r="AP135" s="113">
        <f ca="1">(1+race_food_consumption)*TblPop[[#This Row],[Total]]*food_per_person*(1+tech_1_10*TblTech[[#This Row],[1-10]]+tech_7_5*TblTech[[#This Row],[7-5]])</f>
        <v>595.75</v>
      </c>
      <c r="AQ135" s="113">
        <f ca="1">TblProd[[#This Row],[Lumber]]*lumber_rot * (1 + tech_2_1*TblTech[[#This Row],[2-1]] + tech_2_8*TblTech[[#This Row],[2-8]] + tech_5_2*TblTech[[#This Row],[5-2]])</f>
        <v>771.93000000000006</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44348.458333333016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820202</v>
      </c>
      <c r="BJ135" s="113">
        <f ca="1">TblProd[[#This Row],[Food]]</f>
        <v>149800</v>
      </c>
      <c r="BK135" s="113">
        <f ca="1">TblProd[[#This Row],[Lumber]]</f>
        <v>77193</v>
      </c>
      <c r="BL135" s="113">
        <f ca="1">TblProd[[#This Row],[Mana]]</f>
        <v>0</v>
      </c>
      <c r="BM135" s="113">
        <f ca="1">TblProd[[#This Row],[Ore]]</f>
        <v>0</v>
      </c>
    </row>
    <row r="136" spans="1:65" x14ac:dyDescent="0.2">
      <c r="A136" s="178">
        <v>61</v>
      </c>
      <c r="B136" s="198">
        <f ca="1">TblImps[[#This Row],[Time]]</f>
        <v>44348.49999999968</v>
      </c>
      <c r="C136" s="199"/>
      <c r="D136" s="200"/>
      <c r="E136" s="113">
        <f ca="1">TblConstr[[#This Row],[Land]]</f>
        <v>250</v>
      </c>
      <c r="F136" s="113">
        <f ca="1">TblPop[[#This Row],[Peasants]]</f>
        <v>1537</v>
      </c>
      <c r="G136" s="113">
        <f ca="1">TblMili[[#This Row],[Networth (2)]]</f>
        <v>6455</v>
      </c>
      <c r="H136" s="113">
        <f ca="1">OFFSET(TblProd[[#This Row],[Platinum]],-1,0)+OFFSET(TblProd[[#This Row],[Plat/hr]],-1,0) - TblProd[[#This Row],[Expenses Platinum]] + IF(TblProd[[#This Row],[Plat Bonus]],TblPop[[#This Row],[Peasants]]*4) + SUM(TblConstr[[#This Row],[Dest Hom]:[Dest Doc]])*TblConstr[[#This Row],[CPA Platinum -DB]]*tech_3_3_2*TblTech[[#This Row],[3-3]]</f>
        <v>825701</v>
      </c>
      <c r="I136" s="113">
        <f ca="1">OFFSET(TblProd[[#This Row],[Food]],-1,0)+OFFSET(TblProd[[#This Row],[Food/hr]],-1,0)+ROUNDUP((TblConstr[[#This Row],[Farms]]*80+TblConstr[[#This Row],[Docks]]*35)*(1+OFFSET(TblProd[[#This Row],[Bonus Food/hr]],-1,0)),0)</f>
        <v>150286</v>
      </c>
      <c r="J136" s="113">
        <f ca="1">OFFSET(TblProd[[#This Row],[Lumber]],-1,0)+OFFSET(TblProd[[#This Row],[Lumber/hr]],-1,0) - TblProd[[#This Row],[Expenses Lumber]] + SUM(TblConstr[[#This Row],[Dest Hom]:[Dest Doc]])*TblConstr[[#This Row],[CPA Lumber -DB]]*tech_3_3_2*TblTech[[#This Row],[3-3]]</f>
        <v>77421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Row],[Techpoints]],-1,0)+(1+research_bonus)*(26*MIN((TblConstr[[#This Row],[Tot Sch]]/(TblProd[[#This Row],[Land]]-TblExplore[[#This Row],[Land Bonus]]*20))*100,40))-TblProd[[#This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481</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1502.8600000000001</v>
      </c>
      <c r="AP136" s="113">
        <f ca="1">(1+race_food_consumption)*TblPop[[#This Row],[Total]]*food_per_person*(1+tech_1_10*TblTech[[#This Row],[1-10]]+tech_7_5*TblTech[[#This Row],[7-5]])</f>
        <v>595.75</v>
      </c>
      <c r="AQ136" s="113">
        <f ca="1">TblProd[[#This Row],[Lumber]]*lumber_rot * (1 + tech_2_1*TblTech[[#This Row],[2-1]] + tech_2_8*TblTech[[#This Row],[2-8]] + tech_5_2*TblTech[[#This Row],[5-2]])</f>
        <v>774.21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44348.49999999968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825701</v>
      </c>
      <c r="BJ136" s="113">
        <f ca="1">TblProd[[#This Row],[Food]]</f>
        <v>150286</v>
      </c>
      <c r="BK136" s="113">
        <f ca="1">TblProd[[#This Row],[Lumber]]</f>
        <v>77421</v>
      </c>
      <c r="BL136" s="113">
        <f ca="1">TblProd[[#This Row],[Mana]]</f>
        <v>0</v>
      </c>
      <c r="BM136" s="113">
        <f ca="1">TblProd[[#This Row],[Ore]]</f>
        <v>0</v>
      </c>
    </row>
    <row r="1269" spans="3:12" x14ac:dyDescent="0.2">
      <c r="C1269" s="584" t="s">
        <v>327</v>
      </c>
      <c r="D1269" s="535"/>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1" priority="58" stopIfTrue="1">
      <formula>ROW()-2=#REF!</formula>
    </cfRule>
  </conditionalFormatting>
  <conditionalFormatting sqref="A1269:XFD1270">
    <cfRule type="expression" dxfId="790" priority="59" stopIfTrue="1">
      <formula>$C$1270&gt;144</formula>
    </cfRule>
  </conditionalFormatting>
  <conditionalFormatting sqref="E4:Q136">
    <cfRule type="expression" dxfId="789" priority="39" stopIfTrue="1">
      <formula>OR(ROW()-3=$C$1270,E4&lt;0)</formula>
    </cfRule>
  </conditionalFormatting>
  <conditionalFormatting sqref="BH4:BH136">
    <cfRule type="cellIs" dxfId="788" priority="61" stopIfTrue="1" operator="equal">
      <formula>"Nope"</formula>
    </cfRule>
  </conditionalFormatting>
  <conditionalFormatting sqref="A4:BM136">
    <cfRule type="expression" dxfId="787" priority="1" stopIfTrue="1">
      <formula>ROW()-3=$C$1270</formula>
    </cfRule>
    <cfRule type="expression" dxfId="786" priority="56">
      <formula>$A4="OOP"</formula>
    </cfRule>
    <cfRule type="expression" dxfId="785" priority="57">
      <formula>ROUND(($A4-1)/12,0)=INT($A4-1)/12</formula>
    </cfRule>
  </conditionalFormatting>
  <conditionalFormatting sqref="A1:XFD3">
    <cfRule type="expression" dxfId="78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AM7" sqref="AM7"/>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9" t="s">
        <v>56</v>
      </c>
      <c r="P1" s="589"/>
      <c r="Q1" s="563"/>
      <c r="R1" s="134"/>
      <c r="S1" s="134"/>
      <c r="T1" s="134"/>
      <c r="U1" s="134"/>
      <c r="V1" s="134"/>
      <c r="W1" s="134"/>
      <c r="X1" s="134"/>
      <c r="Y1" s="134"/>
      <c r="Z1" s="134"/>
      <c r="AA1" s="134"/>
      <c r="AB1" s="134"/>
      <c r="AC1" s="134"/>
      <c r="AD1" s="134"/>
      <c r="AE1" s="134"/>
      <c r="AF1" s="134"/>
      <c r="AG1" s="134"/>
      <c r="AH1" s="134"/>
      <c r="AI1" s="226" t="s">
        <v>530</v>
      </c>
      <c r="AJ1" s="226" t="s">
        <v>533</v>
      </c>
      <c r="AK1" s="589" t="s">
        <v>77</v>
      </c>
      <c r="AL1" s="589"/>
      <c r="AM1" s="588" t="s">
        <v>531</v>
      </c>
      <c r="AN1" s="588"/>
      <c r="AO1" s="588" t="s">
        <v>532</v>
      </c>
      <c r="AP1" s="588"/>
      <c r="AQ1" s="588" t="s">
        <v>529</v>
      </c>
      <c r="AR1" s="588"/>
      <c r="AS1" s="134"/>
      <c r="AT1" s="134"/>
      <c r="AU1" s="134"/>
      <c r="AV1" s="134" t="s">
        <v>528</v>
      </c>
      <c r="AW1" s="134"/>
      <c r="AX1" s="90"/>
      <c r="AY1" s="588" t="s">
        <v>53</v>
      </c>
      <c r="AZ1" s="588"/>
      <c r="BA1" s="588"/>
      <c r="BB1" s="225"/>
      <c r="BC1" s="225"/>
      <c r="BD1" s="225"/>
      <c r="BE1" s="225"/>
      <c r="BF1" s="225"/>
      <c r="BG1" s="225"/>
      <c r="BH1" s="225"/>
      <c r="BI1" s="225"/>
      <c r="BJ1" s="225"/>
      <c r="BK1" s="225"/>
      <c r="BL1" s="225"/>
      <c r="BM1" s="225"/>
      <c r="BN1" s="225"/>
      <c r="BO1" s="225"/>
      <c r="BP1" s="225"/>
      <c r="BQ1" s="225"/>
      <c r="BR1" s="134"/>
      <c r="BS1" s="134"/>
      <c r="BT1" s="134"/>
      <c r="BU1" s="134"/>
      <c r="BV1" s="134"/>
      <c r="BW1" s="589" t="s">
        <v>84</v>
      </c>
      <c r="BX1" s="589"/>
      <c r="BY1" s="134"/>
      <c r="BZ1" s="134"/>
      <c r="CA1" s="134"/>
      <c r="CB1" s="134"/>
      <c r="CC1" s="134"/>
      <c r="CD1" s="134"/>
      <c r="CE1" s="134"/>
      <c r="CF1" s="134"/>
      <c r="CG1" s="134"/>
      <c r="CH1" s="134"/>
      <c r="CI1" s="134"/>
      <c r="CJ1" s="134"/>
      <c r="CK1" s="134"/>
      <c r="CL1" s="134"/>
      <c r="CM1" s="134"/>
      <c r="CN1" s="134"/>
      <c r="CO1" s="134"/>
      <c r="CP1" s="134"/>
      <c r="CQ1" s="588" t="s">
        <v>18</v>
      </c>
      <c r="CR1" s="588"/>
      <c r="CS1" s="225"/>
      <c r="CT1" s="225"/>
      <c r="CU1" s="225"/>
      <c r="CV1" s="225"/>
      <c r="CW1" s="225"/>
      <c r="CX1" s="134"/>
      <c r="CY1" s="134"/>
      <c r="CZ1" s="589" t="s">
        <v>306</v>
      </c>
      <c r="DA1" s="589"/>
      <c r="DB1" s="589"/>
      <c r="DC1" s="589"/>
      <c r="DD1" s="589"/>
      <c r="DE1" s="134"/>
      <c r="DF1" s="134"/>
      <c r="DG1" s="589" t="s">
        <v>269</v>
      </c>
      <c r="DH1" s="589"/>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1086</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1072</v>
      </c>
      <c r="AR3" s="176" t="s">
        <v>1073</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1055</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159</v>
      </c>
      <c r="C4" s="230">
        <f>SUM(TblConstr[[#This Row],[Tot Hom]:[Tot Doc]])</f>
        <v>90</v>
      </c>
      <c r="D4" s="230">
        <f>SUM(TblConstr[[#This Row],[Hom]:[Doc]])</f>
        <v>1</v>
      </c>
      <c r="E4" s="231"/>
      <c r="F4" s="74">
        <f ca="1">TblConstr[[#This Row],[Barren]]+TblConstr[[#This Row],[Buildings]]+TblConstr[[#This Row],[Incoming]]</f>
        <v>250</v>
      </c>
      <c r="G4" s="502">
        <f ca="1">start_plains+TblConstr[[#This Row],[Ch_Plain]]</f>
        <v>39</v>
      </c>
      <c r="H4" s="503">
        <f ca="1">start_forest+TblConstr[[#This Row],[Ch_Forest]]</f>
        <v>20</v>
      </c>
      <c r="I4" s="504">
        <f ca="1">start_mountains+TblConstr[[#This Row],[Ch_Mountain]]</f>
        <v>20</v>
      </c>
      <c r="J4" s="505">
        <f ca="1">start_hills+TblConstr[[#This Row],[Ch_Hill]]</f>
        <v>20</v>
      </c>
      <c r="K4" s="506">
        <f ca="1">start_swamp+TblConstr[[#This Row],[Ch_Swamp]]</f>
        <v>20</v>
      </c>
      <c r="L4" s="507">
        <f ca="1">start_caverns+TblConstr[[#This Row],[Ch_Cavern]]</f>
        <v>20</v>
      </c>
      <c r="M4" s="508">
        <f ca="1">start_water+TblConstr[[#This Row],[Ch_Water]]</f>
        <v>20</v>
      </c>
      <c r="N4" s="479">
        <f>TblRezone[[#This Row],[Hour]]</f>
        <v>1</v>
      </c>
      <c r="O4" s="232">
        <v>1</v>
      </c>
      <c r="P4" s="204"/>
      <c r="Q4" s="232"/>
      <c r="R4" s="232"/>
      <c r="S4" s="232"/>
      <c r="T4" s="232"/>
      <c r="U4" s="232"/>
      <c r="V4" s="232"/>
      <c r="W4" s="232"/>
      <c r="X4" s="204"/>
      <c r="Y4" s="232"/>
      <c r="Z4" s="232"/>
      <c r="AA4" s="232"/>
      <c r="AB4" s="232"/>
      <c r="AC4" s="204"/>
      <c r="AD4" s="232"/>
      <c r="AE4" s="232"/>
      <c r="AF4" s="232"/>
      <c r="AG4" s="204"/>
      <c r="AH4" s="233">
        <f>TblImps[[#This Row],[Time]]</f>
        <v>44343</v>
      </c>
      <c r="AI4" s="234">
        <f ca="1">MIN(25%,(TblConstr[[#This Row],[Tot Fac]]+TblConstr[[#This Row],[Dest Fac]])/(TblConstr[[#This Row],[Land]]-TblExplore[[#This Row],[Land Bonus]]*20))</f>
        <v>0</v>
      </c>
      <c r="AJ4" s="234">
        <f ca="1">MIN(25%,(TblConstr[[#This Row],[Tot Fac]]+TblConstr[[#This Row],[Dest Fac]])/TblConstr[[#This Row],[Land]])</f>
        <v>0</v>
      </c>
      <c r="AK4" s="113">
        <f ca="1">TblProd[[#This Row],[Platinum]]</f>
        <v>99150</v>
      </c>
      <c r="AL4" s="113">
        <f ca="1">TblProd[[#This Row],[Lumber]]</f>
        <v>14912</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850</v>
      </c>
      <c r="AR4" s="509">
        <f ca="1">SUM($O4:$AG4)*AN4</f>
        <v>88</v>
      </c>
      <c r="AS4" s="500">
        <f>MIN(SUM(Constants!A28:G28)+SUM(TblConstr[[#This Row],[Dest Hom]:[Dest Doc]]),SUM(TblConstr[[#This Row],[Hom]:[Doc]]))</f>
        <v>1</v>
      </c>
      <c r="AT4" s="509">
        <f>IF(TblExplore[[#This Row],[Land Bonus]]&lt;&gt;0,MAX(0, MIN(20, 20 + SUM(TblConstr[[#This Row],[Hom]:[Doc]]) - SUM(TblConstr[[#This Row],[Dest Hom]:[Dest Doc]]) - SUM(Constants!A$28:G$28)-20*TblExplore[[#This Row],[Land Bonus]])),0)</f>
        <v>0</v>
      </c>
      <c r="AU4" s="184"/>
      <c r="AV4" s="113">
        <f ca="1">ROUND((MAX(TblConstr[[#This Row],[Buildings]],250,0.75*TblConstr[[#This Row],[Land]])-250) * 1.53 + 850,0)</f>
        <v>850</v>
      </c>
      <c r="AW4" s="113">
        <f ca="1">ROUND((MAX(TblConstr[[#This Row],[Buildings]],250,0.75*TblConstr[[#This Row],[Land]])-250) * 0.35+87.5,0)</f>
        <v>88</v>
      </c>
      <c r="AX4" s="200"/>
      <c r="AY4" s="510">
        <f>start_homes-TblConstr[[#This Row],[Dest Hom]]</f>
        <v>10</v>
      </c>
      <c r="AZ4" s="511">
        <f>start_alchs-TblConstr[[#This Row],[Dest Alc]]</f>
        <v>30</v>
      </c>
      <c r="BA4" s="511">
        <f>start_farms-TblConstr[[#This Row],[Dest Farm]]</f>
        <v>30</v>
      </c>
      <c r="BB4" s="511">
        <f>start_smithies-TblConstr[[#This Row],[Dest Smi]]</f>
        <v>0</v>
      </c>
      <c r="BC4" s="511">
        <f>start_masons-TblConstr[[#This Row],[Dest Mas]]</f>
        <v>0</v>
      </c>
      <c r="BD4" s="512">
        <f>start_ly-TblConstr[[#This Row],[Dest Ly]]</f>
        <v>20</v>
      </c>
      <c r="BE4" s="512">
        <f>start_havens-TblConstr[[#This Row],[Dest Hav]]</f>
        <v>0</v>
      </c>
      <c r="BF4" s="513">
        <f>start_om-TblConstr[[#This Row],[Dest OM]]</f>
        <v>0</v>
      </c>
      <c r="BG4" s="513">
        <f>start_gn-TblConstr[[#This Row],[Dest GN]]</f>
        <v>0</v>
      </c>
      <c r="BH4" s="514">
        <f>start_facs-TblConstr[[#This Row],[Dest Fac]]</f>
        <v>0</v>
      </c>
      <c r="BI4" s="514">
        <f>start_gt-TblConstr[[#This Row],[Dest GT]]</f>
        <v>0</v>
      </c>
      <c r="BJ4" s="514">
        <f>start_rax-TblConstr[[#This Row],[Dest Bar]]</f>
        <v>0</v>
      </c>
      <c r="BK4" s="514">
        <f>start_shrines-TblConstr[[#This Row],[Dest Shr]]</f>
        <v>0</v>
      </c>
      <c r="BL4" s="515">
        <f>start_towers-TblConstr[[#This Row],[Dest Tow]]</f>
        <v>0</v>
      </c>
      <c r="BM4" s="515">
        <f>start_temples-TblConstr[[#This Row],[Dest Tem]]</f>
        <v>0</v>
      </c>
      <c r="BN4" s="515">
        <f>start_temples-TblConstr[[#This Row],[Dest WG]]</f>
        <v>0</v>
      </c>
      <c r="BO4" s="516">
        <f>start_dm-TblConstr[[#This Row],[Dest DM]]</f>
        <v>0</v>
      </c>
      <c r="BP4" s="516">
        <f>start_schools-TblConstr[[#This Row],[Dest Sch]]</f>
        <v>0</v>
      </c>
      <c r="BQ4" s="517">
        <f>start_docks-TblConstr[[#This Row],[Dest Doc]]</f>
        <v>0</v>
      </c>
      <c r="BR4" s="184"/>
      <c r="BS4" s="200"/>
      <c r="BT4" s="113">
        <f ca="1">TblConstr[[#This Row],[Land]]</f>
        <v>250</v>
      </c>
      <c r="BU4" s="205">
        <f>TblImps[[#This Row],[Time]]</f>
        <v>44343</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-1</v>
      </c>
      <c r="CR4" s="236">
        <f ca="1">-SUM(TblConstr[[#This Row],[Ly]:[Hav]])+SUM(TblConstr[[#This Row],[Dest Ly]:[Dest Hav]]) +Rezone!M4 + IF("Ch_"&amp; home_land=TblConstr[[#Headers],[Ch_Forest]],TblConstr[[#This Row],[Home Land]])+IF(TblConstr[[#This Row],[Hour]:[Hour]]&gt;12,OFFSET(TblExplore[[#This Row],[Forest Explore]],-12,0),0)</f>
        <v>0</v>
      </c>
      <c r="CS4" s="483">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-1</v>
      </c>
      <c r="CY4" s="184"/>
      <c r="CZ4" s="113">
        <f ca="1">G4+SUM(P$4:S4)+SUM(AZ4:BC4)</f>
        <v>99</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11</v>
      </c>
      <c r="DI4" s="113">
        <v>0</v>
      </c>
      <c r="DJ4" s="49">
        <v>0</v>
      </c>
    </row>
    <row r="5" spans="1:114" x14ac:dyDescent="0.2">
      <c r="A5" s="228">
        <f>TblRezone[[#This Row],[Hour]]</f>
        <v>2</v>
      </c>
      <c r="B5" s="229">
        <f ca="1">SUM(TblConstr[[#This Row],[Plain]:[Water]])</f>
        <v>159</v>
      </c>
      <c r="C5" s="230">
        <f ca="1">SUM(TblConstr[[#This Row],[Tot Hom]:[Tot Doc]])</f>
        <v>90</v>
      </c>
      <c r="D5" s="230">
        <f>SUM(O$4:AG5)</f>
        <v>1</v>
      </c>
      <c r="E5" s="231"/>
      <c r="F5" s="74">
        <f ca="1">TblConstr[[#This Row],[Barren]]+TblConstr[[#This Row],[Buildings]]+TblConstr[[#This Row],[Incoming]]</f>
        <v>250</v>
      </c>
      <c r="G5" s="242">
        <f ca="1">OFFSET(TblConstr[[#This Row],[Plain]],-1,0)+TblConstr[[#This Row],[Ch_Plain]]</f>
        <v>39</v>
      </c>
      <c r="H5" s="236">
        <f ca="1">OFFSET(TblConstr[[#This Row],[Forest]],-1,0)+TblConstr[[#This Row],[Ch_Forest]]</f>
        <v>20</v>
      </c>
      <c r="I5" s="481">
        <f ca="1">OFFSET(TblConstr[[#This Row],[Mountain]],-1,0)+TblConstr[[#This Row],[Ch_Mountain]]</f>
        <v>20</v>
      </c>
      <c r="J5" s="485">
        <f ca="1">OFFSET(TblConstr[[#This Row],[Hill]],-1,0)+TblConstr[[#This Row],[Ch_Hill]]</f>
        <v>20</v>
      </c>
      <c r="K5" s="489">
        <f ca="1">OFFSET(TblConstr[[#This Row],[Swamp]],-1,0)+TblConstr[[#This Row],[Ch_Swamp]]</f>
        <v>20</v>
      </c>
      <c r="L5" s="239">
        <f ca="1">OFFSET(TblConstr[[#This Row],[Cavern]],-1,0)+TblConstr[[#This Row],[Ch_Cavern]]</f>
        <v>20</v>
      </c>
      <c r="M5" s="240">
        <f ca="1">OFFSET(TblConstr[[#This Row],[Water]],-1,0)+TblConstr[[#This Row],[Ch_Water]]</f>
        <v>20</v>
      </c>
      <c r="N5" s="479">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44343.041666666664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104010</v>
      </c>
      <c r="AL5" s="113">
        <f ca="1">TblProd[[#This Row],[Lumber]]</f>
        <v>15763</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3" cm="1">
        <f t="array" aca="1" ref="BF5" ca="1">IF(TblConstr[[#This Row],[Hour]:[Hour]]&gt;12,OFFSET(TblConstr[[#This Row],[OM]],-12,0),0)+OFFSET(TblConstr[[#This Row],[Tot OM]],-1,0)-TblConstr[[#This Row],[Dest OM]]</f>
        <v>0</v>
      </c>
      <c r="BG5" s="483" cm="1">
        <f t="array" aca="1" ref="BG5" ca="1">IF(TblConstr[[#This Row],[Hour]:[Hour]]&gt;12,OFFSET(TblConstr[[#This Row],[GN]],-12,0),0)+OFFSET(TblConstr[[#This Row],[Tot GN]],-1,0)-TblConstr[[#This Row],[Dest GN]]</f>
        <v>0</v>
      </c>
      <c r="BH5" s="487" cm="1">
        <f t="array" aca="1" ref="BH5" ca="1">IF(TblConstr[[#This Row],[Hour]:[Hour]]&gt;12,OFFSET(TblConstr[[#This Row],[Fac]],-12,0),0)+OFFSET(TblConstr[[#This Row],[Tot Fac]],-1,0)-TblConstr[[#This Row],[Dest Fac]]</f>
        <v>0</v>
      </c>
      <c r="BI5" s="487" cm="1">
        <f t="array" aca="1" ref="BI5" ca="1">IF(TblConstr[[#This Row],[Hour]:[Hour]]&gt;12,OFFSET(TblConstr[[#This Row],[GT]],-12,0),0)+OFFSET(TblConstr[[#This Row],[Tot GT]],-1,0)-TblConstr[[#This Row],[Dest GT]]</f>
        <v>0</v>
      </c>
      <c r="BJ5" s="487" cm="1">
        <f t="array" aca="1" ref="BJ5" ca="1">IF(TblConstr[[#This Row],[Hour]:[Hour]]&gt;12,OFFSET(TblConstr[[#This Row],[Bar]],-12,0),0)+OFFSET(TblConstr[[#This Row],[Tot Bar]],-1,0)-TblConstr[[#This Row],[Dest Bar]]</f>
        <v>0</v>
      </c>
      <c r="BK5" s="487" cm="1">
        <f t="array" aca="1" ref="BK5" ca="1">IF(TblConstr[[#This Row],[Hour]:[Hour]]&gt;12,OFFSET(TblConstr[[#This Row],[Shr]],-12,0),0)+OFFSET(TblConstr[[#This Row],[Tot Shr]],-1,0)-TblConstr[[#This Row],[Dest Shr]]</f>
        <v>0</v>
      </c>
      <c r="BL5" s="491" cm="1">
        <f t="array" aca="1" ref="BL5" ca="1">IF(TblConstr[[#This Row],[Hour]:[Hour]]&gt;12,OFFSET(TblConstr[[#This Row],[Tow]],-12,0),0)+OFFSET(TblConstr[[#This Row],[Tot Tow]],-1,0)-TblConstr[[#This Row],[Dest Tow]]</f>
        <v>0</v>
      </c>
      <c r="BM5" s="491" cm="1">
        <f t="array" aca="1" ref="BM5" ca="1">IF(TblConstr[[#This Row],[Hour]:[Hour]]&gt;12,OFFSET(TblConstr[[#This Row],[Tem]],-12,0),0)+OFFSET(TblConstr[[#This Row],[Tot Tem]],-1,0)-TblConstr[[#This Row],[Dest Tem]]</f>
        <v>0</v>
      </c>
      <c r="BN5" s="491"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44343.041666666664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1">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99</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11</v>
      </c>
      <c r="DI5" s="113">
        <f ca="1">MAX(BA5-BA4,0)</f>
        <v>0</v>
      </c>
      <c r="DJ5" s="49">
        <f ca="1">MAX(BQ5-BQ4,0)</f>
        <v>0</v>
      </c>
    </row>
    <row r="6" spans="1:114" x14ac:dyDescent="0.2">
      <c r="A6" s="228">
        <f>TblRezone[[#This Row],[Hour]]</f>
        <v>3</v>
      </c>
      <c r="B6" s="229">
        <f ca="1">SUM(TblConstr[[#This Row],[Plain]:[Water]])</f>
        <v>159</v>
      </c>
      <c r="C6" s="230">
        <f ca="1">SUM(TblConstr[[#This Row],[Tot Hom]:[Tot Doc]])</f>
        <v>90</v>
      </c>
      <c r="D6" s="230">
        <f>SUM(O$4:AG6)</f>
        <v>1</v>
      </c>
      <c r="E6" s="231"/>
      <c r="F6" s="74">
        <f ca="1">TblConstr[[#This Row],[Barren]]+TblConstr[[#This Row],[Buildings]]+TblConstr[[#This Row],[Incoming]]</f>
        <v>250</v>
      </c>
      <c r="G6" s="242">
        <f ca="1">OFFSET(TblConstr[[#This Row],[Plain]],-1,0)+TblConstr[[#This Row],[Ch_Plain]]</f>
        <v>39</v>
      </c>
      <c r="H6" s="236">
        <f ca="1">OFFSET(TblConstr[[#This Row],[Forest]],-1,0)+TblConstr[[#This Row],[Ch_Forest]]</f>
        <v>20</v>
      </c>
      <c r="I6" s="481">
        <f ca="1">OFFSET(TblConstr[[#This Row],[Mountain]],-1,0)+TblConstr[[#This Row],[Ch_Mountain]]</f>
        <v>20</v>
      </c>
      <c r="J6" s="485">
        <f ca="1">OFFSET(TblConstr[[#This Row],[Hill]],-1,0)+TblConstr[[#This Row],[Ch_Hill]]</f>
        <v>20</v>
      </c>
      <c r="K6" s="489">
        <f ca="1">OFFSET(TblConstr[[#This Row],[Swamp]],-1,0)+TblConstr[[#This Row],[Ch_Swamp]]</f>
        <v>20</v>
      </c>
      <c r="L6" s="239">
        <f ca="1">OFFSET(TblConstr[[#This Row],[Cavern]],-1,0)+TblConstr[[#This Row],[Ch_Cavern]]</f>
        <v>20</v>
      </c>
      <c r="M6" s="240">
        <f ca="1">OFFSET(TblConstr[[#This Row],[Water]],-1,0)+TblConstr[[#This Row],[Ch_Water]]</f>
        <v>20</v>
      </c>
      <c r="N6" s="479">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44343.083333333328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108940</v>
      </c>
      <c r="AL6" s="113">
        <f ca="1">TblProd[[#This Row],[Lumber]]</f>
        <v>16605</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3" cm="1">
        <f t="array" aca="1" ref="BF6" ca="1">IF(TblConstr[[#This Row],[Hour]:[Hour]]&gt;12,OFFSET(TblConstr[[#This Row],[OM]],-12,0),0)+OFFSET(TblConstr[[#This Row],[Tot OM]],-1,0)-TblConstr[[#This Row],[Dest OM]]</f>
        <v>0</v>
      </c>
      <c r="BG6" s="483" cm="1">
        <f t="array" aca="1" ref="BG6" ca="1">IF(TblConstr[[#This Row],[Hour]:[Hour]]&gt;12,OFFSET(TblConstr[[#This Row],[GN]],-12,0),0)+OFFSET(TblConstr[[#This Row],[Tot GN]],-1,0)-TblConstr[[#This Row],[Dest GN]]</f>
        <v>0</v>
      </c>
      <c r="BH6" s="487" cm="1">
        <f t="array" aca="1" ref="BH6" ca="1">IF(TblConstr[[#This Row],[Hour]:[Hour]]&gt;12,OFFSET(TblConstr[[#This Row],[Fac]],-12,0),0)+OFFSET(TblConstr[[#This Row],[Tot Fac]],-1,0)-TblConstr[[#This Row],[Dest Fac]]</f>
        <v>0</v>
      </c>
      <c r="BI6" s="487" cm="1">
        <f t="array" aca="1" ref="BI6" ca="1">IF(TblConstr[[#This Row],[Hour]:[Hour]]&gt;12,OFFSET(TblConstr[[#This Row],[GT]],-12,0),0)+OFFSET(TblConstr[[#This Row],[Tot GT]],-1,0)-TblConstr[[#This Row],[Dest GT]]</f>
        <v>0</v>
      </c>
      <c r="BJ6" s="487" cm="1">
        <f t="array" aca="1" ref="BJ6" ca="1">IF(TblConstr[[#This Row],[Hour]:[Hour]]&gt;12,OFFSET(TblConstr[[#This Row],[Bar]],-12,0),0)+OFFSET(TblConstr[[#This Row],[Tot Bar]],-1,0)-TblConstr[[#This Row],[Dest Bar]]</f>
        <v>0</v>
      </c>
      <c r="BK6" s="487" cm="1">
        <f t="array" aca="1" ref="BK6" ca="1">IF(TblConstr[[#This Row],[Hour]:[Hour]]&gt;12,OFFSET(TblConstr[[#This Row],[Shr]],-12,0),0)+OFFSET(TblConstr[[#This Row],[Tot Shr]],-1,0)-TblConstr[[#This Row],[Dest Shr]]</f>
        <v>0</v>
      </c>
      <c r="BL6" s="491" cm="1">
        <f t="array" aca="1" ref="BL6" ca="1">IF(TblConstr[[#This Row],[Hour]:[Hour]]&gt;12,OFFSET(TblConstr[[#This Row],[Tow]],-12,0),0)+OFFSET(TblConstr[[#This Row],[Tot Tow]],-1,0)-TblConstr[[#This Row],[Dest Tow]]</f>
        <v>0</v>
      </c>
      <c r="BM6" s="491" cm="1">
        <f t="array" aca="1" ref="BM6" ca="1">IF(TblConstr[[#This Row],[Hour]:[Hour]]&gt;12,OFFSET(TblConstr[[#This Row],[Tem]],-12,0),0)+OFFSET(TblConstr[[#This Row],[Tot Tem]],-1,0)-TblConstr[[#This Row],[Dest Tem]]</f>
        <v>0</v>
      </c>
      <c r="BN6" s="491"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44343.083333333328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1">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99</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11</v>
      </c>
      <c r="DI6" s="49">
        <f t="shared" ref="DI6:DI69" ca="1" si="0">MAX(BA6-BA5,0)</f>
        <v>0</v>
      </c>
      <c r="DJ6" s="49">
        <f t="shared" ref="DJ6:DJ69" ca="1" si="1">MAX(BQ6-BQ5,0)</f>
        <v>0</v>
      </c>
    </row>
    <row r="7" spans="1:114" x14ac:dyDescent="0.2">
      <c r="A7" s="228">
        <f>TblRezone[[#This Row],[Hour]]</f>
        <v>4</v>
      </c>
      <c r="B7" s="229">
        <f ca="1">SUM(TblConstr[[#This Row],[Plain]:[Water]])</f>
        <v>159</v>
      </c>
      <c r="C7" s="230">
        <f ca="1">SUM(TblConstr[[#This Row],[Tot Hom]:[Tot Doc]])</f>
        <v>90</v>
      </c>
      <c r="D7" s="230">
        <f>SUM(O$4:AG7)</f>
        <v>1</v>
      </c>
      <c r="E7" s="231"/>
      <c r="F7" s="74">
        <f ca="1">TblConstr[[#This Row],[Barren]]+TblConstr[[#This Row],[Buildings]]+TblConstr[[#This Row],[Incoming]]</f>
        <v>250</v>
      </c>
      <c r="G7" s="242">
        <f ca="1">OFFSET(TblConstr[[#This Row],[Plain]],-1,0)+TblConstr[[#This Row],[Ch_Plain]]</f>
        <v>39</v>
      </c>
      <c r="H7" s="236">
        <f ca="1">OFFSET(TblConstr[[#This Row],[Forest]],-1,0)+TblConstr[[#This Row],[Ch_Forest]]</f>
        <v>20</v>
      </c>
      <c r="I7" s="481">
        <f ca="1">OFFSET(TblConstr[[#This Row],[Mountain]],-1,0)+TblConstr[[#This Row],[Ch_Mountain]]</f>
        <v>20</v>
      </c>
      <c r="J7" s="485">
        <f ca="1">OFFSET(TblConstr[[#This Row],[Hill]],-1,0)+TblConstr[[#This Row],[Ch_Hill]]</f>
        <v>20</v>
      </c>
      <c r="K7" s="489">
        <f ca="1">OFFSET(TblConstr[[#This Row],[Swamp]],-1,0)+TblConstr[[#This Row],[Ch_Swamp]]</f>
        <v>20</v>
      </c>
      <c r="L7" s="239">
        <f ca="1">OFFSET(TblConstr[[#This Row],[Cavern]],-1,0)+TblConstr[[#This Row],[Ch_Cavern]]</f>
        <v>20</v>
      </c>
      <c r="M7" s="240">
        <f ca="1">OFFSET(TblConstr[[#This Row],[Water]],-1,0)+TblConstr[[#This Row],[Ch_Water]]</f>
        <v>20</v>
      </c>
      <c r="N7" s="479">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44343.124999999993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113940</v>
      </c>
      <c r="AL7" s="113">
        <f ca="1">TblProd[[#This Row],[Lumber]]</f>
        <v>17439</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3" cm="1">
        <f t="array" aca="1" ref="BF7" ca="1">IF(TblConstr[[#This Row],[Hour]:[Hour]]&gt;12,OFFSET(TblConstr[[#This Row],[OM]],-12,0),0)+OFFSET(TblConstr[[#This Row],[Tot OM]],-1,0)-TblConstr[[#This Row],[Dest OM]]</f>
        <v>0</v>
      </c>
      <c r="BG7" s="483" cm="1">
        <f t="array" aca="1" ref="BG7" ca="1">IF(TblConstr[[#This Row],[Hour]:[Hour]]&gt;12,OFFSET(TblConstr[[#This Row],[GN]],-12,0),0)+OFFSET(TblConstr[[#This Row],[Tot GN]],-1,0)-TblConstr[[#This Row],[Dest GN]]</f>
        <v>0</v>
      </c>
      <c r="BH7" s="487" cm="1">
        <f t="array" aca="1" ref="BH7" ca="1">IF(TblConstr[[#This Row],[Hour]:[Hour]]&gt;12,OFFSET(TblConstr[[#This Row],[Fac]],-12,0),0)+OFFSET(TblConstr[[#This Row],[Tot Fac]],-1,0)-TblConstr[[#This Row],[Dest Fac]]</f>
        <v>0</v>
      </c>
      <c r="BI7" s="487" cm="1">
        <f t="array" aca="1" ref="BI7" ca="1">IF(TblConstr[[#This Row],[Hour]:[Hour]]&gt;12,OFFSET(TblConstr[[#This Row],[GT]],-12,0),0)+OFFSET(TblConstr[[#This Row],[Tot GT]],-1,0)-TblConstr[[#This Row],[Dest GT]]</f>
        <v>0</v>
      </c>
      <c r="BJ7" s="487" cm="1">
        <f t="array" aca="1" ref="BJ7" ca="1">IF(TblConstr[[#This Row],[Hour]:[Hour]]&gt;12,OFFSET(TblConstr[[#This Row],[Bar]],-12,0),0)+OFFSET(TblConstr[[#This Row],[Tot Bar]],-1,0)-TblConstr[[#This Row],[Dest Bar]]</f>
        <v>0</v>
      </c>
      <c r="BK7" s="487" cm="1">
        <f t="array" aca="1" ref="BK7" ca="1">IF(TblConstr[[#This Row],[Hour]:[Hour]]&gt;12,OFFSET(TblConstr[[#This Row],[Shr]],-12,0),0)+OFFSET(TblConstr[[#This Row],[Tot Shr]],-1,0)-TblConstr[[#This Row],[Dest Shr]]</f>
        <v>0</v>
      </c>
      <c r="BL7" s="491" cm="1">
        <f t="array" aca="1" ref="BL7" ca="1">IF(TblConstr[[#This Row],[Hour]:[Hour]]&gt;12,OFFSET(TblConstr[[#This Row],[Tow]],-12,0),0)+OFFSET(TblConstr[[#This Row],[Tot Tow]],-1,0)-TblConstr[[#This Row],[Dest Tow]]</f>
        <v>0</v>
      </c>
      <c r="BM7" s="491" cm="1">
        <f t="array" aca="1" ref="BM7" ca="1">IF(TblConstr[[#This Row],[Hour]:[Hour]]&gt;12,OFFSET(TblConstr[[#This Row],[Tem]],-12,0),0)+OFFSET(TblConstr[[#This Row],[Tot Tem]],-1,0)-TblConstr[[#This Row],[Dest Tem]]</f>
        <v>0</v>
      </c>
      <c r="BN7" s="491"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44343.124999999993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1">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99</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11</v>
      </c>
      <c r="DI7" s="49">
        <f t="shared" ca="1" si="0"/>
        <v>0</v>
      </c>
      <c r="DJ7" s="49">
        <f t="shared" ca="1" si="1"/>
        <v>0</v>
      </c>
    </row>
    <row r="8" spans="1:114" x14ac:dyDescent="0.2">
      <c r="A8" s="478">
        <f>TblRezone[[#This Row],[Hour]]</f>
        <v>5</v>
      </c>
      <c r="B8" s="229">
        <f ca="1">SUM(TblConstr[[#This Row],[Plain]:[Water]])</f>
        <v>159</v>
      </c>
      <c r="C8" s="230">
        <f ca="1">SUM(TblConstr[[#This Row],[Tot Hom]:[Tot Doc]])</f>
        <v>90</v>
      </c>
      <c r="D8" s="230">
        <f>SUM(O$4:AG8)</f>
        <v>1</v>
      </c>
      <c r="E8" s="231"/>
      <c r="F8" s="74">
        <f ca="1">TblConstr[[#This Row],[Barren]]+TblConstr[[#This Row],[Buildings]]+TblConstr[[#This Row],[Incoming]]</f>
        <v>250</v>
      </c>
      <c r="G8" s="242">
        <f ca="1">OFFSET(TblConstr[[#This Row],[Plain]],-1,0)+TblConstr[[#This Row],[Ch_Plain]]</f>
        <v>39</v>
      </c>
      <c r="H8" s="236">
        <f ca="1">OFFSET(TblConstr[[#This Row],[Forest]],-1,0)+TblConstr[[#This Row],[Ch_Forest]]</f>
        <v>20</v>
      </c>
      <c r="I8" s="481">
        <f ca="1">OFFSET(TblConstr[[#This Row],[Mountain]],-1,0)+TblConstr[[#This Row],[Ch_Mountain]]</f>
        <v>20</v>
      </c>
      <c r="J8" s="485">
        <f ca="1">OFFSET(TblConstr[[#This Row],[Hill]],-1,0)+TblConstr[[#This Row],[Ch_Hill]]</f>
        <v>20</v>
      </c>
      <c r="K8" s="489">
        <f ca="1">OFFSET(TblConstr[[#This Row],[Swamp]],-1,0)+TblConstr[[#This Row],[Ch_Swamp]]</f>
        <v>20</v>
      </c>
      <c r="L8" s="239">
        <f ca="1">OFFSET(TblConstr[[#This Row],[Cavern]],-1,0)+TblConstr[[#This Row],[Ch_Cavern]]</f>
        <v>20</v>
      </c>
      <c r="M8" s="240">
        <f ca="1">OFFSET(TblConstr[[#This Row],[Water]],-1,0)+TblConstr[[#This Row],[Ch_Water]]</f>
        <v>20</v>
      </c>
      <c r="N8" s="479">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44343.166666666657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119010</v>
      </c>
      <c r="AL8" s="113">
        <f ca="1">TblProd[[#This Row],[Lumber]]</f>
        <v>18265</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3" cm="1">
        <f t="array" aca="1" ref="BF8" ca="1">IF(TblConstr[[#This Row],[Hour]:[Hour]]&gt;12,OFFSET(TblConstr[[#This Row],[OM]],-12,0),0)+OFFSET(TblConstr[[#This Row],[Tot OM]],-1,0)-TblConstr[[#This Row],[Dest OM]]</f>
        <v>0</v>
      </c>
      <c r="BG8" s="483" cm="1">
        <f t="array" aca="1" ref="BG8" ca="1">IF(TblConstr[[#This Row],[Hour]:[Hour]]&gt;12,OFFSET(TblConstr[[#This Row],[GN]],-12,0),0)+OFFSET(TblConstr[[#This Row],[Tot GN]],-1,0)-TblConstr[[#This Row],[Dest GN]]</f>
        <v>0</v>
      </c>
      <c r="BH8" s="487" cm="1">
        <f t="array" aca="1" ref="BH8" ca="1">IF(TblConstr[[#This Row],[Hour]:[Hour]]&gt;12,OFFSET(TblConstr[[#This Row],[Fac]],-12,0),0)+OFFSET(TblConstr[[#This Row],[Tot Fac]],-1,0)-TblConstr[[#This Row],[Dest Fac]]</f>
        <v>0</v>
      </c>
      <c r="BI8" s="487" cm="1">
        <f t="array" aca="1" ref="BI8" ca="1">IF(TblConstr[[#This Row],[Hour]:[Hour]]&gt;12,OFFSET(TblConstr[[#This Row],[GT]],-12,0),0)+OFFSET(TblConstr[[#This Row],[Tot GT]],-1,0)-TblConstr[[#This Row],[Dest GT]]</f>
        <v>0</v>
      </c>
      <c r="BJ8" s="487" cm="1">
        <f t="array" aca="1" ref="BJ8" ca="1">IF(TblConstr[[#This Row],[Hour]:[Hour]]&gt;12,OFFSET(TblConstr[[#This Row],[Bar]],-12,0),0)+OFFSET(TblConstr[[#This Row],[Tot Bar]],-1,0)-TblConstr[[#This Row],[Dest Bar]]</f>
        <v>0</v>
      </c>
      <c r="BK8" s="487" cm="1">
        <f t="array" aca="1" ref="BK8" ca="1">IF(TblConstr[[#This Row],[Hour]:[Hour]]&gt;12,OFFSET(TblConstr[[#This Row],[Shr]],-12,0),0)+OFFSET(TblConstr[[#This Row],[Tot Shr]],-1,0)-TblConstr[[#This Row],[Dest Shr]]</f>
        <v>0</v>
      </c>
      <c r="BL8" s="491" cm="1">
        <f t="array" aca="1" ref="BL8" ca="1">IF(TblConstr[[#This Row],[Hour]:[Hour]]&gt;12,OFFSET(TblConstr[[#This Row],[Tow]],-12,0),0)+OFFSET(TblConstr[[#This Row],[Tot Tow]],-1,0)-TblConstr[[#This Row],[Dest Tow]]</f>
        <v>0</v>
      </c>
      <c r="BM8" s="491" cm="1">
        <f t="array" aca="1" ref="BM8" ca="1">IF(TblConstr[[#This Row],[Hour]:[Hour]]&gt;12,OFFSET(TblConstr[[#This Row],[Tem]],-12,0),0)+OFFSET(TblConstr[[#This Row],[Tot Tem]],-1,0)-TblConstr[[#This Row],[Dest Tem]]</f>
        <v>0</v>
      </c>
      <c r="BN8" s="491"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44343.166666666657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1">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99</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11</v>
      </c>
      <c r="DI8" s="49">
        <f t="shared" ca="1" si="0"/>
        <v>0</v>
      </c>
      <c r="DJ8" s="49">
        <f t="shared" ca="1" si="1"/>
        <v>0</v>
      </c>
    </row>
    <row r="9" spans="1:114" x14ac:dyDescent="0.2">
      <c r="A9" s="228">
        <f>TblRezone[[#This Row],[Hour]]</f>
        <v>6</v>
      </c>
      <c r="B9" s="229">
        <f ca="1">SUM(TblConstr[[#This Row],[Plain]:[Water]])</f>
        <v>159</v>
      </c>
      <c r="C9" s="230">
        <f ca="1">SUM(TblConstr[[#This Row],[Tot Hom]:[Tot Doc]])</f>
        <v>90</v>
      </c>
      <c r="D9" s="230">
        <f>SUM(O$4:AG9)</f>
        <v>1</v>
      </c>
      <c r="E9" s="231"/>
      <c r="F9" s="74">
        <f ca="1">TblConstr[[#This Row],[Barren]]+TblConstr[[#This Row],[Buildings]]+TblConstr[[#This Row],[Incoming]]</f>
        <v>250</v>
      </c>
      <c r="G9" s="242">
        <f ca="1">OFFSET(TblConstr[[#This Row],[Plain]],-1,0)+TblConstr[[#This Row],[Ch_Plain]]</f>
        <v>39</v>
      </c>
      <c r="H9" s="236">
        <f ca="1">OFFSET(TblConstr[[#This Row],[Forest]],-1,0)+TblConstr[[#This Row],[Ch_Forest]]</f>
        <v>20</v>
      </c>
      <c r="I9" s="481">
        <f ca="1">OFFSET(TblConstr[[#This Row],[Mountain]],-1,0)+TblConstr[[#This Row],[Ch_Mountain]]</f>
        <v>20</v>
      </c>
      <c r="J9" s="485">
        <f ca="1">OFFSET(TblConstr[[#This Row],[Hill]],-1,0)+TblConstr[[#This Row],[Ch_Hill]]</f>
        <v>20</v>
      </c>
      <c r="K9" s="489">
        <f ca="1">OFFSET(TblConstr[[#This Row],[Swamp]],-1,0)+TblConstr[[#This Row],[Ch_Swamp]]</f>
        <v>20</v>
      </c>
      <c r="L9" s="239">
        <f ca="1">OFFSET(TblConstr[[#This Row],[Cavern]],-1,0)+TblConstr[[#This Row],[Ch_Cavern]]</f>
        <v>20</v>
      </c>
      <c r="M9" s="240">
        <f ca="1">OFFSET(TblConstr[[#This Row],[Water]],-1,0)+TblConstr[[#This Row],[Ch_Water]]</f>
        <v>20</v>
      </c>
      <c r="N9" s="479">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44343.208333333321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124153</v>
      </c>
      <c r="AL9" s="113">
        <f ca="1">TblProd[[#This Row],[Lumber]]</f>
        <v>19082</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3" cm="1">
        <f t="array" aca="1" ref="BF9" ca="1">IF(TblConstr[[#This Row],[Hour]:[Hour]]&gt;12,OFFSET(TblConstr[[#This Row],[OM]],-12,0),0)+OFFSET(TblConstr[[#This Row],[Tot OM]],-1,0)-TblConstr[[#This Row],[Dest OM]]</f>
        <v>0</v>
      </c>
      <c r="BG9" s="483" cm="1">
        <f t="array" aca="1" ref="BG9" ca="1">IF(TblConstr[[#This Row],[Hour]:[Hour]]&gt;12,OFFSET(TblConstr[[#This Row],[GN]],-12,0),0)+OFFSET(TblConstr[[#This Row],[Tot GN]],-1,0)-TblConstr[[#This Row],[Dest GN]]</f>
        <v>0</v>
      </c>
      <c r="BH9" s="487" cm="1">
        <f t="array" aca="1" ref="BH9" ca="1">IF(TblConstr[[#This Row],[Hour]:[Hour]]&gt;12,OFFSET(TblConstr[[#This Row],[Fac]],-12,0),0)+OFFSET(TblConstr[[#This Row],[Tot Fac]],-1,0)-TblConstr[[#This Row],[Dest Fac]]</f>
        <v>0</v>
      </c>
      <c r="BI9" s="487" cm="1">
        <f t="array" aca="1" ref="BI9" ca="1">IF(TblConstr[[#This Row],[Hour]:[Hour]]&gt;12,OFFSET(TblConstr[[#This Row],[GT]],-12,0),0)+OFFSET(TblConstr[[#This Row],[Tot GT]],-1,0)-TblConstr[[#This Row],[Dest GT]]</f>
        <v>0</v>
      </c>
      <c r="BJ9" s="487" cm="1">
        <f t="array" aca="1" ref="BJ9" ca="1">IF(TblConstr[[#This Row],[Hour]:[Hour]]&gt;12,OFFSET(TblConstr[[#This Row],[Bar]],-12,0),0)+OFFSET(TblConstr[[#This Row],[Tot Bar]],-1,0)-TblConstr[[#This Row],[Dest Bar]]</f>
        <v>0</v>
      </c>
      <c r="BK9" s="487" cm="1">
        <f t="array" aca="1" ref="BK9" ca="1">IF(TblConstr[[#This Row],[Hour]:[Hour]]&gt;12,OFFSET(TblConstr[[#This Row],[Shr]],-12,0),0)+OFFSET(TblConstr[[#This Row],[Tot Shr]],-1,0)-TblConstr[[#This Row],[Dest Shr]]</f>
        <v>0</v>
      </c>
      <c r="BL9" s="491" cm="1">
        <f t="array" aca="1" ref="BL9" ca="1">IF(TblConstr[[#This Row],[Hour]:[Hour]]&gt;12,OFFSET(TblConstr[[#This Row],[Tow]],-12,0),0)+OFFSET(TblConstr[[#This Row],[Tot Tow]],-1,0)-TblConstr[[#This Row],[Dest Tow]]</f>
        <v>0</v>
      </c>
      <c r="BM9" s="491" cm="1">
        <f t="array" aca="1" ref="BM9" ca="1">IF(TblConstr[[#This Row],[Hour]:[Hour]]&gt;12,OFFSET(TblConstr[[#This Row],[Tem]],-12,0),0)+OFFSET(TblConstr[[#This Row],[Tot Tem]],-1,0)-TblConstr[[#This Row],[Dest Tem]]</f>
        <v>0</v>
      </c>
      <c r="BN9" s="491"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44343.208333333321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1">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99</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11</v>
      </c>
      <c r="DI9" s="49">
        <f t="shared" ca="1" si="0"/>
        <v>0</v>
      </c>
      <c r="DJ9" s="49">
        <f t="shared" ca="1" si="1"/>
        <v>0</v>
      </c>
    </row>
    <row r="10" spans="1:114" x14ac:dyDescent="0.2">
      <c r="A10" s="228">
        <f>TblRezone[[#This Row],[Hour]]</f>
        <v>7</v>
      </c>
      <c r="B10" s="229">
        <f ca="1">SUM(TblConstr[[#This Row],[Plain]:[Water]])</f>
        <v>159</v>
      </c>
      <c r="C10" s="230">
        <f ca="1">SUM(TblConstr[[#This Row],[Tot Hom]:[Tot Doc]])</f>
        <v>90</v>
      </c>
      <c r="D10" s="230">
        <f>SUM(O$4:AG10)</f>
        <v>1</v>
      </c>
      <c r="E10" s="231"/>
      <c r="F10" s="74">
        <f ca="1">TblConstr[[#This Row],[Barren]]+TblConstr[[#This Row],[Buildings]]+TblConstr[[#This Row],[Incoming]]</f>
        <v>250</v>
      </c>
      <c r="G10" s="242">
        <f ca="1">OFFSET(TblConstr[[#This Row],[Plain]],-1,0)+TblConstr[[#This Row],[Ch_Plain]]</f>
        <v>39</v>
      </c>
      <c r="H10" s="236">
        <f ca="1">OFFSET(TblConstr[[#This Row],[Forest]],-1,0)+TblConstr[[#This Row],[Ch_Forest]]</f>
        <v>20</v>
      </c>
      <c r="I10" s="481">
        <f ca="1">OFFSET(TblConstr[[#This Row],[Mountain]],-1,0)+TblConstr[[#This Row],[Ch_Mountain]]</f>
        <v>20</v>
      </c>
      <c r="J10" s="485">
        <f ca="1">OFFSET(TblConstr[[#This Row],[Hill]],-1,0)+TblConstr[[#This Row],[Ch_Hill]]</f>
        <v>20</v>
      </c>
      <c r="K10" s="489">
        <f ca="1">OFFSET(TblConstr[[#This Row],[Swamp]],-1,0)+TblConstr[[#This Row],[Ch_Swamp]]</f>
        <v>20</v>
      </c>
      <c r="L10" s="239">
        <f ca="1">OFFSET(TblConstr[[#This Row],[Cavern]],-1,0)+TblConstr[[#This Row],[Ch_Cavern]]</f>
        <v>20</v>
      </c>
      <c r="M10" s="240">
        <f ca="1">OFFSET(TblConstr[[#This Row],[Water]],-1,0)+TblConstr[[#This Row],[Ch_Water]]</f>
        <v>20</v>
      </c>
      <c r="N10" s="479">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44343.249999999985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129372</v>
      </c>
      <c r="AL10" s="113">
        <f ca="1">TblProd[[#This Row],[Lumber]]</f>
        <v>19891</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3" cm="1">
        <f t="array" aca="1" ref="BF10" ca="1">IF(TblConstr[[#This Row],[Hour]:[Hour]]&gt;12,OFFSET(TblConstr[[#This Row],[OM]],-12,0),0)+OFFSET(TblConstr[[#This Row],[Tot OM]],-1,0)-TblConstr[[#This Row],[Dest OM]]</f>
        <v>0</v>
      </c>
      <c r="BG10" s="483" cm="1">
        <f t="array" aca="1" ref="BG10" ca="1">IF(TblConstr[[#This Row],[Hour]:[Hour]]&gt;12,OFFSET(TblConstr[[#This Row],[GN]],-12,0),0)+OFFSET(TblConstr[[#This Row],[Tot GN]],-1,0)-TblConstr[[#This Row],[Dest GN]]</f>
        <v>0</v>
      </c>
      <c r="BH10" s="487" cm="1">
        <f t="array" aca="1" ref="BH10" ca="1">IF(TblConstr[[#This Row],[Hour]:[Hour]]&gt;12,OFFSET(TblConstr[[#This Row],[Fac]],-12,0),0)+OFFSET(TblConstr[[#This Row],[Tot Fac]],-1,0)-TblConstr[[#This Row],[Dest Fac]]</f>
        <v>0</v>
      </c>
      <c r="BI10" s="487" cm="1">
        <f t="array" aca="1" ref="BI10" ca="1">IF(TblConstr[[#This Row],[Hour]:[Hour]]&gt;12,OFFSET(TblConstr[[#This Row],[GT]],-12,0),0)+OFFSET(TblConstr[[#This Row],[Tot GT]],-1,0)-TblConstr[[#This Row],[Dest GT]]</f>
        <v>0</v>
      </c>
      <c r="BJ10" s="487" cm="1">
        <f t="array" aca="1" ref="BJ10" ca="1">IF(TblConstr[[#This Row],[Hour]:[Hour]]&gt;12,OFFSET(TblConstr[[#This Row],[Bar]],-12,0),0)+OFFSET(TblConstr[[#This Row],[Tot Bar]],-1,0)-TblConstr[[#This Row],[Dest Bar]]</f>
        <v>0</v>
      </c>
      <c r="BK10" s="487" cm="1">
        <f t="array" aca="1" ref="BK10" ca="1">IF(TblConstr[[#This Row],[Hour]:[Hour]]&gt;12,OFFSET(TblConstr[[#This Row],[Shr]],-12,0),0)+OFFSET(TblConstr[[#This Row],[Tot Shr]],-1,0)-TblConstr[[#This Row],[Dest Shr]]</f>
        <v>0</v>
      </c>
      <c r="BL10" s="491" cm="1">
        <f t="array" aca="1" ref="BL10" ca="1">IF(TblConstr[[#This Row],[Hour]:[Hour]]&gt;12,OFFSET(TblConstr[[#This Row],[Tow]],-12,0),0)+OFFSET(TblConstr[[#This Row],[Tot Tow]],-1,0)-TblConstr[[#This Row],[Dest Tow]]</f>
        <v>0</v>
      </c>
      <c r="BM10" s="491" cm="1">
        <f t="array" aca="1" ref="BM10" ca="1">IF(TblConstr[[#This Row],[Hour]:[Hour]]&gt;12,OFFSET(TblConstr[[#This Row],[Tem]],-12,0),0)+OFFSET(TblConstr[[#This Row],[Tot Tem]],-1,0)-TblConstr[[#This Row],[Dest Tem]]</f>
        <v>0</v>
      </c>
      <c r="BN10" s="491"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44343.249999999985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1">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99</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11</v>
      </c>
      <c r="DI10" s="49">
        <f t="shared" ca="1" si="0"/>
        <v>0</v>
      </c>
      <c r="DJ10" s="49">
        <f t="shared" ca="1" si="1"/>
        <v>0</v>
      </c>
    </row>
    <row r="11" spans="1:114" x14ac:dyDescent="0.2">
      <c r="A11" s="228">
        <f>TblRezone[[#This Row],[Hour]]</f>
        <v>8</v>
      </c>
      <c r="B11" s="229">
        <f ca="1">SUM(TblConstr[[#This Row],[Plain]:[Water]])</f>
        <v>159</v>
      </c>
      <c r="C11" s="230">
        <f ca="1">SUM(TblConstr[[#This Row],[Tot Hom]:[Tot Doc]])</f>
        <v>90</v>
      </c>
      <c r="D11" s="230">
        <f>SUM(O$4:AG11)</f>
        <v>1</v>
      </c>
      <c r="E11" s="231"/>
      <c r="F11" s="74">
        <f ca="1">TblConstr[[#This Row],[Barren]]+TblConstr[[#This Row],[Buildings]]+TblConstr[[#This Row],[Incoming]]</f>
        <v>250</v>
      </c>
      <c r="G11" s="242">
        <f ca="1">OFFSET(TblConstr[[#This Row],[Plain]],-1,0)+TblConstr[[#This Row],[Ch_Plain]]</f>
        <v>39</v>
      </c>
      <c r="H11" s="236">
        <f ca="1">OFFSET(TblConstr[[#This Row],[Forest]],-1,0)+TblConstr[[#This Row],[Ch_Forest]]</f>
        <v>20</v>
      </c>
      <c r="I11" s="481">
        <f ca="1">OFFSET(TblConstr[[#This Row],[Mountain]],-1,0)+TblConstr[[#This Row],[Ch_Mountain]]</f>
        <v>20</v>
      </c>
      <c r="J11" s="485">
        <f ca="1">OFFSET(TblConstr[[#This Row],[Hill]],-1,0)+TblConstr[[#This Row],[Ch_Hill]]</f>
        <v>20</v>
      </c>
      <c r="K11" s="489">
        <f ca="1">OFFSET(TblConstr[[#This Row],[Swamp]],-1,0)+TblConstr[[#This Row],[Ch_Swamp]]</f>
        <v>20</v>
      </c>
      <c r="L11" s="239">
        <f ca="1">OFFSET(TblConstr[[#This Row],[Cavern]],-1,0)+TblConstr[[#This Row],[Ch_Cavern]]</f>
        <v>20</v>
      </c>
      <c r="M11" s="240">
        <f ca="1">OFFSET(TblConstr[[#This Row],[Water]],-1,0)+TblConstr[[#This Row],[Ch_Water]]</f>
        <v>20</v>
      </c>
      <c r="N11" s="479">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44343.29166666665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134669</v>
      </c>
      <c r="AL11" s="113">
        <f ca="1">TblProd[[#This Row],[Lumber]]</f>
        <v>20692</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3" cm="1">
        <f t="array" aca="1" ref="BF11" ca="1">IF(TblConstr[[#This Row],[Hour]:[Hour]]&gt;12,OFFSET(TblConstr[[#This Row],[OM]],-12,0),0)+OFFSET(TblConstr[[#This Row],[Tot OM]],-1,0)-TblConstr[[#This Row],[Dest OM]]</f>
        <v>0</v>
      </c>
      <c r="BG11" s="483" cm="1">
        <f t="array" aca="1" ref="BG11" ca="1">IF(TblConstr[[#This Row],[Hour]:[Hour]]&gt;12,OFFSET(TblConstr[[#This Row],[GN]],-12,0),0)+OFFSET(TblConstr[[#This Row],[Tot GN]],-1,0)-TblConstr[[#This Row],[Dest GN]]</f>
        <v>0</v>
      </c>
      <c r="BH11" s="487" cm="1">
        <f t="array" aca="1" ref="BH11" ca="1">IF(TblConstr[[#This Row],[Hour]:[Hour]]&gt;12,OFFSET(TblConstr[[#This Row],[Fac]],-12,0),0)+OFFSET(TblConstr[[#This Row],[Tot Fac]],-1,0)-TblConstr[[#This Row],[Dest Fac]]</f>
        <v>0</v>
      </c>
      <c r="BI11" s="487" cm="1">
        <f t="array" aca="1" ref="BI11" ca="1">IF(TblConstr[[#This Row],[Hour]:[Hour]]&gt;12,OFFSET(TblConstr[[#This Row],[GT]],-12,0),0)+OFFSET(TblConstr[[#This Row],[Tot GT]],-1,0)-TblConstr[[#This Row],[Dest GT]]</f>
        <v>0</v>
      </c>
      <c r="BJ11" s="487" cm="1">
        <f t="array" aca="1" ref="BJ11" ca="1">IF(TblConstr[[#This Row],[Hour]:[Hour]]&gt;12,OFFSET(TblConstr[[#This Row],[Bar]],-12,0),0)+OFFSET(TblConstr[[#This Row],[Tot Bar]],-1,0)-TblConstr[[#This Row],[Dest Bar]]</f>
        <v>0</v>
      </c>
      <c r="BK11" s="487" cm="1">
        <f t="array" aca="1" ref="BK11" ca="1">IF(TblConstr[[#This Row],[Hour]:[Hour]]&gt;12,OFFSET(TblConstr[[#This Row],[Shr]],-12,0),0)+OFFSET(TblConstr[[#This Row],[Tot Shr]],-1,0)-TblConstr[[#This Row],[Dest Shr]]</f>
        <v>0</v>
      </c>
      <c r="BL11" s="491" cm="1">
        <f t="array" aca="1" ref="BL11" ca="1">IF(TblConstr[[#This Row],[Hour]:[Hour]]&gt;12,OFFSET(TblConstr[[#This Row],[Tow]],-12,0),0)+OFFSET(TblConstr[[#This Row],[Tot Tow]],-1,0)-TblConstr[[#This Row],[Dest Tow]]</f>
        <v>0</v>
      </c>
      <c r="BM11" s="491" cm="1">
        <f t="array" aca="1" ref="BM11" ca="1">IF(TblConstr[[#This Row],[Hour]:[Hour]]&gt;12,OFFSET(TblConstr[[#This Row],[Tem]],-12,0),0)+OFFSET(TblConstr[[#This Row],[Tot Tem]],-1,0)-TblConstr[[#This Row],[Dest Tem]]</f>
        <v>0</v>
      </c>
      <c r="BN11" s="491"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44343.29166666665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1">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99</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11</v>
      </c>
      <c r="DI11" s="49">
        <f t="shared" ca="1" si="0"/>
        <v>0</v>
      </c>
      <c r="DJ11" s="49">
        <f t="shared" ca="1" si="1"/>
        <v>0</v>
      </c>
    </row>
    <row r="12" spans="1:114" x14ac:dyDescent="0.2">
      <c r="A12" s="228">
        <f>TblRezone[[#This Row],[Hour]]</f>
        <v>9</v>
      </c>
      <c r="B12" s="229">
        <f ca="1">SUM(TblConstr[[#This Row],[Plain]:[Water]])</f>
        <v>159</v>
      </c>
      <c r="C12" s="230">
        <f ca="1">SUM(TblConstr[[#This Row],[Tot Hom]:[Tot Doc]])</f>
        <v>90</v>
      </c>
      <c r="D12" s="230">
        <f>SUM(O$4:AG12)</f>
        <v>1</v>
      </c>
      <c r="E12" s="231"/>
      <c r="F12" s="74">
        <f ca="1">TblConstr[[#This Row],[Barren]]+TblConstr[[#This Row],[Buildings]]+TblConstr[[#This Row],[Incoming]]</f>
        <v>250</v>
      </c>
      <c r="G12" s="242">
        <f ca="1">OFFSET(TblConstr[[#This Row],[Plain]],-1,0)+TblConstr[[#This Row],[Ch_Plain]]</f>
        <v>39</v>
      </c>
      <c r="H12" s="236">
        <f ca="1">OFFSET(TblConstr[[#This Row],[Forest]],-1,0)+TblConstr[[#This Row],[Ch_Forest]]</f>
        <v>20</v>
      </c>
      <c r="I12" s="481">
        <f ca="1">OFFSET(TblConstr[[#This Row],[Mountain]],-1,0)+TblConstr[[#This Row],[Ch_Mountain]]</f>
        <v>20</v>
      </c>
      <c r="J12" s="485">
        <f ca="1">OFFSET(TblConstr[[#This Row],[Hill]],-1,0)+TblConstr[[#This Row],[Ch_Hill]]</f>
        <v>20</v>
      </c>
      <c r="K12" s="489">
        <f ca="1">OFFSET(TblConstr[[#This Row],[Swamp]],-1,0)+TblConstr[[#This Row],[Ch_Swamp]]</f>
        <v>20</v>
      </c>
      <c r="L12" s="239">
        <f ca="1">OFFSET(TblConstr[[#This Row],[Cavern]],-1,0)+TblConstr[[#This Row],[Ch_Cavern]]</f>
        <v>20</v>
      </c>
      <c r="M12" s="240">
        <f ca="1">OFFSET(TblConstr[[#This Row],[Water]],-1,0)+TblConstr[[#This Row],[Ch_Water]]</f>
        <v>20</v>
      </c>
      <c r="N12" s="479">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44343.333333333314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140042</v>
      </c>
      <c r="AL12" s="113">
        <f ca="1">TblProd[[#This Row],[Lumber]]</f>
        <v>21485</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3" cm="1">
        <f t="array" aca="1" ref="BF12" ca="1">IF(TblConstr[[#This Row],[Hour]:[Hour]]&gt;12,OFFSET(TblConstr[[#This Row],[OM]],-12,0),0)+OFFSET(TblConstr[[#This Row],[Tot OM]],-1,0)-TblConstr[[#This Row],[Dest OM]]</f>
        <v>0</v>
      </c>
      <c r="BG12" s="483" cm="1">
        <f t="array" aca="1" ref="BG12" ca="1">IF(TblConstr[[#This Row],[Hour]:[Hour]]&gt;12,OFFSET(TblConstr[[#This Row],[GN]],-12,0),0)+OFFSET(TblConstr[[#This Row],[Tot GN]],-1,0)-TblConstr[[#This Row],[Dest GN]]</f>
        <v>0</v>
      </c>
      <c r="BH12" s="487" cm="1">
        <f t="array" aca="1" ref="BH12" ca="1">IF(TblConstr[[#This Row],[Hour]:[Hour]]&gt;12,OFFSET(TblConstr[[#This Row],[Fac]],-12,0),0)+OFFSET(TblConstr[[#This Row],[Tot Fac]],-1,0)-TblConstr[[#This Row],[Dest Fac]]</f>
        <v>0</v>
      </c>
      <c r="BI12" s="487" cm="1">
        <f t="array" aca="1" ref="BI12" ca="1">IF(TblConstr[[#This Row],[Hour]:[Hour]]&gt;12,OFFSET(TblConstr[[#This Row],[GT]],-12,0),0)+OFFSET(TblConstr[[#This Row],[Tot GT]],-1,0)-TblConstr[[#This Row],[Dest GT]]</f>
        <v>0</v>
      </c>
      <c r="BJ12" s="487" cm="1">
        <f t="array" aca="1" ref="BJ12" ca="1">IF(TblConstr[[#This Row],[Hour]:[Hour]]&gt;12,OFFSET(TblConstr[[#This Row],[Bar]],-12,0),0)+OFFSET(TblConstr[[#This Row],[Tot Bar]],-1,0)-TblConstr[[#This Row],[Dest Bar]]</f>
        <v>0</v>
      </c>
      <c r="BK12" s="487" cm="1">
        <f t="array" aca="1" ref="BK12" ca="1">IF(TblConstr[[#This Row],[Hour]:[Hour]]&gt;12,OFFSET(TblConstr[[#This Row],[Shr]],-12,0),0)+OFFSET(TblConstr[[#This Row],[Tot Shr]],-1,0)-TblConstr[[#This Row],[Dest Shr]]</f>
        <v>0</v>
      </c>
      <c r="BL12" s="491" cm="1">
        <f t="array" aca="1" ref="BL12" ca="1">IF(TblConstr[[#This Row],[Hour]:[Hour]]&gt;12,OFFSET(TblConstr[[#This Row],[Tow]],-12,0),0)+OFFSET(TblConstr[[#This Row],[Tot Tow]],-1,0)-TblConstr[[#This Row],[Dest Tow]]</f>
        <v>0</v>
      </c>
      <c r="BM12" s="491" cm="1">
        <f t="array" aca="1" ref="BM12" ca="1">IF(TblConstr[[#This Row],[Hour]:[Hour]]&gt;12,OFFSET(TblConstr[[#This Row],[Tem]],-12,0),0)+OFFSET(TblConstr[[#This Row],[Tot Tem]],-1,0)-TblConstr[[#This Row],[Dest Tem]]</f>
        <v>0</v>
      </c>
      <c r="BN12" s="491"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44343.333333333314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1">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99</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11</v>
      </c>
      <c r="DI12" s="49">
        <f t="shared" ca="1" si="0"/>
        <v>0</v>
      </c>
      <c r="DJ12" s="49">
        <f t="shared" ca="1" si="1"/>
        <v>0</v>
      </c>
    </row>
    <row r="13" spans="1:114" x14ac:dyDescent="0.2">
      <c r="A13" s="228">
        <f>TblRezone[[#This Row],[Hour]]</f>
        <v>10</v>
      </c>
      <c r="B13" s="229">
        <f ca="1">SUM(TblConstr[[#This Row],[Plain]:[Water]])</f>
        <v>159</v>
      </c>
      <c r="C13" s="230">
        <f ca="1">SUM(TblConstr[[#This Row],[Tot Hom]:[Tot Doc]])</f>
        <v>90</v>
      </c>
      <c r="D13" s="230">
        <f>SUM(O$4:AG13)</f>
        <v>1</v>
      </c>
      <c r="E13" s="231"/>
      <c r="F13" s="74">
        <f ca="1">TblConstr[[#This Row],[Barren]]+TblConstr[[#This Row],[Buildings]]+TblConstr[[#This Row],[Incoming]]</f>
        <v>250</v>
      </c>
      <c r="G13" s="242">
        <f ca="1">OFFSET(TblConstr[[#This Row],[Plain]],-1,0)+TblConstr[[#This Row],[Ch_Plain]]</f>
        <v>39</v>
      </c>
      <c r="H13" s="236">
        <f ca="1">OFFSET(TblConstr[[#This Row],[Forest]],-1,0)+TblConstr[[#This Row],[Ch_Forest]]</f>
        <v>20</v>
      </c>
      <c r="I13" s="481">
        <f ca="1">OFFSET(TblConstr[[#This Row],[Mountain]],-1,0)+TblConstr[[#This Row],[Ch_Mountain]]</f>
        <v>20</v>
      </c>
      <c r="J13" s="485">
        <f ca="1">OFFSET(TblConstr[[#This Row],[Hill]],-1,0)+TblConstr[[#This Row],[Ch_Hill]]</f>
        <v>20</v>
      </c>
      <c r="K13" s="489">
        <f ca="1">OFFSET(TblConstr[[#This Row],[Swamp]],-1,0)+TblConstr[[#This Row],[Ch_Swamp]]</f>
        <v>20</v>
      </c>
      <c r="L13" s="239">
        <f ca="1">OFFSET(TblConstr[[#This Row],[Cavern]],-1,0)+TblConstr[[#This Row],[Ch_Cavern]]</f>
        <v>20</v>
      </c>
      <c r="M13" s="240">
        <f ca="1">OFFSET(TblConstr[[#This Row],[Water]],-1,0)+TblConstr[[#This Row],[Ch_Water]]</f>
        <v>20</v>
      </c>
      <c r="N13" s="479">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44343.374999999978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145493</v>
      </c>
      <c r="AL13" s="113">
        <f ca="1">TblProd[[#This Row],[Lumber]]</f>
        <v>22270</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3" cm="1">
        <f t="array" aca="1" ref="BF13" ca="1">IF(TblConstr[[#This Row],[Hour]:[Hour]]&gt;12,OFFSET(TblConstr[[#This Row],[OM]],-12,0),0)+OFFSET(TblConstr[[#This Row],[Tot OM]],-1,0)-TblConstr[[#This Row],[Dest OM]]</f>
        <v>0</v>
      </c>
      <c r="BG13" s="483" cm="1">
        <f t="array" aca="1" ref="BG13" ca="1">IF(TblConstr[[#This Row],[Hour]:[Hour]]&gt;12,OFFSET(TblConstr[[#This Row],[GN]],-12,0),0)+OFFSET(TblConstr[[#This Row],[Tot GN]],-1,0)-TblConstr[[#This Row],[Dest GN]]</f>
        <v>0</v>
      </c>
      <c r="BH13" s="487" cm="1">
        <f t="array" aca="1" ref="BH13" ca="1">IF(TblConstr[[#This Row],[Hour]:[Hour]]&gt;12,OFFSET(TblConstr[[#This Row],[Fac]],-12,0),0)+OFFSET(TblConstr[[#This Row],[Tot Fac]],-1,0)-TblConstr[[#This Row],[Dest Fac]]</f>
        <v>0</v>
      </c>
      <c r="BI13" s="487" cm="1">
        <f t="array" aca="1" ref="BI13" ca="1">IF(TblConstr[[#This Row],[Hour]:[Hour]]&gt;12,OFFSET(TblConstr[[#This Row],[GT]],-12,0),0)+OFFSET(TblConstr[[#This Row],[Tot GT]],-1,0)-TblConstr[[#This Row],[Dest GT]]</f>
        <v>0</v>
      </c>
      <c r="BJ13" s="487" cm="1">
        <f t="array" aca="1" ref="BJ13" ca="1">IF(TblConstr[[#This Row],[Hour]:[Hour]]&gt;12,OFFSET(TblConstr[[#This Row],[Bar]],-12,0),0)+OFFSET(TblConstr[[#This Row],[Tot Bar]],-1,0)-TblConstr[[#This Row],[Dest Bar]]</f>
        <v>0</v>
      </c>
      <c r="BK13" s="487" cm="1">
        <f t="array" aca="1" ref="BK13" ca="1">IF(TblConstr[[#This Row],[Hour]:[Hour]]&gt;12,OFFSET(TblConstr[[#This Row],[Shr]],-12,0),0)+OFFSET(TblConstr[[#This Row],[Tot Shr]],-1,0)-TblConstr[[#This Row],[Dest Shr]]</f>
        <v>0</v>
      </c>
      <c r="BL13" s="491" cm="1">
        <f t="array" aca="1" ref="BL13" ca="1">IF(TblConstr[[#This Row],[Hour]:[Hour]]&gt;12,OFFSET(TblConstr[[#This Row],[Tow]],-12,0),0)+OFFSET(TblConstr[[#This Row],[Tot Tow]],-1,0)-TblConstr[[#This Row],[Dest Tow]]</f>
        <v>0</v>
      </c>
      <c r="BM13" s="491" cm="1">
        <f t="array" aca="1" ref="BM13" ca="1">IF(TblConstr[[#This Row],[Hour]:[Hour]]&gt;12,OFFSET(TblConstr[[#This Row],[Tem]],-12,0),0)+OFFSET(TblConstr[[#This Row],[Tot Tem]],-1,0)-TblConstr[[#This Row],[Dest Tem]]</f>
        <v>0</v>
      </c>
      <c r="BN13" s="491"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44343.374999999978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1">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99</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11</v>
      </c>
      <c r="DI13" s="49">
        <f t="shared" ca="1" si="0"/>
        <v>0</v>
      </c>
      <c r="DJ13" s="49">
        <f t="shared" ca="1" si="1"/>
        <v>0</v>
      </c>
    </row>
    <row r="14" spans="1:114" x14ac:dyDescent="0.2">
      <c r="A14" s="228">
        <f>TblRezone[[#This Row],[Hour]]</f>
        <v>11</v>
      </c>
      <c r="B14" s="229">
        <f ca="1">SUM(TblConstr[[#This Row],[Plain]:[Water]])</f>
        <v>159</v>
      </c>
      <c r="C14" s="230">
        <f ca="1">SUM(TblConstr[[#This Row],[Tot Hom]:[Tot Doc]])</f>
        <v>90</v>
      </c>
      <c r="D14" s="230">
        <f>SUM(O$4:AG14)</f>
        <v>1</v>
      </c>
      <c r="E14" s="231"/>
      <c r="F14" s="74">
        <f ca="1">TblConstr[[#This Row],[Barren]]+TblConstr[[#This Row],[Buildings]]+TblConstr[[#This Row],[Incoming]]</f>
        <v>250</v>
      </c>
      <c r="G14" s="242">
        <f ca="1">OFFSET(TblConstr[[#This Row],[Plain]],-1,0)+TblConstr[[#This Row],[Ch_Plain]]</f>
        <v>39</v>
      </c>
      <c r="H14" s="236">
        <f ca="1">OFFSET(TblConstr[[#This Row],[Forest]],-1,0)+TblConstr[[#This Row],[Ch_Forest]]</f>
        <v>20</v>
      </c>
      <c r="I14" s="481">
        <f ca="1">OFFSET(TblConstr[[#This Row],[Mountain]],-1,0)+TblConstr[[#This Row],[Ch_Mountain]]</f>
        <v>20</v>
      </c>
      <c r="J14" s="485">
        <f ca="1">OFFSET(TblConstr[[#This Row],[Hill]],-1,0)+TblConstr[[#This Row],[Ch_Hill]]</f>
        <v>20</v>
      </c>
      <c r="K14" s="489">
        <f ca="1">OFFSET(TblConstr[[#This Row],[Swamp]],-1,0)+TblConstr[[#This Row],[Ch_Swamp]]</f>
        <v>20</v>
      </c>
      <c r="L14" s="239">
        <f ca="1">OFFSET(TblConstr[[#This Row],[Cavern]],-1,0)+TblConstr[[#This Row],[Ch_Cavern]]</f>
        <v>20</v>
      </c>
      <c r="M14" s="240">
        <f ca="1">OFFSET(TblConstr[[#This Row],[Water]],-1,0)+TblConstr[[#This Row],[Ch_Water]]</f>
        <v>20</v>
      </c>
      <c r="N14" s="479">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44343.416666666642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151025</v>
      </c>
      <c r="AL14" s="113">
        <f ca="1">TblProd[[#This Row],[Lumber]]</f>
        <v>23047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3" cm="1">
        <f t="array" aca="1" ref="BF14" ca="1">IF(TblConstr[[#This Row],[Hour]:[Hour]]&gt;12,OFFSET(TblConstr[[#This Row],[OM]],-12,0),0)+OFFSET(TblConstr[[#This Row],[Tot OM]],-1,0)-TblConstr[[#This Row],[Dest OM]]</f>
        <v>0</v>
      </c>
      <c r="BG14" s="483" cm="1">
        <f t="array" aca="1" ref="BG14" ca="1">IF(TblConstr[[#This Row],[Hour]:[Hour]]&gt;12,OFFSET(TblConstr[[#This Row],[GN]],-12,0),0)+OFFSET(TblConstr[[#This Row],[Tot GN]],-1,0)-TblConstr[[#This Row],[Dest GN]]</f>
        <v>0</v>
      </c>
      <c r="BH14" s="487" cm="1">
        <f t="array" aca="1" ref="BH14" ca="1">IF(TblConstr[[#This Row],[Hour]:[Hour]]&gt;12,OFFSET(TblConstr[[#This Row],[Fac]],-12,0),0)+OFFSET(TblConstr[[#This Row],[Tot Fac]],-1,0)-TblConstr[[#This Row],[Dest Fac]]</f>
        <v>0</v>
      </c>
      <c r="BI14" s="487" cm="1">
        <f t="array" aca="1" ref="BI14" ca="1">IF(TblConstr[[#This Row],[Hour]:[Hour]]&gt;12,OFFSET(TblConstr[[#This Row],[GT]],-12,0),0)+OFFSET(TblConstr[[#This Row],[Tot GT]],-1,0)-TblConstr[[#This Row],[Dest GT]]</f>
        <v>0</v>
      </c>
      <c r="BJ14" s="487" cm="1">
        <f t="array" aca="1" ref="BJ14" ca="1">IF(TblConstr[[#This Row],[Hour]:[Hour]]&gt;12,OFFSET(TblConstr[[#This Row],[Bar]],-12,0),0)+OFFSET(TblConstr[[#This Row],[Tot Bar]],-1,0)-TblConstr[[#This Row],[Dest Bar]]</f>
        <v>0</v>
      </c>
      <c r="BK14" s="487" cm="1">
        <f t="array" aca="1" ref="BK14" ca="1">IF(TblConstr[[#This Row],[Hour]:[Hour]]&gt;12,OFFSET(TblConstr[[#This Row],[Shr]],-12,0),0)+OFFSET(TblConstr[[#This Row],[Tot Shr]],-1,0)-TblConstr[[#This Row],[Dest Shr]]</f>
        <v>0</v>
      </c>
      <c r="BL14" s="491" cm="1">
        <f t="array" aca="1" ref="BL14" ca="1">IF(TblConstr[[#This Row],[Hour]:[Hour]]&gt;12,OFFSET(TblConstr[[#This Row],[Tow]],-12,0),0)+OFFSET(TblConstr[[#This Row],[Tot Tow]],-1,0)-TblConstr[[#This Row],[Dest Tow]]</f>
        <v>0</v>
      </c>
      <c r="BM14" s="491" cm="1">
        <f t="array" aca="1" ref="BM14" ca="1">IF(TblConstr[[#This Row],[Hour]:[Hour]]&gt;12,OFFSET(TblConstr[[#This Row],[Tem]],-12,0),0)+OFFSET(TblConstr[[#This Row],[Tot Tem]],-1,0)-TblConstr[[#This Row],[Dest Tem]]</f>
        <v>0</v>
      </c>
      <c r="BN14" s="491"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44343.416666666642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1">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99</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11</v>
      </c>
      <c r="DI14" s="49">
        <f t="shared" ca="1" si="0"/>
        <v>0</v>
      </c>
      <c r="DJ14" s="49">
        <f t="shared" ca="1" si="1"/>
        <v>0</v>
      </c>
    </row>
    <row r="15" spans="1:114" x14ac:dyDescent="0.2">
      <c r="A15" s="228">
        <f>TblRezone[[#This Row],[Hour]]</f>
        <v>12</v>
      </c>
      <c r="B15" s="229">
        <f ca="1">SUM(TblConstr[[#This Row],[Plain]:[Water]])</f>
        <v>159</v>
      </c>
      <c r="C15" s="230">
        <f ca="1">SUM(TblConstr[[#This Row],[Tot Hom]:[Tot Doc]])</f>
        <v>90</v>
      </c>
      <c r="D15" s="230">
        <f>SUM(O$4:AG15)</f>
        <v>1</v>
      </c>
      <c r="E15" s="231"/>
      <c r="F15" s="74">
        <f ca="1">TblConstr[[#This Row],[Barren]]+TblConstr[[#This Row],[Buildings]]+TblConstr[[#This Row],[Incoming]]</f>
        <v>250</v>
      </c>
      <c r="G15" s="242">
        <f ca="1">OFFSET(TblConstr[[#This Row],[Plain]],-1,0)+TblConstr[[#This Row],[Ch_Plain]]</f>
        <v>39</v>
      </c>
      <c r="H15" s="236">
        <f ca="1">OFFSET(TblConstr[[#This Row],[Forest]],-1,0)+TblConstr[[#This Row],[Ch_Forest]]</f>
        <v>20</v>
      </c>
      <c r="I15" s="481">
        <f ca="1">OFFSET(TblConstr[[#This Row],[Mountain]],-1,0)+TblConstr[[#This Row],[Ch_Mountain]]</f>
        <v>20</v>
      </c>
      <c r="J15" s="485">
        <f ca="1">OFFSET(TblConstr[[#This Row],[Hill]],-1,0)+TblConstr[[#This Row],[Ch_Hill]]</f>
        <v>20</v>
      </c>
      <c r="K15" s="489">
        <f ca="1">OFFSET(TblConstr[[#This Row],[Swamp]],-1,0)+TblConstr[[#This Row],[Ch_Swamp]]</f>
        <v>20</v>
      </c>
      <c r="L15" s="239">
        <f ca="1">OFFSET(TblConstr[[#This Row],[Cavern]],-1,0)+TblConstr[[#This Row],[Ch_Cavern]]</f>
        <v>20</v>
      </c>
      <c r="M15" s="240">
        <f ca="1">OFFSET(TblConstr[[#This Row],[Water]],-1,0)+TblConstr[[#This Row],[Ch_Water]]</f>
        <v>20</v>
      </c>
      <c r="N15" s="479">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44343.458333333307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156641</v>
      </c>
      <c r="AL15" s="113">
        <f ca="1">TblProd[[#This Row],[Lumber]]</f>
        <v>23817</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3" cm="1">
        <f t="array" aca="1" ref="BF15" ca="1">IF(TblConstr[[#This Row],[Hour]:[Hour]]&gt;12,OFFSET(TblConstr[[#This Row],[OM]],-12,0),0)+OFFSET(TblConstr[[#This Row],[Tot OM]],-1,0)-TblConstr[[#This Row],[Dest OM]]</f>
        <v>0</v>
      </c>
      <c r="BG15" s="483" cm="1">
        <f t="array" aca="1" ref="BG15" ca="1">IF(TblConstr[[#This Row],[Hour]:[Hour]]&gt;12,OFFSET(TblConstr[[#This Row],[GN]],-12,0),0)+OFFSET(TblConstr[[#This Row],[Tot GN]],-1,0)-TblConstr[[#This Row],[Dest GN]]</f>
        <v>0</v>
      </c>
      <c r="BH15" s="487" cm="1">
        <f t="array" aca="1" ref="BH15" ca="1">IF(TblConstr[[#This Row],[Hour]:[Hour]]&gt;12,OFFSET(TblConstr[[#This Row],[Fac]],-12,0),0)+OFFSET(TblConstr[[#This Row],[Tot Fac]],-1,0)-TblConstr[[#This Row],[Dest Fac]]</f>
        <v>0</v>
      </c>
      <c r="BI15" s="487" cm="1">
        <f t="array" aca="1" ref="BI15" ca="1">IF(TblConstr[[#This Row],[Hour]:[Hour]]&gt;12,OFFSET(TblConstr[[#This Row],[GT]],-12,0),0)+OFFSET(TblConstr[[#This Row],[Tot GT]],-1,0)-TblConstr[[#This Row],[Dest GT]]</f>
        <v>0</v>
      </c>
      <c r="BJ15" s="487" cm="1">
        <f t="array" aca="1" ref="BJ15" ca="1">IF(TblConstr[[#This Row],[Hour]:[Hour]]&gt;12,OFFSET(TblConstr[[#This Row],[Bar]],-12,0),0)+OFFSET(TblConstr[[#This Row],[Tot Bar]],-1,0)-TblConstr[[#This Row],[Dest Bar]]</f>
        <v>0</v>
      </c>
      <c r="BK15" s="487" cm="1">
        <f t="array" aca="1" ref="BK15" ca="1">IF(TblConstr[[#This Row],[Hour]:[Hour]]&gt;12,OFFSET(TblConstr[[#This Row],[Shr]],-12,0),0)+OFFSET(TblConstr[[#This Row],[Tot Shr]],-1,0)-TblConstr[[#This Row],[Dest Shr]]</f>
        <v>0</v>
      </c>
      <c r="BL15" s="491" cm="1">
        <f t="array" aca="1" ref="BL15" ca="1">IF(TblConstr[[#This Row],[Hour]:[Hour]]&gt;12,OFFSET(TblConstr[[#This Row],[Tow]],-12,0),0)+OFFSET(TblConstr[[#This Row],[Tot Tow]],-1,0)-TblConstr[[#This Row],[Dest Tow]]</f>
        <v>0</v>
      </c>
      <c r="BM15" s="491" cm="1">
        <f t="array" aca="1" ref="BM15" ca="1">IF(TblConstr[[#This Row],[Hour]:[Hour]]&gt;12,OFFSET(TblConstr[[#This Row],[Tem]],-12,0),0)+OFFSET(TblConstr[[#This Row],[Tot Tem]],-1,0)-TblConstr[[#This Row],[Dest Tem]]</f>
        <v>0</v>
      </c>
      <c r="BN15" s="491"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44343.458333333307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1">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99</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11</v>
      </c>
      <c r="DI15" s="49">
        <f t="shared" ca="1" si="0"/>
        <v>0</v>
      </c>
      <c r="DJ15" s="49">
        <f t="shared" ca="1" si="1"/>
        <v>0</v>
      </c>
    </row>
    <row r="16" spans="1:114" x14ac:dyDescent="0.2">
      <c r="A16" s="228">
        <f>TblRezone[[#This Row],[Hour]]</f>
        <v>13</v>
      </c>
      <c r="B16" s="229">
        <f ca="1">SUM(TblConstr[[#This Row],[Plain]:[Water]])</f>
        <v>159</v>
      </c>
      <c r="C16" s="230">
        <f ca="1">SUM(TblConstr[[#This Row],[Tot Hom]:[Tot Doc]])</f>
        <v>91</v>
      </c>
      <c r="D16" s="230">
        <f t="shared" ref="D16:D46" si="2">SUM(O5:AG16)</f>
        <v>0</v>
      </c>
      <c r="E16" s="231"/>
      <c r="F16" s="74">
        <f ca="1">TblConstr[[#This Row],[Barren]]+TblConstr[[#This Row],[Buildings]]+TblConstr[[#This Row],[Incoming]]</f>
        <v>250</v>
      </c>
      <c r="G16" s="242">
        <f ca="1">OFFSET(TblConstr[[#This Row],[Plain]],-1,0)+TblConstr[[#This Row],[Ch_Plain]]</f>
        <v>39</v>
      </c>
      <c r="H16" s="236">
        <f ca="1">OFFSET(TblConstr[[#This Row],[Forest]],-1,0)+TblConstr[[#This Row],[Ch_Forest]]</f>
        <v>20</v>
      </c>
      <c r="I16" s="481">
        <f ca="1">OFFSET(TblConstr[[#This Row],[Mountain]],-1,0)+TblConstr[[#This Row],[Ch_Mountain]]</f>
        <v>20</v>
      </c>
      <c r="J16" s="485">
        <f ca="1">OFFSET(TblConstr[[#This Row],[Hill]],-1,0)+TblConstr[[#This Row],[Ch_Hill]]</f>
        <v>20</v>
      </c>
      <c r="K16" s="489">
        <f ca="1">OFFSET(TblConstr[[#This Row],[Swamp]],-1,0)+TblConstr[[#This Row],[Ch_Swamp]]</f>
        <v>20</v>
      </c>
      <c r="L16" s="239">
        <f ca="1">OFFSET(TblConstr[[#This Row],[Cavern]],-1,0)+TblConstr[[#This Row],[Ch_Cavern]]</f>
        <v>20</v>
      </c>
      <c r="M16" s="240">
        <f ca="1">OFFSET(TblConstr[[#This Row],[Water]],-1,0)+TblConstr[[#This Row],[Ch_Water]]</f>
        <v>20</v>
      </c>
      <c r="N16" s="479">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44343.499999999971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162311</v>
      </c>
      <c r="AL16" s="113">
        <f ca="1">TblProd[[#This Row],[Lumber]]</f>
        <v>24579</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11</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3" cm="1">
        <f t="array" aca="1" ref="BF16" ca="1">IF(TblConstr[[#This Row],[Hour]:[Hour]]&gt;12,OFFSET(TblConstr[[#This Row],[OM]],-12,0),0)+OFFSET(TblConstr[[#This Row],[Tot OM]],-1,0)-TblConstr[[#This Row],[Dest OM]]</f>
        <v>0</v>
      </c>
      <c r="BG16" s="483" cm="1">
        <f t="array" aca="1" ref="BG16" ca="1">IF(TblConstr[[#This Row],[Hour]:[Hour]]&gt;12,OFFSET(TblConstr[[#This Row],[GN]],-12,0),0)+OFFSET(TblConstr[[#This Row],[Tot GN]],-1,0)-TblConstr[[#This Row],[Dest GN]]</f>
        <v>0</v>
      </c>
      <c r="BH16" s="487" cm="1">
        <f t="array" aca="1" ref="BH16" ca="1">IF(TblConstr[[#This Row],[Hour]:[Hour]]&gt;12,OFFSET(TblConstr[[#This Row],[Fac]],-12,0),0)+OFFSET(TblConstr[[#This Row],[Tot Fac]],-1,0)-TblConstr[[#This Row],[Dest Fac]]</f>
        <v>0</v>
      </c>
      <c r="BI16" s="487" cm="1">
        <f t="array" aca="1" ref="BI16" ca="1">IF(TblConstr[[#This Row],[Hour]:[Hour]]&gt;12,OFFSET(TblConstr[[#This Row],[GT]],-12,0),0)+OFFSET(TblConstr[[#This Row],[Tot GT]],-1,0)-TblConstr[[#This Row],[Dest GT]]</f>
        <v>0</v>
      </c>
      <c r="BJ16" s="487" cm="1">
        <f t="array" aca="1" ref="BJ16" ca="1">IF(TblConstr[[#This Row],[Hour]:[Hour]]&gt;12,OFFSET(TblConstr[[#This Row],[Bar]],-12,0),0)+OFFSET(TblConstr[[#This Row],[Tot Bar]],-1,0)-TblConstr[[#This Row],[Dest Bar]]</f>
        <v>0</v>
      </c>
      <c r="BK16" s="487" cm="1">
        <f t="array" aca="1" ref="BK16" ca="1">IF(TblConstr[[#This Row],[Hour]:[Hour]]&gt;12,OFFSET(TblConstr[[#This Row],[Shr]],-12,0),0)+OFFSET(TblConstr[[#This Row],[Tot Shr]],-1,0)-TblConstr[[#This Row],[Dest Shr]]</f>
        <v>0</v>
      </c>
      <c r="BL16" s="491" cm="1">
        <f t="array" aca="1" ref="BL16" ca="1">IF(TblConstr[[#This Row],[Hour]:[Hour]]&gt;12,OFFSET(TblConstr[[#This Row],[Tow]],-12,0),0)+OFFSET(TblConstr[[#This Row],[Tot Tow]],-1,0)-TblConstr[[#This Row],[Dest Tow]]</f>
        <v>0</v>
      </c>
      <c r="BM16" s="491" cm="1">
        <f t="array" aca="1" ref="BM16" ca="1">IF(TblConstr[[#This Row],[Hour]:[Hour]]&gt;12,OFFSET(TblConstr[[#This Row],[Tem]],-12,0),0)+OFFSET(TblConstr[[#This Row],[Tot Tem]],-1,0)-TblConstr[[#This Row],[Dest Tem]]</f>
        <v>0</v>
      </c>
      <c r="BN16" s="491"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44343.499999999971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1">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99</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11</v>
      </c>
      <c r="DI16" s="49">
        <f t="shared" ca="1" si="0"/>
        <v>0</v>
      </c>
      <c r="DJ16" s="49">
        <f t="shared" ca="1" si="1"/>
        <v>0</v>
      </c>
    </row>
    <row r="17" spans="1:114" x14ac:dyDescent="0.2">
      <c r="A17" s="228">
        <f>TblRezone[[#This Row],[Hour]]</f>
        <v>14</v>
      </c>
      <c r="B17" s="229">
        <f ca="1">SUM(TblConstr[[#This Row],[Plain]:[Water]])</f>
        <v>159</v>
      </c>
      <c r="C17" s="230">
        <f ca="1">SUM(TblConstr[[#This Row],[Tot Hom]:[Tot Doc]])</f>
        <v>91</v>
      </c>
      <c r="D17" s="230">
        <f t="shared" si="2"/>
        <v>0</v>
      </c>
      <c r="E17" s="231"/>
      <c r="F17" s="74">
        <f ca="1">TblConstr[[#This Row],[Barren]]+TblConstr[[#This Row],[Buildings]]+TblConstr[[#This Row],[Incoming]]</f>
        <v>250</v>
      </c>
      <c r="G17" s="242">
        <f ca="1">OFFSET(TblConstr[[#This Row],[Plain]],-1,0)+TblConstr[[#This Row],[Ch_Plain]]</f>
        <v>39</v>
      </c>
      <c r="H17" s="236">
        <f ca="1">OFFSET(TblConstr[[#This Row],[Forest]],-1,0)+TblConstr[[#This Row],[Ch_Forest]]</f>
        <v>20</v>
      </c>
      <c r="I17" s="481">
        <f ca="1">OFFSET(TblConstr[[#This Row],[Mountain]],-1,0)+TblConstr[[#This Row],[Ch_Mountain]]</f>
        <v>20</v>
      </c>
      <c r="J17" s="485">
        <f ca="1">OFFSET(TblConstr[[#This Row],[Hill]],-1,0)+TblConstr[[#This Row],[Ch_Hill]]</f>
        <v>20</v>
      </c>
      <c r="K17" s="489">
        <f ca="1">OFFSET(TblConstr[[#This Row],[Swamp]],-1,0)+TblConstr[[#This Row],[Ch_Swamp]]</f>
        <v>20</v>
      </c>
      <c r="L17" s="239">
        <f ca="1">OFFSET(TblConstr[[#This Row],[Cavern]],-1,0)+TblConstr[[#This Row],[Ch_Cavern]]</f>
        <v>20</v>
      </c>
      <c r="M17" s="240">
        <f ca="1">OFFSET(TblConstr[[#This Row],[Water]],-1,0)+TblConstr[[#This Row],[Ch_Water]]</f>
        <v>20</v>
      </c>
      <c r="N17" s="479">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44343.541666666635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167981</v>
      </c>
      <c r="AL17" s="113">
        <f ca="1">TblProd[[#This Row],[Lumber]]</f>
        <v>25333</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11</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3" cm="1">
        <f t="array" aca="1" ref="BF17" ca="1">IF(TblConstr[[#This Row],[Hour]:[Hour]]&gt;12,OFFSET(TblConstr[[#This Row],[OM]],-12,0),0)+OFFSET(TblConstr[[#This Row],[Tot OM]],-1,0)-TblConstr[[#This Row],[Dest OM]]</f>
        <v>0</v>
      </c>
      <c r="BG17" s="483" cm="1">
        <f t="array" aca="1" ref="BG17" ca="1">IF(TblConstr[[#This Row],[Hour]:[Hour]]&gt;12,OFFSET(TblConstr[[#This Row],[GN]],-12,0),0)+OFFSET(TblConstr[[#This Row],[Tot GN]],-1,0)-TblConstr[[#This Row],[Dest GN]]</f>
        <v>0</v>
      </c>
      <c r="BH17" s="487" cm="1">
        <f t="array" aca="1" ref="BH17" ca="1">IF(TblConstr[[#This Row],[Hour]:[Hour]]&gt;12,OFFSET(TblConstr[[#This Row],[Fac]],-12,0),0)+OFFSET(TblConstr[[#This Row],[Tot Fac]],-1,0)-TblConstr[[#This Row],[Dest Fac]]</f>
        <v>0</v>
      </c>
      <c r="BI17" s="487" cm="1">
        <f t="array" aca="1" ref="BI17" ca="1">IF(TblConstr[[#This Row],[Hour]:[Hour]]&gt;12,OFFSET(TblConstr[[#This Row],[GT]],-12,0),0)+OFFSET(TblConstr[[#This Row],[Tot GT]],-1,0)-TblConstr[[#This Row],[Dest GT]]</f>
        <v>0</v>
      </c>
      <c r="BJ17" s="487" cm="1">
        <f t="array" aca="1" ref="BJ17" ca="1">IF(TblConstr[[#This Row],[Hour]:[Hour]]&gt;12,OFFSET(TblConstr[[#This Row],[Bar]],-12,0),0)+OFFSET(TblConstr[[#This Row],[Tot Bar]],-1,0)-TblConstr[[#This Row],[Dest Bar]]</f>
        <v>0</v>
      </c>
      <c r="BK17" s="487" cm="1">
        <f t="array" aca="1" ref="BK17" ca="1">IF(TblConstr[[#This Row],[Hour]:[Hour]]&gt;12,OFFSET(TblConstr[[#This Row],[Shr]],-12,0),0)+OFFSET(TblConstr[[#This Row],[Tot Shr]],-1,0)-TblConstr[[#This Row],[Dest Shr]]</f>
        <v>0</v>
      </c>
      <c r="BL17" s="491" cm="1">
        <f t="array" aca="1" ref="BL17" ca="1">IF(TblConstr[[#This Row],[Hour]:[Hour]]&gt;12,OFFSET(TblConstr[[#This Row],[Tow]],-12,0),0)+OFFSET(TblConstr[[#This Row],[Tot Tow]],-1,0)-TblConstr[[#This Row],[Dest Tow]]</f>
        <v>0</v>
      </c>
      <c r="BM17" s="491" cm="1">
        <f t="array" aca="1" ref="BM17" ca="1">IF(TblConstr[[#This Row],[Hour]:[Hour]]&gt;12,OFFSET(TblConstr[[#This Row],[Tem]],-12,0),0)+OFFSET(TblConstr[[#This Row],[Tot Tem]],-1,0)-TblConstr[[#This Row],[Dest Tem]]</f>
        <v>0</v>
      </c>
      <c r="BN17" s="491"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44343.541666666635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1">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99</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11</v>
      </c>
      <c r="DI17" s="49">
        <f t="shared" ca="1" si="0"/>
        <v>0</v>
      </c>
      <c r="DJ17" s="49">
        <f t="shared" ca="1" si="1"/>
        <v>0</v>
      </c>
    </row>
    <row r="18" spans="1:114" x14ac:dyDescent="0.2">
      <c r="A18" s="228">
        <f>TblRezone[[#This Row],[Hour]]</f>
        <v>15</v>
      </c>
      <c r="B18" s="229">
        <f ca="1">SUM(TblConstr[[#This Row],[Plain]:[Water]])</f>
        <v>159</v>
      </c>
      <c r="C18" s="230">
        <f ca="1">SUM(TblConstr[[#This Row],[Tot Hom]:[Tot Doc]])</f>
        <v>91</v>
      </c>
      <c r="D18" s="230">
        <f t="shared" si="2"/>
        <v>0</v>
      </c>
      <c r="E18" s="231"/>
      <c r="F18" s="74">
        <f ca="1">TblConstr[[#This Row],[Barren]]+TblConstr[[#This Row],[Buildings]]+TblConstr[[#This Row],[Incoming]]</f>
        <v>250</v>
      </c>
      <c r="G18" s="242">
        <f ca="1">OFFSET(TblConstr[[#This Row],[Plain]],-1,0)+TblConstr[[#This Row],[Ch_Plain]]</f>
        <v>39</v>
      </c>
      <c r="H18" s="236">
        <f ca="1">OFFSET(TblConstr[[#This Row],[Forest]],-1,0)+TblConstr[[#This Row],[Ch_Forest]]</f>
        <v>20</v>
      </c>
      <c r="I18" s="481">
        <f ca="1">OFFSET(TblConstr[[#This Row],[Mountain]],-1,0)+TblConstr[[#This Row],[Ch_Mountain]]</f>
        <v>20</v>
      </c>
      <c r="J18" s="485">
        <f ca="1">OFFSET(TblConstr[[#This Row],[Hill]],-1,0)+TblConstr[[#This Row],[Ch_Hill]]</f>
        <v>20</v>
      </c>
      <c r="K18" s="489">
        <f ca="1">OFFSET(TblConstr[[#This Row],[Swamp]],-1,0)+TblConstr[[#This Row],[Ch_Swamp]]</f>
        <v>20</v>
      </c>
      <c r="L18" s="239">
        <f ca="1">OFFSET(TblConstr[[#This Row],[Cavern]],-1,0)+TblConstr[[#This Row],[Ch_Cavern]]</f>
        <v>20</v>
      </c>
      <c r="M18" s="240">
        <f ca="1">OFFSET(TblConstr[[#This Row],[Water]],-1,0)+TblConstr[[#This Row],[Ch_Water]]</f>
        <v>20</v>
      </c>
      <c r="N18" s="479">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44343.583333333299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173651</v>
      </c>
      <c r="AL18" s="113">
        <f ca="1">TblProd[[#This Row],[Lumber]]</f>
        <v>26080</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11</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3" cm="1">
        <f t="array" aca="1" ref="BF18" ca="1">IF(TblConstr[[#This Row],[Hour]:[Hour]]&gt;12,OFFSET(TblConstr[[#This Row],[OM]],-12,0),0)+OFFSET(TblConstr[[#This Row],[Tot OM]],-1,0)-TblConstr[[#This Row],[Dest OM]]</f>
        <v>0</v>
      </c>
      <c r="BG18" s="483" cm="1">
        <f t="array" aca="1" ref="BG18" ca="1">IF(TblConstr[[#This Row],[Hour]:[Hour]]&gt;12,OFFSET(TblConstr[[#This Row],[GN]],-12,0),0)+OFFSET(TblConstr[[#This Row],[Tot GN]],-1,0)-TblConstr[[#This Row],[Dest GN]]</f>
        <v>0</v>
      </c>
      <c r="BH18" s="487" cm="1">
        <f t="array" aca="1" ref="BH18" ca="1">IF(TblConstr[[#This Row],[Hour]:[Hour]]&gt;12,OFFSET(TblConstr[[#This Row],[Fac]],-12,0),0)+OFFSET(TblConstr[[#This Row],[Tot Fac]],-1,0)-TblConstr[[#This Row],[Dest Fac]]</f>
        <v>0</v>
      </c>
      <c r="BI18" s="487" cm="1">
        <f t="array" aca="1" ref="BI18" ca="1">IF(TblConstr[[#This Row],[Hour]:[Hour]]&gt;12,OFFSET(TblConstr[[#This Row],[GT]],-12,0),0)+OFFSET(TblConstr[[#This Row],[Tot GT]],-1,0)-TblConstr[[#This Row],[Dest GT]]</f>
        <v>0</v>
      </c>
      <c r="BJ18" s="487" cm="1">
        <f t="array" aca="1" ref="BJ18" ca="1">IF(TblConstr[[#This Row],[Hour]:[Hour]]&gt;12,OFFSET(TblConstr[[#This Row],[Bar]],-12,0),0)+OFFSET(TblConstr[[#This Row],[Tot Bar]],-1,0)-TblConstr[[#This Row],[Dest Bar]]</f>
        <v>0</v>
      </c>
      <c r="BK18" s="487" cm="1">
        <f t="array" aca="1" ref="BK18" ca="1">IF(TblConstr[[#This Row],[Hour]:[Hour]]&gt;12,OFFSET(TblConstr[[#This Row],[Shr]],-12,0),0)+OFFSET(TblConstr[[#This Row],[Tot Shr]],-1,0)-TblConstr[[#This Row],[Dest Shr]]</f>
        <v>0</v>
      </c>
      <c r="BL18" s="491" cm="1">
        <f t="array" aca="1" ref="BL18" ca="1">IF(TblConstr[[#This Row],[Hour]:[Hour]]&gt;12,OFFSET(TblConstr[[#This Row],[Tow]],-12,0),0)+OFFSET(TblConstr[[#This Row],[Tot Tow]],-1,0)-TblConstr[[#This Row],[Dest Tow]]</f>
        <v>0</v>
      </c>
      <c r="BM18" s="491" cm="1">
        <f t="array" aca="1" ref="BM18" ca="1">IF(TblConstr[[#This Row],[Hour]:[Hour]]&gt;12,OFFSET(TblConstr[[#This Row],[Tem]],-12,0),0)+OFFSET(TblConstr[[#This Row],[Tot Tem]],-1,0)-TblConstr[[#This Row],[Dest Tem]]</f>
        <v>0</v>
      </c>
      <c r="BN18" s="491"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44343.583333333299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1">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99</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11</v>
      </c>
      <c r="DI18" s="49">
        <f t="shared" ca="1" si="0"/>
        <v>0</v>
      </c>
      <c r="DJ18" s="49">
        <f t="shared" ca="1" si="1"/>
        <v>0</v>
      </c>
    </row>
    <row r="19" spans="1:114" x14ac:dyDescent="0.2">
      <c r="A19" s="228">
        <f>TblRezone[[#This Row],[Hour]]</f>
        <v>16</v>
      </c>
      <c r="B19" s="229">
        <f ca="1">SUM(TblConstr[[#This Row],[Plain]:[Water]])</f>
        <v>159</v>
      </c>
      <c r="C19" s="230">
        <f ca="1">SUM(TblConstr[[#This Row],[Tot Hom]:[Tot Doc]])</f>
        <v>91</v>
      </c>
      <c r="D19" s="230">
        <f t="shared" si="2"/>
        <v>0</v>
      </c>
      <c r="E19" s="231"/>
      <c r="F19" s="74">
        <f ca="1">TblConstr[[#This Row],[Barren]]+TblConstr[[#This Row],[Buildings]]+TblConstr[[#This Row],[Incoming]]</f>
        <v>250</v>
      </c>
      <c r="G19" s="242">
        <f ca="1">OFFSET(TblConstr[[#This Row],[Plain]],-1,0)+TblConstr[[#This Row],[Ch_Plain]]</f>
        <v>39</v>
      </c>
      <c r="H19" s="236">
        <f ca="1">OFFSET(TblConstr[[#This Row],[Forest]],-1,0)+TblConstr[[#This Row],[Ch_Forest]]</f>
        <v>20</v>
      </c>
      <c r="I19" s="481">
        <f ca="1">OFFSET(TblConstr[[#This Row],[Mountain]],-1,0)+TblConstr[[#This Row],[Ch_Mountain]]</f>
        <v>20</v>
      </c>
      <c r="J19" s="485">
        <f ca="1">OFFSET(TblConstr[[#This Row],[Hill]],-1,0)+TblConstr[[#This Row],[Ch_Hill]]</f>
        <v>20</v>
      </c>
      <c r="K19" s="489">
        <f ca="1">OFFSET(TblConstr[[#This Row],[Swamp]],-1,0)+TblConstr[[#This Row],[Ch_Swamp]]</f>
        <v>20</v>
      </c>
      <c r="L19" s="239">
        <f ca="1">OFFSET(TblConstr[[#This Row],[Cavern]],-1,0)+TblConstr[[#This Row],[Ch_Cavern]]</f>
        <v>20</v>
      </c>
      <c r="M19" s="240">
        <f ca="1">OFFSET(TblConstr[[#This Row],[Water]],-1,0)+TblConstr[[#This Row],[Ch_Water]]</f>
        <v>20</v>
      </c>
      <c r="N19" s="479">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44343.624999999964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179321</v>
      </c>
      <c r="AL19" s="113">
        <f ca="1">TblProd[[#This Row],[Lumber]]</f>
        <v>26819</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11</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3" cm="1">
        <f t="array" aca="1" ref="BF19" ca="1">IF(TblConstr[[#This Row],[Hour]:[Hour]]&gt;12,OFFSET(TblConstr[[#This Row],[OM]],-12,0),0)+OFFSET(TblConstr[[#This Row],[Tot OM]],-1,0)-TblConstr[[#This Row],[Dest OM]]</f>
        <v>0</v>
      </c>
      <c r="BG19" s="483" cm="1">
        <f t="array" aca="1" ref="BG19" ca="1">IF(TblConstr[[#This Row],[Hour]:[Hour]]&gt;12,OFFSET(TblConstr[[#This Row],[GN]],-12,0),0)+OFFSET(TblConstr[[#This Row],[Tot GN]],-1,0)-TblConstr[[#This Row],[Dest GN]]</f>
        <v>0</v>
      </c>
      <c r="BH19" s="487" cm="1">
        <f t="array" aca="1" ref="BH19" ca="1">IF(TblConstr[[#This Row],[Hour]:[Hour]]&gt;12,OFFSET(TblConstr[[#This Row],[Fac]],-12,0),0)+OFFSET(TblConstr[[#This Row],[Tot Fac]],-1,0)-TblConstr[[#This Row],[Dest Fac]]</f>
        <v>0</v>
      </c>
      <c r="BI19" s="487" cm="1">
        <f t="array" aca="1" ref="BI19" ca="1">IF(TblConstr[[#This Row],[Hour]:[Hour]]&gt;12,OFFSET(TblConstr[[#This Row],[GT]],-12,0),0)+OFFSET(TblConstr[[#This Row],[Tot GT]],-1,0)-TblConstr[[#This Row],[Dest GT]]</f>
        <v>0</v>
      </c>
      <c r="BJ19" s="487" cm="1">
        <f t="array" aca="1" ref="BJ19" ca="1">IF(TblConstr[[#This Row],[Hour]:[Hour]]&gt;12,OFFSET(TblConstr[[#This Row],[Bar]],-12,0),0)+OFFSET(TblConstr[[#This Row],[Tot Bar]],-1,0)-TblConstr[[#This Row],[Dest Bar]]</f>
        <v>0</v>
      </c>
      <c r="BK19" s="487" cm="1">
        <f t="array" aca="1" ref="BK19" ca="1">IF(TblConstr[[#This Row],[Hour]:[Hour]]&gt;12,OFFSET(TblConstr[[#This Row],[Shr]],-12,0),0)+OFFSET(TblConstr[[#This Row],[Tot Shr]],-1,0)-TblConstr[[#This Row],[Dest Shr]]</f>
        <v>0</v>
      </c>
      <c r="BL19" s="491" cm="1">
        <f t="array" aca="1" ref="BL19" ca="1">IF(TblConstr[[#This Row],[Hour]:[Hour]]&gt;12,OFFSET(TblConstr[[#This Row],[Tow]],-12,0),0)+OFFSET(TblConstr[[#This Row],[Tot Tow]],-1,0)-TblConstr[[#This Row],[Dest Tow]]</f>
        <v>0</v>
      </c>
      <c r="BM19" s="491" cm="1">
        <f t="array" aca="1" ref="BM19" ca="1">IF(TblConstr[[#This Row],[Hour]:[Hour]]&gt;12,OFFSET(TblConstr[[#This Row],[Tem]],-12,0),0)+OFFSET(TblConstr[[#This Row],[Tot Tem]],-1,0)-TblConstr[[#This Row],[Dest Tem]]</f>
        <v>0</v>
      </c>
      <c r="BN19" s="491"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44343.624999999964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1">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99</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11</v>
      </c>
      <c r="DI19" s="49">
        <f t="shared" ca="1" si="0"/>
        <v>0</v>
      </c>
      <c r="DJ19" s="49">
        <f t="shared" ca="1" si="1"/>
        <v>0</v>
      </c>
    </row>
    <row r="20" spans="1:114" x14ac:dyDescent="0.2">
      <c r="A20" s="228">
        <f>TblRezone[[#This Row],[Hour]]</f>
        <v>17</v>
      </c>
      <c r="B20" s="229">
        <f ca="1">SUM(TblConstr[[#This Row],[Plain]:[Water]])</f>
        <v>159</v>
      </c>
      <c r="C20" s="230">
        <f ca="1">SUM(TblConstr[[#This Row],[Tot Hom]:[Tot Doc]])</f>
        <v>91</v>
      </c>
      <c r="D20" s="230">
        <f t="shared" si="2"/>
        <v>0</v>
      </c>
      <c r="E20" s="231"/>
      <c r="F20" s="74">
        <f ca="1">TblConstr[[#This Row],[Barren]]+TblConstr[[#This Row],[Buildings]]+TblConstr[[#This Row],[Incoming]]</f>
        <v>250</v>
      </c>
      <c r="G20" s="242">
        <f ca="1">OFFSET(TblConstr[[#This Row],[Plain]],-1,0)+TblConstr[[#This Row],[Ch_Plain]]</f>
        <v>39</v>
      </c>
      <c r="H20" s="236">
        <f ca="1">OFFSET(TblConstr[[#This Row],[Forest]],-1,0)+TblConstr[[#This Row],[Ch_Forest]]</f>
        <v>20</v>
      </c>
      <c r="I20" s="481">
        <f ca="1">OFFSET(TblConstr[[#This Row],[Mountain]],-1,0)+TblConstr[[#This Row],[Ch_Mountain]]</f>
        <v>20</v>
      </c>
      <c r="J20" s="485">
        <f ca="1">OFFSET(TblConstr[[#This Row],[Hill]],-1,0)+TblConstr[[#This Row],[Ch_Hill]]</f>
        <v>20</v>
      </c>
      <c r="K20" s="489">
        <f ca="1">OFFSET(TblConstr[[#This Row],[Swamp]],-1,0)+TblConstr[[#This Row],[Ch_Swamp]]</f>
        <v>20</v>
      </c>
      <c r="L20" s="239">
        <f ca="1">OFFSET(TblConstr[[#This Row],[Cavern]],-1,0)+TblConstr[[#This Row],[Ch_Cavern]]</f>
        <v>20</v>
      </c>
      <c r="M20" s="240">
        <f ca="1">OFFSET(TblConstr[[#This Row],[Water]],-1,0)+TblConstr[[#This Row],[Ch_Water]]</f>
        <v>20</v>
      </c>
      <c r="N20" s="479">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44343.666666666628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184991</v>
      </c>
      <c r="AL20" s="113">
        <f ca="1">TblProd[[#This Row],[Lumber]]</f>
        <v>27551</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11</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3" cm="1">
        <f t="array" aca="1" ref="BF20" ca="1">IF(TblConstr[[#This Row],[Hour]:[Hour]]&gt;12,OFFSET(TblConstr[[#This Row],[OM]],-12,0),0)+OFFSET(TblConstr[[#This Row],[Tot OM]],-1,0)-TblConstr[[#This Row],[Dest OM]]</f>
        <v>0</v>
      </c>
      <c r="BG20" s="483" cm="1">
        <f t="array" aca="1" ref="BG20" ca="1">IF(TblConstr[[#This Row],[Hour]:[Hour]]&gt;12,OFFSET(TblConstr[[#This Row],[GN]],-12,0),0)+OFFSET(TblConstr[[#This Row],[Tot GN]],-1,0)-TblConstr[[#This Row],[Dest GN]]</f>
        <v>0</v>
      </c>
      <c r="BH20" s="487" cm="1">
        <f t="array" aca="1" ref="BH20" ca="1">IF(TblConstr[[#This Row],[Hour]:[Hour]]&gt;12,OFFSET(TblConstr[[#This Row],[Fac]],-12,0),0)+OFFSET(TblConstr[[#This Row],[Tot Fac]],-1,0)-TblConstr[[#This Row],[Dest Fac]]</f>
        <v>0</v>
      </c>
      <c r="BI20" s="487" cm="1">
        <f t="array" aca="1" ref="BI20" ca="1">IF(TblConstr[[#This Row],[Hour]:[Hour]]&gt;12,OFFSET(TblConstr[[#This Row],[GT]],-12,0),0)+OFFSET(TblConstr[[#This Row],[Tot GT]],-1,0)-TblConstr[[#This Row],[Dest GT]]</f>
        <v>0</v>
      </c>
      <c r="BJ20" s="487" cm="1">
        <f t="array" aca="1" ref="BJ20" ca="1">IF(TblConstr[[#This Row],[Hour]:[Hour]]&gt;12,OFFSET(TblConstr[[#This Row],[Bar]],-12,0),0)+OFFSET(TblConstr[[#This Row],[Tot Bar]],-1,0)-TblConstr[[#This Row],[Dest Bar]]</f>
        <v>0</v>
      </c>
      <c r="BK20" s="487" cm="1">
        <f t="array" aca="1" ref="BK20" ca="1">IF(TblConstr[[#This Row],[Hour]:[Hour]]&gt;12,OFFSET(TblConstr[[#This Row],[Shr]],-12,0),0)+OFFSET(TblConstr[[#This Row],[Tot Shr]],-1,0)-TblConstr[[#This Row],[Dest Shr]]</f>
        <v>0</v>
      </c>
      <c r="BL20" s="491" cm="1">
        <f t="array" aca="1" ref="BL20" ca="1">IF(TblConstr[[#This Row],[Hour]:[Hour]]&gt;12,OFFSET(TblConstr[[#This Row],[Tow]],-12,0),0)+OFFSET(TblConstr[[#This Row],[Tot Tow]],-1,0)-TblConstr[[#This Row],[Dest Tow]]</f>
        <v>0</v>
      </c>
      <c r="BM20" s="491" cm="1">
        <f t="array" aca="1" ref="BM20" ca="1">IF(TblConstr[[#This Row],[Hour]:[Hour]]&gt;12,OFFSET(TblConstr[[#This Row],[Tem]],-12,0),0)+OFFSET(TblConstr[[#This Row],[Tot Tem]],-1,0)-TblConstr[[#This Row],[Dest Tem]]</f>
        <v>0</v>
      </c>
      <c r="BN20" s="491"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44343.666666666628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1">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99</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11</v>
      </c>
      <c r="DI20" s="49">
        <f t="shared" ca="1" si="0"/>
        <v>0</v>
      </c>
      <c r="DJ20" s="49">
        <f t="shared" ca="1" si="1"/>
        <v>0</v>
      </c>
    </row>
    <row r="21" spans="1:114" x14ac:dyDescent="0.2">
      <c r="A21" s="228">
        <f>TblRezone[[#This Row],[Hour]]</f>
        <v>18</v>
      </c>
      <c r="B21" s="229">
        <f ca="1">SUM(TblConstr[[#This Row],[Plain]:[Water]])</f>
        <v>159</v>
      </c>
      <c r="C21" s="230">
        <f ca="1">SUM(TblConstr[[#This Row],[Tot Hom]:[Tot Doc]])</f>
        <v>91</v>
      </c>
      <c r="D21" s="230">
        <f t="shared" si="2"/>
        <v>0</v>
      </c>
      <c r="E21" s="231"/>
      <c r="F21" s="74">
        <f ca="1">TblConstr[[#This Row],[Barren]]+TblConstr[[#This Row],[Buildings]]+TblConstr[[#This Row],[Incoming]]</f>
        <v>250</v>
      </c>
      <c r="G21" s="242">
        <f ca="1">OFFSET(TblConstr[[#This Row],[Plain]],-1,0)+TblConstr[[#This Row],[Ch_Plain]]</f>
        <v>39</v>
      </c>
      <c r="H21" s="236">
        <f ca="1">OFFSET(TblConstr[[#This Row],[Forest]],-1,0)+TblConstr[[#This Row],[Ch_Forest]]</f>
        <v>20</v>
      </c>
      <c r="I21" s="481">
        <f ca="1">OFFSET(TblConstr[[#This Row],[Mountain]],-1,0)+TblConstr[[#This Row],[Ch_Mountain]]</f>
        <v>20</v>
      </c>
      <c r="J21" s="485">
        <f ca="1">OFFSET(TblConstr[[#This Row],[Hill]],-1,0)+TblConstr[[#This Row],[Ch_Hill]]</f>
        <v>20</v>
      </c>
      <c r="K21" s="489">
        <f ca="1">OFFSET(TblConstr[[#This Row],[Swamp]],-1,0)+TblConstr[[#This Row],[Ch_Swamp]]</f>
        <v>20</v>
      </c>
      <c r="L21" s="239">
        <f ca="1">OFFSET(TblConstr[[#This Row],[Cavern]],-1,0)+TblConstr[[#This Row],[Ch_Cavern]]</f>
        <v>20</v>
      </c>
      <c r="M21" s="240">
        <f ca="1">OFFSET(TblConstr[[#This Row],[Water]],-1,0)+TblConstr[[#This Row],[Ch_Water]]</f>
        <v>20</v>
      </c>
      <c r="N21" s="479">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44343.708333333292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190661</v>
      </c>
      <c r="AL21" s="113">
        <f ca="1">TblProd[[#This Row],[Lumber]]</f>
        <v>28275</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11</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3" cm="1">
        <f t="array" aca="1" ref="BF21" ca="1">IF(TblConstr[[#This Row],[Hour]:[Hour]]&gt;12,OFFSET(TblConstr[[#This Row],[OM]],-12,0),0)+OFFSET(TblConstr[[#This Row],[Tot OM]],-1,0)-TblConstr[[#This Row],[Dest OM]]</f>
        <v>0</v>
      </c>
      <c r="BG21" s="483" cm="1">
        <f t="array" aca="1" ref="BG21" ca="1">IF(TblConstr[[#This Row],[Hour]:[Hour]]&gt;12,OFFSET(TblConstr[[#This Row],[GN]],-12,0),0)+OFFSET(TblConstr[[#This Row],[Tot GN]],-1,0)-TblConstr[[#This Row],[Dest GN]]</f>
        <v>0</v>
      </c>
      <c r="BH21" s="487" cm="1">
        <f t="array" aca="1" ref="BH21" ca="1">IF(TblConstr[[#This Row],[Hour]:[Hour]]&gt;12,OFFSET(TblConstr[[#This Row],[Fac]],-12,0),0)+OFFSET(TblConstr[[#This Row],[Tot Fac]],-1,0)-TblConstr[[#This Row],[Dest Fac]]</f>
        <v>0</v>
      </c>
      <c r="BI21" s="487" cm="1">
        <f t="array" aca="1" ref="BI21" ca="1">IF(TblConstr[[#This Row],[Hour]:[Hour]]&gt;12,OFFSET(TblConstr[[#This Row],[GT]],-12,0),0)+OFFSET(TblConstr[[#This Row],[Tot GT]],-1,0)-TblConstr[[#This Row],[Dest GT]]</f>
        <v>0</v>
      </c>
      <c r="BJ21" s="487" cm="1">
        <f t="array" aca="1" ref="BJ21" ca="1">IF(TblConstr[[#This Row],[Hour]:[Hour]]&gt;12,OFFSET(TblConstr[[#This Row],[Bar]],-12,0),0)+OFFSET(TblConstr[[#This Row],[Tot Bar]],-1,0)-TblConstr[[#This Row],[Dest Bar]]</f>
        <v>0</v>
      </c>
      <c r="BK21" s="487" cm="1">
        <f t="array" aca="1" ref="BK21" ca="1">IF(TblConstr[[#This Row],[Hour]:[Hour]]&gt;12,OFFSET(TblConstr[[#This Row],[Shr]],-12,0),0)+OFFSET(TblConstr[[#This Row],[Tot Shr]],-1,0)-TblConstr[[#This Row],[Dest Shr]]</f>
        <v>0</v>
      </c>
      <c r="BL21" s="491" cm="1">
        <f t="array" aca="1" ref="BL21" ca="1">IF(TblConstr[[#This Row],[Hour]:[Hour]]&gt;12,OFFSET(TblConstr[[#This Row],[Tow]],-12,0),0)+OFFSET(TblConstr[[#This Row],[Tot Tow]],-1,0)-TblConstr[[#This Row],[Dest Tow]]</f>
        <v>0</v>
      </c>
      <c r="BM21" s="491" cm="1">
        <f t="array" aca="1" ref="BM21" ca="1">IF(TblConstr[[#This Row],[Hour]:[Hour]]&gt;12,OFFSET(TblConstr[[#This Row],[Tem]],-12,0),0)+OFFSET(TblConstr[[#This Row],[Tot Tem]],-1,0)-TblConstr[[#This Row],[Dest Tem]]</f>
        <v>0</v>
      </c>
      <c r="BN21" s="491"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44343.708333333292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1">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99</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11</v>
      </c>
      <c r="DI21" s="49">
        <f t="shared" ca="1" si="0"/>
        <v>0</v>
      </c>
      <c r="DJ21" s="49">
        <f t="shared" ca="1" si="1"/>
        <v>0</v>
      </c>
    </row>
    <row r="22" spans="1:114" x14ac:dyDescent="0.2">
      <c r="A22" s="228">
        <f>TblRezone[[#This Row],[Hour]]</f>
        <v>19</v>
      </c>
      <c r="B22" s="229">
        <f ca="1">SUM(TblConstr[[#This Row],[Plain]:[Water]])</f>
        <v>159</v>
      </c>
      <c r="C22" s="230">
        <f ca="1">SUM(TblConstr[[#This Row],[Tot Hom]:[Tot Doc]])</f>
        <v>91</v>
      </c>
      <c r="D22" s="230">
        <f t="shared" si="2"/>
        <v>0</v>
      </c>
      <c r="E22" s="231"/>
      <c r="F22" s="74">
        <f ca="1">TblConstr[[#This Row],[Barren]]+TblConstr[[#This Row],[Buildings]]+TblConstr[[#This Row],[Incoming]]</f>
        <v>250</v>
      </c>
      <c r="G22" s="242">
        <f ca="1">OFFSET(TblConstr[[#This Row],[Plain]],-1,0)+TblConstr[[#This Row],[Ch_Plain]]</f>
        <v>39</v>
      </c>
      <c r="H22" s="236">
        <f ca="1">OFFSET(TblConstr[[#This Row],[Forest]],-1,0)+TblConstr[[#This Row],[Ch_Forest]]</f>
        <v>20</v>
      </c>
      <c r="I22" s="481">
        <f ca="1">OFFSET(TblConstr[[#This Row],[Mountain]],-1,0)+TblConstr[[#This Row],[Ch_Mountain]]</f>
        <v>20</v>
      </c>
      <c r="J22" s="485">
        <f ca="1">OFFSET(TblConstr[[#This Row],[Hill]],-1,0)+TblConstr[[#This Row],[Ch_Hill]]</f>
        <v>20</v>
      </c>
      <c r="K22" s="489">
        <f ca="1">OFFSET(TblConstr[[#This Row],[Swamp]],-1,0)+TblConstr[[#This Row],[Ch_Swamp]]</f>
        <v>20</v>
      </c>
      <c r="L22" s="239">
        <f ca="1">OFFSET(TblConstr[[#This Row],[Cavern]],-1,0)+TblConstr[[#This Row],[Ch_Cavern]]</f>
        <v>20</v>
      </c>
      <c r="M22" s="240">
        <f ca="1">OFFSET(TblConstr[[#This Row],[Water]],-1,0)+TblConstr[[#This Row],[Ch_Water]]</f>
        <v>20</v>
      </c>
      <c r="N22" s="479">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44343.749999999956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196331</v>
      </c>
      <c r="AL22" s="113">
        <f ca="1">TblProd[[#This Row],[Lumber]]</f>
        <v>28992</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11</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3" cm="1">
        <f t="array" aca="1" ref="BF22" ca="1">IF(TblConstr[[#This Row],[Hour]:[Hour]]&gt;12,OFFSET(TblConstr[[#This Row],[OM]],-12,0),0)+OFFSET(TblConstr[[#This Row],[Tot OM]],-1,0)-TblConstr[[#This Row],[Dest OM]]</f>
        <v>0</v>
      </c>
      <c r="BG22" s="483" cm="1">
        <f t="array" aca="1" ref="BG22" ca="1">IF(TblConstr[[#This Row],[Hour]:[Hour]]&gt;12,OFFSET(TblConstr[[#This Row],[GN]],-12,0),0)+OFFSET(TblConstr[[#This Row],[Tot GN]],-1,0)-TblConstr[[#This Row],[Dest GN]]</f>
        <v>0</v>
      </c>
      <c r="BH22" s="487" cm="1">
        <f t="array" aca="1" ref="BH22" ca="1">IF(TblConstr[[#This Row],[Hour]:[Hour]]&gt;12,OFFSET(TblConstr[[#This Row],[Fac]],-12,0),0)+OFFSET(TblConstr[[#This Row],[Tot Fac]],-1,0)-TblConstr[[#This Row],[Dest Fac]]</f>
        <v>0</v>
      </c>
      <c r="BI22" s="487" cm="1">
        <f t="array" aca="1" ref="BI22" ca="1">IF(TblConstr[[#This Row],[Hour]:[Hour]]&gt;12,OFFSET(TblConstr[[#This Row],[GT]],-12,0),0)+OFFSET(TblConstr[[#This Row],[Tot GT]],-1,0)-TblConstr[[#This Row],[Dest GT]]</f>
        <v>0</v>
      </c>
      <c r="BJ22" s="487" cm="1">
        <f t="array" aca="1" ref="BJ22" ca="1">IF(TblConstr[[#This Row],[Hour]:[Hour]]&gt;12,OFFSET(TblConstr[[#This Row],[Bar]],-12,0),0)+OFFSET(TblConstr[[#This Row],[Tot Bar]],-1,0)-TblConstr[[#This Row],[Dest Bar]]</f>
        <v>0</v>
      </c>
      <c r="BK22" s="487" cm="1">
        <f t="array" aca="1" ref="BK22" ca="1">IF(TblConstr[[#This Row],[Hour]:[Hour]]&gt;12,OFFSET(TblConstr[[#This Row],[Shr]],-12,0),0)+OFFSET(TblConstr[[#This Row],[Tot Shr]],-1,0)-TblConstr[[#This Row],[Dest Shr]]</f>
        <v>0</v>
      </c>
      <c r="BL22" s="491" cm="1">
        <f t="array" aca="1" ref="BL22" ca="1">IF(TblConstr[[#This Row],[Hour]:[Hour]]&gt;12,OFFSET(TblConstr[[#This Row],[Tow]],-12,0),0)+OFFSET(TblConstr[[#This Row],[Tot Tow]],-1,0)-TblConstr[[#This Row],[Dest Tow]]</f>
        <v>0</v>
      </c>
      <c r="BM22" s="491" cm="1">
        <f t="array" aca="1" ref="BM22" ca="1">IF(TblConstr[[#This Row],[Hour]:[Hour]]&gt;12,OFFSET(TblConstr[[#This Row],[Tem]],-12,0),0)+OFFSET(TblConstr[[#This Row],[Tot Tem]],-1,0)-TblConstr[[#This Row],[Dest Tem]]</f>
        <v>0</v>
      </c>
      <c r="BN22" s="491"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44343.749999999956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1">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99</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11</v>
      </c>
      <c r="DI22" s="49">
        <f t="shared" ca="1" si="0"/>
        <v>0</v>
      </c>
      <c r="DJ22" s="49">
        <f t="shared" ca="1" si="1"/>
        <v>0</v>
      </c>
    </row>
    <row r="23" spans="1:114" x14ac:dyDescent="0.2">
      <c r="A23" s="228">
        <f>TblRezone[[#This Row],[Hour]]</f>
        <v>20</v>
      </c>
      <c r="B23" s="229">
        <f ca="1">SUM(TblConstr[[#This Row],[Plain]:[Water]])</f>
        <v>159</v>
      </c>
      <c r="C23" s="230">
        <f ca="1">SUM(TblConstr[[#This Row],[Tot Hom]:[Tot Doc]])</f>
        <v>91</v>
      </c>
      <c r="D23" s="230">
        <f t="shared" si="2"/>
        <v>0</v>
      </c>
      <c r="E23" s="231"/>
      <c r="F23" s="74">
        <f ca="1">TblConstr[[#This Row],[Barren]]+TblConstr[[#This Row],[Buildings]]+TblConstr[[#This Row],[Incoming]]</f>
        <v>250</v>
      </c>
      <c r="G23" s="242">
        <f ca="1">OFFSET(TblConstr[[#This Row],[Plain]],-1,0)+TblConstr[[#This Row],[Ch_Plain]]</f>
        <v>39</v>
      </c>
      <c r="H23" s="236">
        <f ca="1">OFFSET(TblConstr[[#This Row],[Forest]],-1,0)+TblConstr[[#This Row],[Ch_Forest]]</f>
        <v>20</v>
      </c>
      <c r="I23" s="481">
        <f ca="1">OFFSET(TblConstr[[#This Row],[Mountain]],-1,0)+TblConstr[[#This Row],[Ch_Mountain]]</f>
        <v>20</v>
      </c>
      <c r="J23" s="485">
        <f ca="1">OFFSET(TblConstr[[#This Row],[Hill]],-1,0)+TblConstr[[#This Row],[Ch_Hill]]</f>
        <v>20</v>
      </c>
      <c r="K23" s="489">
        <f ca="1">OFFSET(TblConstr[[#This Row],[Swamp]],-1,0)+TblConstr[[#This Row],[Ch_Swamp]]</f>
        <v>20</v>
      </c>
      <c r="L23" s="239">
        <f ca="1">OFFSET(TblConstr[[#This Row],[Cavern]],-1,0)+TblConstr[[#This Row],[Ch_Cavern]]</f>
        <v>20</v>
      </c>
      <c r="M23" s="240">
        <f ca="1">OFFSET(TblConstr[[#This Row],[Water]],-1,0)+TblConstr[[#This Row],[Ch_Water]]</f>
        <v>20</v>
      </c>
      <c r="N23" s="479">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44343.791666666621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202001</v>
      </c>
      <c r="AL23" s="113">
        <f ca="1">TblProd[[#This Row],[Lumber]]</f>
        <v>29702</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11</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3" cm="1">
        <f t="array" aca="1" ref="BF23" ca="1">IF(TblConstr[[#This Row],[Hour]:[Hour]]&gt;12,OFFSET(TblConstr[[#This Row],[OM]],-12,0),0)+OFFSET(TblConstr[[#This Row],[Tot OM]],-1,0)-TblConstr[[#This Row],[Dest OM]]</f>
        <v>0</v>
      </c>
      <c r="BG23" s="483" cm="1">
        <f t="array" aca="1" ref="BG23" ca="1">IF(TblConstr[[#This Row],[Hour]:[Hour]]&gt;12,OFFSET(TblConstr[[#This Row],[GN]],-12,0),0)+OFFSET(TblConstr[[#This Row],[Tot GN]],-1,0)-TblConstr[[#This Row],[Dest GN]]</f>
        <v>0</v>
      </c>
      <c r="BH23" s="487" cm="1">
        <f t="array" aca="1" ref="BH23" ca="1">IF(TblConstr[[#This Row],[Hour]:[Hour]]&gt;12,OFFSET(TblConstr[[#This Row],[Fac]],-12,0),0)+OFFSET(TblConstr[[#This Row],[Tot Fac]],-1,0)-TblConstr[[#This Row],[Dest Fac]]</f>
        <v>0</v>
      </c>
      <c r="BI23" s="487" cm="1">
        <f t="array" aca="1" ref="BI23" ca="1">IF(TblConstr[[#This Row],[Hour]:[Hour]]&gt;12,OFFSET(TblConstr[[#This Row],[GT]],-12,0),0)+OFFSET(TblConstr[[#This Row],[Tot GT]],-1,0)-TblConstr[[#This Row],[Dest GT]]</f>
        <v>0</v>
      </c>
      <c r="BJ23" s="487" cm="1">
        <f t="array" aca="1" ref="BJ23" ca="1">IF(TblConstr[[#This Row],[Hour]:[Hour]]&gt;12,OFFSET(TblConstr[[#This Row],[Bar]],-12,0),0)+OFFSET(TblConstr[[#This Row],[Tot Bar]],-1,0)-TblConstr[[#This Row],[Dest Bar]]</f>
        <v>0</v>
      </c>
      <c r="BK23" s="487" cm="1">
        <f t="array" aca="1" ref="BK23" ca="1">IF(TblConstr[[#This Row],[Hour]:[Hour]]&gt;12,OFFSET(TblConstr[[#This Row],[Shr]],-12,0),0)+OFFSET(TblConstr[[#This Row],[Tot Shr]],-1,0)-TblConstr[[#This Row],[Dest Shr]]</f>
        <v>0</v>
      </c>
      <c r="BL23" s="491" cm="1">
        <f t="array" aca="1" ref="BL23" ca="1">IF(TblConstr[[#This Row],[Hour]:[Hour]]&gt;12,OFFSET(TblConstr[[#This Row],[Tow]],-12,0),0)+OFFSET(TblConstr[[#This Row],[Tot Tow]],-1,0)-TblConstr[[#This Row],[Dest Tow]]</f>
        <v>0</v>
      </c>
      <c r="BM23" s="491" cm="1">
        <f t="array" aca="1" ref="BM23" ca="1">IF(TblConstr[[#This Row],[Hour]:[Hour]]&gt;12,OFFSET(TblConstr[[#This Row],[Tem]],-12,0),0)+OFFSET(TblConstr[[#This Row],[Tot Tem]],-1,0)-TblConstr[[#This Row],[Dest Tem]]</f>
        <v>0</v>
      </c>
      <c r="BN23" s="491"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44343.791666666621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1">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99</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11</v>
      </c>
      <c r="DI23" s="49">
        <f t="shared" ca="1" si="0"/>
        <v>0</v>
      </c>
      <c r="DJ23" s="49">
        <f t="shared" ca="1" si="1"/>
        <v>0</v>
      </c>
    </row>
    <row r="24" spans="1:114" x14ac:dyDescent="0.2">
      <c r="A24" s="228">
        <f>TblRezone[[#This Row],[Hour]]</f>
        <v>21</v>
      </c>
      <c r="B24" s="229">
        <f ca="1">SUM(TblConstr[[#This Row],[Plain]:[Water]])</f>
        <v>159</v>
      </c>
      <c r="C24" s="230">
        <f ca="1">SUM(TblConstr[[#This Row],[Tot Hom]:[Tot Doc]])</f>
        <v>91</v>
      </c>
      <c r="D24" s="230">
        <f t="shared" si="2"/>
        <v>0</v>
      </c>
      <c r="E24" s="231"/>
      <c r="F24" s="74">
        <f ca="1">TblConstr[[#This Row],[Barren]]+TblConstr[[#This Row],[Buildings]]+TblConstr[[#This Row],[Incoming]]</f>
        <v>250</v>
      </c>
      <c r="G24" s="242">
        <f ca="1">OFFSET(TblConstr[[#This Row],[Plain]],-1,0)+TblConstr[[#This Row],[Ch_Plain]]</f>
        <v>39</v>
      </c>
      <c r="H24" s="236">
        <f ca="1">OFFSET(TblConstr[[#This Row],[Forest]],-1,0)+TblConstr[[#This Row],[Ch_Forest]]</f>
        <v>20</v>
      </c>
      <c r="I24" s="481">
        <f ca="1">OFFSET(TblConstr[[#This Row],[Mountain]],-1,0)+TblConstr[[#This Row],[Ch_Mountain]]</f>
        <v>20</v>
      </c>
      <c r="J24" s="485">
        <f ca="1">OFFSET(TblConstr[[#This Row],[Hill]],-1,0)+TblConstr[[#This Row],[Ch_Hill]]</f>
        <v>20</v>
      </c>
      <c r="K24" s="489">
        <f ca="1">OFFSET(TblConstr[[#This Row],[Swamp]],-1,0)+TblConstr[[#This Row],[Ch_Swamp]]</f>
        <v>20</v>
      </c>
      <c r="L24" s="239">
        <f ca="1">OFFSET(TblConstr[[#This Row],[Cavern]],-1,0)+TblConstr[[#This Row],[Ch_Cavern]]</f>
        <v>20</v>
      </c>
      <c r="M24" s="240">
        <f ca="1">OFFSET(TblConstr[[#This Row],[Water]],-1,0)+TblConstr[[#This Row],[Ch_Water]]</f>
        <v>20</v>
      </c>
      <c r="N24" s="479">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44343.833333333285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207671</v>
      </c>
      <c r="AL24" s="113">
        <f ca="1">TblProd[[#This Row],[Lumber]]</f>
        <v>30405</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11</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3" cm="1">
        <f t="array" aca="1" ref="BF24" ca="1">IF(TblConstr[[#This Row],[Hour]:[Hour]]&gt;12,OFFSET(TblConstr[[#This Row],[OM]],-12,0),0)+OFFSET(TblConstr[[#This Row],[Tot OM]],-1,0)-TblConstr[[#This Row],[Dest OM]]</f>
        <v>0</v>
      </c>
      <c r="BG24" s="483" cm="1">
        <f t="array" aca="1" ref="BG24" ca="1">IF(TblConstr[[#This Row],[Hour]:[Hour]]&gt;12,OFFSET(TblConstr[[#This Row],[GN]],-12,0),0)+OFFSET(TblConstr[[#This Row],[Tot GN]],-1,0)-TblConstr[[#This Row],[Dest GN]]</f>
        <v>0</v>
      </c>
      <c r="BH24" s="487" cm="1">
        <f t="array" aca="1" ref="BH24" ca="1">IF(TblConstr[[#This Row],[Hour]:[Hour]]&gt;12,OFFSET(TblConstr[[#This Row],[Fac]],-12,0),0)+OFFSET(TblConstr[[#This Row],[Tot Fac]],-1,0)-TblConstr[[#This Row],[Dest Fac]]</f>
        <v>0</v>
      </c>
      <c r="BI24" s="487" cm="1">
        <f t="array" aca="1" ref="BI24" ca="1">IF(TblConstr[[#This Row],[Hour]:[Hour]]&gt;12,OFFSET(TblConstr[[#This Row],[GT]],-12,0),0)+OFFSET(TblConstr[[#This Row],[Tot GT]],-1,0)-TblConstr[[#This Row],[Dest GT]]</f>
        <v>0</v>
      </c>
      <c r="BJ24" s="487" cm="1">
        <f t="array" aca="1" ref="BJ24" ca="1">IF(TblConstr[[#This Row],[Hour]:[Hour]]&gt;12,OFFSET(TblConstr[[#This Row],[Bar]],-12,0),0)+OFFSET(TblConstr[[#This Row],[Tot Bar]],-1,0)-TblConstr[[#This Row],[Dest Bar]]</f>
        <v>0</v>
      </c>
      <c r="BK24" s="487" cm="1">
        <f t="array" aca="1" ref="BK24" ca="1">IF(TblConstr[[#This Row],[Hour]:[Hour]]&gt;12,OFFSET(TblConstr[[#This Row],[Shr]],-12,0),0)+OFFSET(TblConstr[[#This Row],[Tot Shr]],-1,0)-TblConstr[[#This Row],[Dest Shr]]</f>
        <v>0</v>
      </c>
      <c r="BL24" s="491" cm="1">
        <f t="array" aca="1" ref="BL24" ca="1">IF(TblConstr[[#This Row],[Hour]:[Hour]]&gt;12,OFFSET(TblConstr[[#This Row],[Tow]],-12,0),0)+OFFSET(TblConstr[[#This Row],[Tot Tow]],-1,0)-TblConstr[[#This Row],[Dest Tow]]</f>
        <v>0</v>
      </c>
      <c r="BM24" s="491" cm="1">
        <f t="array" aca="1" ref="BM24" ca="1">IF(TblConstr[[#This Row],[Hour]:[Hour]]&gt;12,OFFSET(TblConstr[[#This Row],[Tem]],-12,0),0)+OFFSET(TblConstr[[#This Row],[Tot Tem]],-1,0)-TblConstr[[#This Row],[Dest Tem]]</f>
        <v>0</v>
      </c>
      <c r="BN24" s="491"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44343.833333333285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1">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99</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11</v>
      </c>
      <c r="DI24" s="49">
        <f t="shared" ca="1" si="0"/>
        <v>0</v>
      </c>
      <c r="DJ24" s="49">
        <f t="shared" ca="1" si="1"/>
        <v>0</v>
      </c>
    </row>
    <row r="25" spans="1:114" x14ac:dyDescent="0.2">
      <c r="A25" s="228">
        <f>TblRezone[[#This Row],[Hour]]</f>
        <v>22</v>
      </c>
      <c r="B25" s="229">
        <f ca="1">SUM(TblConstr[[#This Row],[Plain]:[Water]])</f>
        <v>159</v>
      </c>
      <c r="C25" s="230">
        <f ca="1">SUM(TblConstr[[#This Row],[Tot Hom]:[Tot Doc]])</f>
        <v>91</v>
      </c>
      <c r="D25" s="230">
        <f t="shared" si="2"/>
        <v>0</v>
      </c>
      <c r="E25" s="231"/>
      <c r="F25" s="74">
        <f ca="1">TblConstr[[#This Row],[Barren]]+TblConstr[[#This Row],[Buildings]]+TblConstr[[#This Row],[Incoming]]</f>
        <v>250</v>
      </c>
      <c r="G25" s="242">
        <f ca="1">OFFSET(TblConstr[[#This Row],[Plain]],-1,0)+TblConstr[[#This Row],[Ch_Plain]]</f>
        <v>39</v>
      </c>
      <c r="H25" s="236">
        <f ca="1">OFFSET(TblConstr[[#This Row],[Forest]],-1,0)+TblConstr[[#This Row],[Ch_Forest]]</f>
        <v>20</v>
      </c>
      <c r="I25" s="481">
        <f ca="1">OFFSET(TblConstr[[#This Row],[Mountain]],-1,0)+TblConstr[[#This Row],[Ch_Mountain]]</f>
        <v>20</v>
      </c>
      <c r="J25" s="485">
        <f ca="1">OFFSET(TblConstr[[#This Row],[Hill]],-1,0)+TblConstr[[#This Row],[Ch_Hill]]</f>
        <v>20</v>
      </c>
      <c r="K25" s="489">
        <f ca="1">OFFSET(TblConstr[[#This Row],[Swamp]],-1,0)+TblConstr[[#This Row],[Ch_Swamp]]</f>
        <v>20</v>
      </c>
      <c r="L25" s="239">
        <f ca="1">OFFSET(TblConstr[[#This Row],[Cavern]],-1,0)+TblConstr[[#This Row],[Ch_Cavern]]</f>
        <v>20</v>
      </c>
      <c r="M25" s="240">
        <f ca="1">OFFSET(TblConstr[[#This Row],[Water]],-1,0)+TblConstr[[#This Row],[Ch_Water]]</f>
        <v>20</v>
      </c>
      <c r="N25" s="479">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44343.874999999949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213341</v>
      </c>
      <c r="AL25" s="113">
        <f ca="1">TblProd[[#This Row],[Lumber]]</f>
        <v>31101</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11</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3" cm="1">
        <f t="array" aca="1" ref="BF25" ca="1">IF(TblConstr[[#This Row],[Hour]:[Hour]]&gt;12,OFFSET(TblConstr[[#This Row],[OM]],-12,0),0)+OFFSET(TblConstr[[#This Row],[Tot OM]],-1,0)-TblConstr[[#This Row],[Dest OM]]</f>
        <v>0</v>
      </c>
      <c r="BG25" s="483" cm="1">
        <f t="array" aca="1" ref="BG25" ca="1">IF(TblConstr[[#This Row],[Hour]:[Hour]]&gt;12,OFFSET(TblConstr[[#This Row],[GN]],-12,0),0)+OFFSET(TblConstr[[#This Row],[Tot GN]],-1,0)-TblConstr[[#This Row],[Dest GN]]</f>
        <v>0</v>
      </c>
      <c r="BH25" s="487" cm="1">
        <f t="array" aca="1" ref="BH25" ca="1">IF(TblConstr[[#This Row],[Hour]:[Hour]]&gt;12,OFFSET(TblConstr[[#This Row],[Fac]],-12,0),0)+OFFSET(TblConstr[[#This Row],[Tot Fac]],-1,0)-TblConstr[[#This Row],[Dest Fac]]</f>
        <v>0</v>
      </c>
      <c r="BI25" s="487" cm="1">
        <f t="array" aca="1" ref="BI25" ca="1">IF(TblConstr[[#This Row],[Hour]:[Hour]]&gt;12,OFFSET(TblConstr[[#This Row],[GT]],-12,0),0)+OFFSET(TblConstr[[#This Row],[Tot GT]],-1,0)-TblConstr[[#This Row],[Dest GT]]</f>
        <v>0</v>
      </c>
      <c r="BJ25" s="487" cm="1">
        <f t="array" aca="1" ref="BJ25" ca="1">IF(TblConstr[[#This Row],[Hour]:[Hour]]&gt;12,OFFSET(TblConstr[[#This Row],[Bar]],-12,0),0)+OFFSET(TblConstr[[#This Row],[Tot Bar]],-1,0)-TblConstr[[#This Row],[Dest Bar]]</f>
        <v>0</v>
      </c>
      <c r="BK25" s="487" cm="1">
        <f t="array" aca="1" ref="BK25" ca="1">IF(TblConstr[[#This Row],[Hour]:[Hour]]&gt;12,OFFSET(TblConstr[[#This Row],[Shr]],-12,0),0)+OFFSET(TblConstr[[#This Row],[Tot Shr]],-1,0)-TblConstr[[#This Row],[Dest Shr]]</f>
        <v>0</v>
      </c>
      <c r="BL25" s="491" cm="1">
        <f t="array" aca="1" ref="BL25" ca="1">IF(TblConstr[[#This Row],[Hour]:[Hour]]&gt;12,OFFSET(TblConstr[[#This Row],[Tow]],-12,0),0)+OFFSET(TblConstr[[#This Row],[Tot Tow]],-1,0)-TblConstr[[#This Row],[Dest Tow]]</f>
        <v>0</v>
      </c>
      <c r="BM25" s="491" cm="1">
        <f t="array" aca="1" ref="BM25" ca="1">IF(TblConstr[[#This Row],[Hour]:[Hour]]&gt;12,OFFSET(TblConstr[[#This Row],[Tem]],-12,0),0)+OFFSET(TblConstr[[#This Row],[Tot Tem]],-1,0)-TblConstr[[#This Row],[Dest Tem]]</f>
        <v>0</v>
      </c>
      <c r="BN25" s="491"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44343.874999999949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1">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99</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11</v>
      </c>
      <c r="DI25" s="49">
        <f t="shared" ca="1" si="0"/>
        <v>0</v>
      </c>
      <c r="DJ25" s="49">
        <f t="shared" ca="1" si="1"/>
        <v>0</v>
      </c>
    </row>
    <row r="26" spans="1:114" x14ac:dyDescent="0.2">
      <c r="A26" s="228">
        <f>TblRezone[[#This Row],[Hour]]</f>
        <v>23</v>
      </c>
      <c r="B26" s="229">
        <f ca="1">SUM(TblConstr[[#This Row],[Plain]:[Water]])</f>
        <v>159</v>
      </c>
      <c r="C26" s="230">
        <f ca="1">SUM(TblConstr[[#This Row],[Tot Hom]:[Tot Doc]])</f>
        <v>91</v>
      </c>
      <c r="D26" s="230">
        <f>SUM(O15:AG26)</f>
        <v>0</v>
      </c>
      <c r="E26" s="231"/>
      <c r="F26" s="74">
        <f ca="1">TblConstr[[#This Row],[Barren]]+TblConstr[[#This Row],[Buildings]]+TblConstr[[#This Row],[Incoming]]</f>
        <v>250</v>
      </c>
      <c r="G26" s="242">
        <f ca="1">OFFSET(TblConstr[[#This Row],[Plain]],-1,0)+TblConstr[[#This Row],[Ch_Plain]]</f>
        <v>39</v>
      </c>
      <c r="H26" s="236">
        <f ca="1">OFFSET(TblConstr[[#This Row],[Forest]],-1,0)+TblConstr[[#This Row],[Ch_Forest]]</f>
        <v>20</v>
      </c>
      <c r="I26" s="481">
        <f ca="1">OFFSET(TblConstr[[#This Row],[Mountain]],-1,0)+TblConstr[[#This Row],[Ch_Mountain]]</f>
        <v>20</v>
      </c>
      <c r="J26" s="485">
        <f ca="1">OFFSET(TblConstr[[#This Row],[Hill]],-1,0)+TblConstr[[#This Row],[Ch_Hill]]</f>
        <v>20</v>
      </c>
      <c r="K26" s="489">
        <f ca="1">OFFSET(TblConstr[[#This Row],[Swamp]],-1,0)+TblConstr[[#This Row],[Ch_Swamp]]</f>
        <v>20</v>
      </c>
      <c r="L26" s="239">
        <f ca="1">OFFSET(TblConstr[[#This Row],[Cavern]],-1,0)+TblConstr[[#This Row],[Ch_Cavern]]</f>
        <v>20</v>
      </c>
      <c r="M26" s="240">
        <f ca="1">OFFSET(TblConstr[[#This Row],[Water]],-1,0)+TblConstr[[#This Row],[Ch_Water]]</f>
        <v>20</v>
      </c>
      <c r="N26" s="479">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44343.916666666613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219011</v>
      </c>
      <c r="AL26" s="113">
        <f ca="1">TblProd[[#This Row],[Lumber]]</f>
        <v>31790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11</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3" cm="1">
        <f t="array" aca="1" ref="BF26" ca="1">IF(TblConstr[[#This Row],[Hour]:[Hour]]&gt;12,OFFSET(TblConstr[[#This Row],[OM]],-12,0),0)+OFFSET(TblConstr[[#This Row],[Tot OM]],-1,0)-TblConstr[[#This Row],[Dest OM]]</f>
        <v>0</v>
      </c>
      <c r="BG26" s="483" cm="1">
        <f t="array" aca="1" ref="BG26" ca="1">IF(TblConstr[[#This Row],[Hour]:[Hour]]&gt;12,OFFSET(TblConstr[[#This Row],[GN]],-12,0),0)+OFFSET(TblConstr[[#This Row],[Tot GN]],-1,0)-TblConstr[[#This Row],[Dest GN]]</f>
        <v>0</v>
      </c>
      <c r="BH26" s="487" cm="1">
        <f t="array" aca="1" ref="BH26" ca="1">IF(TblConstr[[#This Row],[Hour]:[Hour]]&gt;12,OFFSET(TblConstr[[#This Row],[Fac]],-12,0),0)+OFFSET(TblConstr[[#This Row],[Tot Fac]],-1,0)-TblConstr[[#This Row],[Dest Fac]]</f>
        <v>0</v>
      </c>
      <c r="BI26" s="487" cm="1">
        <f t="array" aca="1" ref="BI26" ca="1">IF(TblConstr[[#This Row],[Hour]:[Hour]]&gt;12,OFFSET(TblConstr[[#This Row],[GT]],-12,0),0)+OFFSET(TblConstr[[#This Row],[Tot GT]],-1,0)-TblConstr[[#This Row],[Dest GT]]</f>
        <v>0</v>
      </c>
      <c r="BJ26" s="487" cm="1">
        <f t="array" aca="1" ref="BJ26" ca="1">IF(TblConstr[[#This Row],[Hour]:[Hour]]&gt;12,OFFSET(TblConstr[[#This Row],[Bar]],-12,0),0)+OFFSET(TblConstr[[#This Row],[Tot Bar]],-1,0)-TblConstr[[#This Row],[Dest Bar]]</f>
        <v>0</v>
      </c>
      <c r="BK26" s="487" cm="1">
        <f t="array" aca="1" ref="BK26" ca="1">IF(TblConstr[[#This Row],[Hour]:[Hour]]&gt;12,OFFSET(TblConstr[[#This Row],[Shr]],-12,0),0)+OFFSET(TblConstr[[#This Row],[Tot Shr]],-1,0)-TblConstr[[#This Row],[Dest Shr]]</f>
        <v>0</v>
      </c>
      <c r="BL26" s="491" cm="1">
        <f t="array" aca="1" ref="BL26" ca="1">IF(TblConstr[[#This Row],[Hour]:[Hour]]&gt;12,OFFSET(TblConstr[[#This Row],[Tow]],-12,0),0)+OFFSET(TblConstr[[#This Row],[Tot Tow]],-1,0)-TblConstr[[#This Row],[Dest Tow]]</f>
        <v>0</v>
      </c>
      <c r="BM26" s="491" cm="1">
        <f t="array" aca="1" ref="BM26" ca="1">IF(TblConstr[[#This Row],[Hour]:[Hour]]&gt;12,OFFSET(TblConstr[[#This Row],[Tem]],-12,0),0)+OFFSET(TblConstr[[#This Row],[Tot Tem]],-1,0)-TblConstr[[#This Row],[Dest Tem]]</f>
        <v>0</v>
      </c>
      <c r="BN26" s="491"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44343.916666666613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1">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99</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11</v>
      </c>
      <c r="DI26" s="49">
        <f t="shared" ca="1" si="0"/>
        <v>0</v>
      </c>
      <c r="DJ26" s="49">
        <f t="shared" ca="1" si="1"/>
        <v>0</v>
      </c>
    </row>
    <row r="27" spans="1:114" x14ac:dyDescent="0.2">
      <c r="A27" s="228">
        <f>TblRezone[[#This Row],[Hour]]</f>
        <v>24</v>
      </c>
      <c r="B27" s="229">
        <f ca="1">SUM(TblConstr[[#This Row],[Plain]:[Water]])</f>
        <v>159</v>
      </c>
      <c r="C27" s="230">
        <f ca="1">SUM(TblConstr[[#This Row],[Tot Hom]:[Tot Doc]])</f>
        <v>91</v>
      </c>
      <c r="D27" s="230">
        <f t="shared" si="2"/>
        <v>0</v>
      </c>
      <c r="E27" s="231"/>
      <c r="F27" s="74">
        <f ca="1">TblConstr[[#This Row],[Barren]]+TblConstr[[#This Row],[Buildings]]+TblConstr[[#This Row],[Incoming]]</f>
        <v>250</v>
      </c>
      <c r="G27" s="242">
        <f ca="1">OFFSET(TblConstr[[#This Row],[Plain]],-1,0)+TblConstr[[#This Row],[Ch_Plain]]</f>
        <v>39</v>
      </c>
      <c r="H27" s="236">
        <f ca="1">OFFSET(TblConstr[[#This Row],[Forest]],-1,0)+TblConstr[[#This Row],[Ch_Forest]]</f>
        <v>20</v>
      </c>
      <c r="I27" s="481">
        <f ca="1">OFFSET(TblConstr[[#This Row],[Mountain]],-1,0)+TblConstr[[#This Row],[Ch_Mountain]]</f>
        <v>20</v>
      </c>
      <c r="J27" s="485">
        <f ca="1">OFFSET(TblConstr[[#This Row],[Hill]],-1,0)+TblConstr[[#This Row],[Ch_Hill]]</f>
        <v>20</v>
      </c>
      <c r="K27" s="489">
        <f ca="1">OFFSET(TblConstr[[#This Row],[Swamp]],-1,0)+TblConstr[[#This Row],[Ch_Swamp]]</f>
        <v>20</v>
      </c>
      <c r="L27" s="239">
        <f ca="1">OFFSET(TblConstr[[#This Row],[Cavern]],-1,0)+TblConstr[[#This Row],[Ch_Cavern]]</f>
        <v>20</v>
      </c>
      <c r="M27" s="240">
        <f ca="1">OFFSET(TblConstr[[#This Row],[Water]],-1,0)+TblConstr[[#This Row],[Ch_Water]]</f>
        <v>20</v>
      </c>
      <c r="N27" s="479">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44343.958333333278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224681</v>
      </c>
      <c r="AL27" s="113">
        <f ca="1">TblProd[[#This Row],[Lumber]]</f>
        <v>32472</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11</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3" cm="1">
        <f t="array" aca="1" ref="BF27" ca="1">IF(TblConstr[[#This Row],[Hour]:[Hour]]&gt;12,OFFSET(TblConstr[[#This Row],[OM]],-12,0),0)+OFFSET(TblConstr[[#This Row],[Tot OM]],-1,0)-TblConstr[[#This Row],[Dest OM]]</f>
        <v>0</v>
      </c>
      <c r="BG27" s="483" cm="1">
        <f t="array" aca="1" ref="BG27" ca="1">IF(TblConstr[[#This Row],[Hour]:[Hour]]&gt;12,OFFSET(TblConstr[[#This Row],[GN]],-12,0),0)+OFFSET(TblConstr[[#This Row],[Tot GN]],-1,0)-TblConstr[[#This Row],[Dest GN]]</f>
        <v>0</v>
      </c>
      <c r="BH27" s="487" cm="1">
        <f t="array" aca="1" ref="BH27" ca="1">IF(TblConstr[[#This Row],[Hour]:[Hour]]&gt;12,OFFSET(TblConstr[[#This Row],[Fac]],-12,0),0)+OFFSET(TblConstr[[#This Row],[Tot Fac]],-1,0)-TblConstr[[#This Row],[Dest Fac]]</f>
        <v>0</v>
      </c>
      <c r="BI27" s="487" cm="1">
        <f t="array" aca="1" ref="BI27" ca="1">IF(TblConstr[[#This Row],[Hour]:[Hour]]&gt;12,OFFSET(TblConstr[[#This Row],[GT]],-12,0),0)+OFFSET(TblConstr[[#This Row],[Tot GT]],-1,0)-TblConstr[[#This Row],[Dest GT]]</f>
        <v>0</v>
      </c>
      <c r="BJ27" s="487" cm="1">
        <f t="array" aca="1" ref="BJ27" ca="1">IF(TblConstr[[#This Row],[Hour]:[Hour]]&gt;12,OFFSET(TblConstr[[#This Row],[Bar]],-12,0),0)+OFFSET(TblConstr[[#This Row],[Tot Bar]],-1,0)-TblConstr[[#This Row],[Dest Bar]]</f>
        <v>0</v>
      </c>
      <c r="BK27" s="487" cm="1">
        <f t="array" aca="1" ref="BK27" ca="1">IF(TblConstr[[#This Row],[Hour]:[Hour]]&gt;12,OFFSET(TblConstr[[#This Row],[Shr]],-12,0),0)+OFFSET(TblConstr[[#This Row],[Tot Shr]],-1,0)-TblConstr[[#This Row],[Dest Shr]]</f>
        <v>0</v>
      </c>
      <c r="BL27" s="491" cm="1">
        <f t="array" aca="1" ref="BL27" ca="1">IF(TblConstr[[#This Row],[Hour]:[Hour]]&gt;12,OFFSET(TblConstr[[#This Row],[Tow]],-12,0),0)+OFFSET(TblConstr[[#This Row],[Tot Tow]],-1,0)-TblConstr[[#This Row],[Dest Tow]]</f>
        <v>0</v>
      </c>
      <c r="BM27" s="491" cm="1">
        <f t="array" aca="1" ref="BM27" ca="1">IF(TblConstr[[#This Row],[Hour]:[Hour]]&gt;12,OFFSET(TblConstr[[#This Row],[Tem]],-12,0),0)+OFFSET(TblConstr[[#This Row],[Tot Tem]],-1,0)-TblConstr[[#This Row],[Dest Tem]]</f>
        <v>0</v>
      </c>
      <c r="BN27" s="491"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44343.958333333278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1">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99</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11</v>
      </c>
      <c r="DI27" s="49">
        <f t="shared" ca="1" si="0"/>
        <v>0</v>
      </c>
      <c r="DJ27" s="49">
        <f t="shared" ca="1" si="1"/>
        <v>0</v>
      </c>
    </row>
    <row r="28" spans="1:114" x14ac:dyDescent="0.2">
      <c r="A28" s="228">
        <f>TblRezone[[#This Row],[Hour]]</f>
        <v>25</v>
      </c>
      <c r="B28" s="229">
        <f ca="1">SUM(TblConstr[[#This Row],[Plain]:[Water]])</f>
        <v>159</v>
      </c>
      <c r="C28" s="230">
        <f ca="1">SUM(TblConstr[[#This Row],[Tot Hom]:[Tot Doc]])</f>
        <v>91</v>
      </c>
      <c r="D28" s="230">
        <f t="shared" si="2"/>
        <v>0</v>
      </c>
      <c r="E28" s="231"/>
      <c r="F28" s="74">
        <f ca="1">TblConstr[[#This Row],[Barren]]+TblConstr[[#This Row],[Buildings]]+TblConstr[[#This Row],[Incoming]]</f>
        <v>250</v>
      </c>
      <c r="G28" s="242">
        <f ca="1">OFFSET(TblConstr[[#This Row],[Plain]],-1,0)+TblConstr[[#This Row],[Ch_Plain]]</f>
        <v>39</v>
      </c>
      <c r="H28" s="236">
        <f ca="1">OFFSET(TblConstr[[#This Row],[Forest]],-1,0)+TblConstr[[#This Row],[Ch_Forest]]</f>
        <v>20</v>
      </c>
      <c r="I28" s="481">
        <f ca="1">OFFSET(TblConstr[[#This Row],[Mountain]],-1,0)+TblConstr[[#This Row],[Ch_Mountain]]</f>
        <v>20</v>
      </c>
      <c r="J28" s="485">
        <f ca="1">OFFSET(TblConstr[[#This Row],[Hill]],-1,0)+TblConstr[[#This Row],[Ch_Hill]]</f>
        <v>20</v>
      </c>
      <c r="K28" s="489">
        <f ca="1">OFFSET(TblConstr[[#This Row],[Swamp]],-1,0)+TblConstr[[#This Row],[Ch_Swamp]]</f>
        <v>20</v>
      </c>
      <c r="L28" s="239">
        <f ca="1">OFFSET(TblConstr[[#This Row],[Cavern]],-1,0)+TblConstr[[#This Row],[Ch_Cavern]]</f>
        <v>20</v>
      </c>
      <c r="M28" s="240">
        <f ca="1">OFFSET(TblConstr[[#This Row],[Water]],-1,0)+TblConstr[[#This Row],[Ch_Water]]</f>
        <v>20</v>
      </c>
      <c r="N28" s="479">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44343.999999999942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230351</v>
      </c>
      <c r="AL28" s="113">
        <f ca="1">TblProd[[#This Row],[Lumber]]</f>
        <v>33147</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11</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3" cm="1">
        <f t="array" aca="1" ref="BF28" ca="1">IF(TblConstr[[#This Row],[Hour]:[Hour]]&gt;12,OFFSET(TblConstr[[#This Row],[OM]],-12,0),0)+OFFSET(TblConstr[[#This Row],[Tot OM]],-1,0)-TblConstr[[#This Row],[Dest OM]]</f>
        <v>0</v>
      </c>
      <c r="BG28" s="483" cm="1">
        <f t="array" aca="1" ref="BG28" ca="1">IF(TblConstr[[#This Row],[Hour]:[Hour]]&gt;12,OFFSET(TblConstr[[#This Row],[GN]],-12,0),0)+OFFSET(TblConstr[[#This Row],[Tot GN]],-1,0)-TblConstr[[#This Row],[Dest GN]]</f>
        <v>0</v>
      </c>
      <c r="BH28" s="487" cm="1">
        <f t="array" aca="1" ref="BH28" ca="1">IF(TblConstr[[#This Row],[Hour]:[Hour]]&gt;12,OFFSET(TblConstr[[#This Row],[Fac]],-12,0),0)+OFFSET(TblConstr[[#This Row],[Tot Fac]],-1,0)-TblConstr[[#This Row],[Dest Fac]]</f>
        <v>0</v>
      </c>
      <c r="BI28" s="487" cm="1">
        <f t="array" aca="1" ref="BI28" ca="1">IF(TblConstr[[#This Row],[Hour]:[Hour]]&gt;12,OFFSET(TblConstr[[#This Row],[GT]],-12,0),0)+OFFSET(TblConstr[[#This Row],[Tot GT]],-1,0)-TblConstr[[#This Row],[Dest GT]]</f>
        <v>0</v>
      </c>
      <c r="BJ28" s="487" cm="1">
        <f t="array" aca="1" ref="BJ28" ca="1">IF(TblConstr[[#This Row],[Hour]:[Hour]]&gt;12,OFFSET(TblConstr[[#This Row],[Bar]],-12,0),0)+OFFSET(TblConstr[[#This Row],[Tot Bar]],-1,0)-TblConstr[[#This Row],[Dest Bar]]</f>
        <v>0</v>
      </c>
      <c r="BK28" s="487" cm="1">
        <f t="array" aca="1" ref="BK28" ca="1">IF(TblConstr[[#This Row],[Hour]:[Hour]]&gt;12,OFFSET(TblConstr[[#This Row],[Shr]],-12,0),0)+OFFSET(TblConstr[[#This Row],[Tot Shr]],-1,0)-TblConstr[[#This Row],[Dest Shr]]</f>
        <v>0</v>
      </c>
      <c r="BL28" s="491" cm="1">
        <f t="array" aca="1" ref="BL28" ca="1">IF(TblConstr[[#This Row],[Hour]:[Hour]]&gt;12,OFFSET(TblConstr[[#This Row],[Tow]],-12,0),0)+OFFSET(TblConstr[[#This Row],[Tot Tow]],-1,0)-TblConstr[[#This Row],[Dest Tow]]</f>
        <v>0</v>
      </c>
      <c r="BM28" s="491" cm="1">
        <f t="array" aca="1" ref="BM28" ca="1">IF(TblConstr[[#This Row],[Hour]:[Hour]]&gt;12,OFFSET(TblConstr[[#This Row],[Tem]],-12,0),0)+OFFSET(TblConstr[[#This Row],[Tot Tem]],-1,0)-TblConstr[[#This Row],[Dest Tem]]</f>
        <v>0</v>
      </c>
      <c r="BN28" s="491"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44343.999999999942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1">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99</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11</v>
      </c>
      <c r="DI28" s="49">
        <f t="shared" ca="1" si="0"/>
        <v>0</v>
      </c>
      <c r="DJ28" s="49">
        <f t="shared" ca="1" si="1"/>
        <v>0</v>
      </c>
    </row>
    <row r="29" spans="1:114" x14ac:dyDescent="0.2">
      <c r="A29" s="228">
        <f>TblRezone[[#This Row],[Hour]]</f>
        <v>26</v>
      </c>
      <c r="B29" s="229">
        <f ca="1">SUM(TblConstr[[#This Row],[Plain]:[Water]])</f>
        <v>159</v>
      </c>
      <c r="C29" s="230">
        <f ca="1">SUM(TblConstr[[#This Row],[Tot Hom]:[Tot Doc]])</f>
        <v>91</v>
      </c>
      <c r="D29" s="230">
        <f t="shared" si="2"/>
        <v>0</v>
      </c>
      <c r="E29" s="231"/>
      <c r="F29" s="74">
        <f ca="1">TblConstr[[#This Row],[Barren]]+TblConstr[[#This Row],[Buildings]]+TblConstr[[#This Row],[Incoming]]</f>
        <v>250</v>
      </c>
      <c r="G29" s="242">
        <f ca="1">OFFSET(TblConstr[[#This Row],[Plain]],-1,0)+TblConstr[[#This Row],[Ch_Plain]]</f>
        <v>39</v>
      </c>
      <c r="H29" s="236">
        <f ca="1">OFFSET(TblConstr[[#This Row],[Forest]],-1,0)+TblConstr[[#This Row],[Ch_Forest]]</f>
        <v>20</v>
      </c>
      <c r="I29" s="481">
        <f ca="1">OFFSET(TblConstr[[#This Row],[Mountain]],-1,0)+TblConstr[[#This Row],[Ch_Mountain]]</f>
        <v>20</v>
      </c>
      <c r="J29" s="485">
        <f ca="1">OFFSET(TblConstr[[#This Row],[Hill]],-1,0)+TblConstr[[#This Row],[Ch_Hill]]</f>
        <v>20</v>
      </c>
      <c r="K29" s="489">
        <f ca="1">OFFSET(TblConstr[[#This Row],[Swamp]],-1,0)+TblConstr[[#This Row],[Ch_Swamp]]</f>
        <v>20</v>
      </c>
      <c r="L29" s="239">
        <f ca="1">OFFSET(TblConstr[[#This Row],[Cavern]],-1,0)+TblConstr[[#This Row],[Ch_Cavern]]</f>
        <v>20</v>
      </c>
      <c r="M29" s="240">
        <f ca="1">OFFSET(TblConstr[[#This Row],[Water]],-1,0)+TblConstr[[#This Row],[Ch_Water]]</f>
        <v>20</v>
      </c>
      <c r="N29" s="479">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44344.041666666606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236021</v>
      </c>
      <c r="AL29" s="113">
        <f ca="1">TblProd[[#This Row],[Lumber]]</f>
        <v>33816</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11</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3" cm="1">
        <f t="array" aca="1" ref="BF29" ca="1">IF(TblConstr[[#This Row],[Hour]:[Hour]]&gt;12,OFFSET(TblConstr[[#This Row],[OM]],-12,0),0)+OFFSET(TblConstr[[#This Row],[Tot OM]],-1,0)-TblConstr[[#This Row],[Dest OM]]</f>
        <v>0</v>
      </c>
      <c r="BG29" s="483" cm="1">
        <f t="array" aca="1" ref="BG29" ca="1">IF(TblConstr[[#This Row],[Hour]:[Hour]]&gt;12,OFFSET(TblConstr[[#This Row],[GN]],-12,0),0)+OFFSET(TblConstr[[#This Row],[Tot GN]],-1,0)-TblConstr[[#This Row],[Dest GN]]</f>
        <v>0</v>
      </c>
      <c r="BH29" s="487" cm="1">
        <f t="array" aca="1" ref="BH29" ca="1">IF(TblConstr[[#This Row],[Hour]:[Hour]]&gt;12,OFFSET(TblConstr[[#This Row],[Fac]],-12,0),0)+OFFSET(TblConstr[[#This Row],[Tot Fac]],-1,0)-TblConstr[[#This Row],[Dest Fac]]</f>
        <v>0</v>
      </c>
      <c r="BI29" s="487" cm="1">
        <f t="array" aca="1" ref="BI29" ca="1">IF(TblConstr[[#This Row],[Hour]:[Hour]]&gt;12,OFFSET(TblConstr[[#This Row],[GT]],-12,0),0)+OFFSET(TblConstr[[#This Row],[Tot GT]],-1,0)-TblConstr[[#This Row],[Dest GT]]</f>
        <v>0</v>
      </c>
      <c r="BJ29" s="487" cm="1">
        <f t="array" aca="1" ref="BJ29" ca="1">IF(TblConstr[[#This Row],[Hour]:[Hour]]&gt;12,OFFSET(TblConstr[[#This Row],[Bar]],-12,0),0)+OFFSET(TblConstr[[#This Row],[Tot Bar]],-1,0)-TblConstr[[#This Row],[Dest Bar]]</f>
        <v>0</v>
      </c>
      <c r="BK29" s="487" cm="1">
        <f t="array" aca="1" ref="BK29" ca="1">IF(TblConstr[[#This Row],[Hour]:[Hour]]&gt;12,OFFSET(TblConstr[[#This Row],[Shr]],-12,0),0)+OFFSET(TblConstr[[#This Row],[Tot Shr]],-1,0)-TblConstr[[#This Row],[Dest Shr]]</f>
        <v>0</v>
      </c>
      <c r="BL29" s="491" cm="1">
        <f t="array" aca="1" ref="BL29" ca="1">IF(TblConstr[[#This Row],[Hour]:[Hour]]&gt;12,OFFSET(TblConstr[[#This Row],[Tow]],-12,0),0)+OFFSET(TblConstr[[#This Row],[Tot Tow]],-1,0)-TblConstr[[#This Row],[Dest Tow]]</f>
        <v>0</v>
      </c>
      <c r="BM29" s="491" cm="1">
        <f t="array" aca="1" ref="BM29" ca="1">IF(TblConstr[[#This Row],[Hour]:[Hour]]&gt;12,OFFSET(TblConstr[[#This Row],[Tem]],-12,0),0)+OFFSET(TblConstr[[#This Row],[Tot Tem]],-1,0)-TblConstr[[#This Row],[Dest Tem]]</f>
        <v>0</v>
      </c>
      <c r="BN29" s="491"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44344.041666666606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1">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99</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11</v>
      </c>
      <c r="DI29" s="49">
        <f t="shared" ca="1" si="0"/>
        <v>0</v>
      </c>
      <c r="DJ29" s="49">
        <f t="shared" ca="1" si="1"/>
        <v>0</v>
      </c>
    </row>
    <row r="30" spans="1:114" x14ac:dyDescent="0.2">
      <c r="A30" s="228">
        <f>TblRezone[[#This Row],[Hour]]</f>
        <v>27</v>
      </c>
      <c r="B30" s="229">
        <f ca="1">SUM(TblConstr[[#This Row],[Plain]:[Water]])</f>
        <v>159</v>
      </c>
      <c r="C30" s="230">
        <f ca="1">SUM(TblConstr[[#This Row],[Tot Hom]:[Tot Doc]])</f>
        <v>91</v>
      </c>
      <c r="D30" s="230">
        <f t="shared" si="2"/>
        <v>0</v>
      </c>
      <c r="E30" s="231"/>
      <c r="F30" s="74">
        <f ca="1">TblConstr[[#This Row],[Barren]]+TblConstr[[#This Row],[Buildings]]+TblConstr[[#This Row],[Incoming]]</f>
        <v>250</v>
      </c>
      <c r="G30" s="242">
        <f ca="1">OFFSET(TblConstr[[#This Row],[Plain]],-1,0)+TblConstr[[#This Row],[Ch_Plain]]</f>
        <v>39</v>
      </c>
      <c r="H30" s="236">
        <f ca="1">OFFSET(TblConstr[[#This Row],[Forest]],-1,0)+TblConstr[[#This Row],[Ch_Forest]]</f>
        <v>20</v>
      </c>
      <c r="I30" s="481">
        <f ca="1">OFFSET(TblConstr[[#This Row],[Mountain]],-1,0)+TblConstr[[#This Row],[Ch_Mountain]]</f>
        <v>20</v>
      </c>
      <c r="J30" s="485">
        <f ca="1">OFFSET(TblConstr[[#This Row],[Hill]],-1,0)+TblConstr[[#This Row],[Ch_Hill]]</f>
        <v>20</v>
      </c>
      <c r="K30" s="489">
        <f ca="1">OFFSET(TblConstr[[#This Row],[Swamp]],-1,0)+TblConstr[[#This Row],[Ch_Swamp]]</f>
        <v>20</v>
      </c>
      <c r="L30" s="239">
        <f ca="1">OFFSET(TblConstr[[#This Row],[Cavern]],-1,0)+TblConstr[[#This Row],[Ch_Cavern]]</f>
        <v>20</v>
      </c>
      <c r="M30" s="240">
        <f ca="1">OFFSET(TblConstr[[#This Row],[Water]],-1,0)+TblConstr[[#This Row],[Ch_Water]]</f>
        <v>20</v>
      </c>
      <c r="N30" s="479">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44344.08333333327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241691</v>
      </c>
      <c r="AL30" s="113">
        <f ca="1">TblProd[[#This Row],[Lumber]]</f>
        <v>34478</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11</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3" cm="1">
        <f t="array" aca="1" ref="BF30" ca="1">IF(TblConstr[[#This Row],[Hour]:[Hour]]&gt;12,OFFSET(TblConstr[[#This Row],[OM]],-12,0),0)+OFFSET(TblConstr[[#This Row],[Tot OM]],-1,0)-TblConstr[[#This Row],[Dest OM]]</f>
        <v>0</v>
      </c>
      <c r="BG30" s="483" cm="1">
        <f t="array" aca="1" ref="BG30" ca="1">IF(TblConstr[[#This Row],[Hour]:[Hour]]&gt;12,OFFSET(TblConstr[[#This Row],[GN]],-12,0),0)+OFFSET(TblConstr[[#This Row],[Tot GN]],-1,0)-TblConstr[[#This Row],[Dest GN]]</f>
        <v>0</v>
      </c>
      <c r="BH30" s="487" cm="1">
        <f t="array" aca="1" ref="BH30" ca="1">IF(TblConstr[[#This Row],[Hour]:[Hour]]&gt;12,OFFSET(TblConstr[[#This Row],[Fac]],-12,0),0)+OFFSET(TblConstr[[#This Row],[Tot Fac]],-1,0)-TblConstr[[#This Row],[Dest Fac]]</f>
        <v>0</v>
      </c>
      <c r="BI30" s="487" cm="1">
        <f t="array" aca="1" ref="BI30" ca="1">IF(TblConstr[[#This Row],[Hour]:[Hour]]&gt;12,OFFSET(TblConstr[[#This Row],[GT]],-12,0),0)+OFFSET(TblConstr[[#This Row],[Tot GT]],-1,0)-TblConstr[[#This Row],[Dest GT]]</f>
        <v>0</v>
      </c>
      <c r="BJ30" s="487" cm="1">
        <f t="array" aca="1" ref="BJ30" ca="1">IF(TblConstr[[#This Row],[Hour]:[Hour]]&gt;12,OFFSET(TblConstr[[#This Row],[Bar]],-12,0),0)+OFFSET(TblConstr[[#This Row],[Tot Bar]],-1,0)-TblConstr[[#This Row],[Dest Bar]]</f>
        <v>0</v>
      </c>
      <c r="BK30" s="487" cm="1">
        <f t="array" aca="1" ref="BK30" ca="1">IF(TblConstr[[#This Row],[Hour]:[Hour]]&gt;12,OFFSET(TblConstr[[#This Row],[Shr]],-12,0),0)+OFFSET(TblConstr[[#This Row],[Tot Shr]],-1,0)-TblConstr[[#This Row],[Dest Shr]]</f>
        <v>0</v>
      </c>
      <c r="BL30" s="491" cm="1">
        <f t="array" aca="1" ref="BL30" ca="1">IF(TblConstr[[#This Row],[Hour]:[Hour]]&gt;12,OFFSET(TblConstr[[#This Row],[Tow]],-12,0),0)+OFFSET(TblConstr[[#This Row],[Tot Tow]],-1,0)-TblConstr[[#This Row],[Dest Tow]]</f>
        <v>0</v>
      </c>
      <c r="BM30" s="491" cm="1">
        <f t="array" aca="1" ref="BM30" ca="1">IF(TblConstr[[#This Row],[Hour]:[Hour]]&gt;12,OFFSET(TblConstr[[#This Row],[Tem]],-12,0),0)+OFFSET(TblConstr[[#This Row],[Tot Tem]],-1,0)-TblConstr[[#This Row],[Dest Tem]]</f>
        <v>0</v>
      </c>
      <c r="BN30" s="491"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44344.08333333327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1">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99</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11</v>
      </c>
      <c r="DI30" s="49">
        <f t="shared" ca="1" si="0"/>
        <v>0</v>
      </c>
      <c r="DJ30" s="49">
        <f t="shared" ca="1" si="1"/>
        <v>0</v>
      </c>
    </row>
    <row r="31" spans="1:114" x14ac:dyDescent="0.2">
      <c r="A31" s="228">
        <f>TblRezone[[#This Row],[Hour]]</f>
        <v>28</v>
      </c>
      <c r="B31" s="229">
        <f ca="1">SUM(TblConstr[[#This Row],[Plain]:[Water]])</f>
        <v>159</v>
      </c>
      <c r="C31" s="230">
        <f ca="1">SUM(TblConstr[[#This Row],[Tot Hom]:[Tot Doc]])</f>
        <v>91</v>
      </c>
      <c r="D31" s="230">
        <f t="shared" si="2"/>
        <v>0</v>
      </c>
      <c r="E31" s="231"/>
      <c r="F31" s="74">
        <f ca="1">TblConstr[[#This Row],[Barren]]+TblConstr[[#This Row],[Buildings]]+TblConstr[[#This Row],[Incoming]]</f>
        <v>250</v>
      </c>
      <c r="G31" s="242">
        <f ca="1">OFFSET(TblConstr[[#This Row],[Plain]],-1,0)+TblConstr[[#This Row],[Ch_Plain]]</f>
        <v>39</v>
      </c>
      <c r="H31" s="236">
        <f ca="1">OFFSET(TblConstr[[#This Row],[Forest]],-1,0)+TblConstr[[#This Row],[Ch_Forest]]</f>
        <v>20</v>
      </c>
      <c r="I31" s="481">
        <f ca="1">OFFSET(TblConstr[[#This Row],[Mountain]],-1,0)+TblConstr[[#This Row],[Ch_Mountain]]</f>
        <v>20</v>
      </c>
      <c r="J31" s="485">
        <f ca="1">OFFSET(TblConstr[[#This Row],[Hill]],-1,0)+TblConstr[[#This Row],[Ch_Hill]]</f>
        <v>20</v>
      </c>
      <c r="K31" s="489">
        <f ca="1">OFFSET(TblConstr[[#This Row],[Swamp]],-1,0)+TblConstr[[#This Row],[Ch_Swamp]]</f>
        <v>20</v>
      </c>
      <c r="L31" s="239">
        <f ca="1">OFFSET(TblConstr[[#This Row],[Cavern]],-1,0)+TblConstr[[#This Row],[Ch_Cavern]]</f>
        <v>20</v>
      </c>
      <c r="M31" s="240">
        <f ca="1">OFFSET(TblConstr[[#This Row],[Water]],-1,0)+TblConstr[[#This Row],[Ch_Water]]</f>
        <v>20</v>
      </c>
      <c r="N31" s="479">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44344.124999999935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247361</v>
      </c>
      <c r="AL31" s="113">
        <f ca="1">TblProd[[#This Row],[Lumber]]</f>
        <v>35133</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11</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3" cm="1">
        <f t="array" aca="1" ref="BF31" ca="1">IF(TblConstr[[#This Row],[Hour]:[Hour]]&gt;12,OFFSET(TblConstr[[#This Row],[OM]],-12,0),0)+OFFSET(TblConstr[[#This Row],[Tot OM]],-1,0)-TblConstr[[#This Row],[Dest OM]]</f>
        <v>0</v>
      </c>
      <c r="BG31" s="483" cm="1">
        <f t="array" aca="1" ref="BG31" ca="1">IF(TblConstr[[#This Row],[Hour]:[Hour]]&gt;12,OFFSET(TblConstr[[#This Row],[GN]],-12,0),0)+OFFSET(TblConstr[[#This Row],[Tot GN]],-1,0)-TblConstr[[#This Row],[Dest GN]]</f>
        <v>0</v>
      </c>
      <c r="BH31" s="487" cm="1">
        <f t="array" aca="1" ref="BH31" ca="1">IF(TblConstr[[#This Row],[Hour]:[Hour]]&gt;12,OFFSET(TblConstr[[#This Row],[Fac]],-12,0),0)+OFFSET(TblConstr[[#This Row],[Tot Fac]],-1,0)-TblConstr[[#This Row],[Dest Fac]]</f>
        <v>0</v>
      </c>
      <c r="BI31" s="487" cm="1">
        <f t="array" aca="1" ref="BI31" ca="1">IF(TblConstr[[#This Row],[Hour]:[Hour]]&gt;12,OFFSET(TblConstr[[#This Row],[GT]],-12,0),0)+OFFSET(TblConstr[[#This Row],[Tot GT]],-1,0)-TblConstr[[#This Row],[Dest GT]]</f>
        <v>0</v>
      </c>
      <c r="BJ31" s="487" cm="1">
        <f t="array" aca="1" ref="BJ31" ca="1">IF(TblConstr[[#This Row],[Hour]:[Hour]]&gt;12,OFFSET(TblConstr[[#This Row],[Bar]],-12,0),0)+OFFSET(TblConstr[[#This Row],[Tot Bar]],-1,0)-TblConstr[[#This Row],[Dest Bar]]</f>
        <v>0</v>
      </c>
      <c r="BK31" s="487" cm="1">
        <f t="array" aca="1" ref="BK31" ca="1">IF(TblConstr[[#This Row],[Hour]:[Hour]]&gt;12,OFFSET(TblConstr[[#This Row],[Shr]],-12,0),0)+OFFSET(TblConstr[[#This Row],[Tot Shr]],-1,0)-TblConstr[[#This Row],[Dest Shr]]</f>
        <v>0</v>
      </c>
      <c r="BL31" s="491" cm="1">
        <f t="array" aca="1" ref="BL31" ca="1">IF(TblConstr[[#This Row],[Hour]:[Hour]]&gt;12,OFFSET(TblConstr[[#This Row],[Tow]],-12,0),0)+OFFSET(TblConstr[[#This Row],[Tot Tow]],-1,0)-TblConstr[[#This Row],[Dest Tow]]</f>
        <v>0</v>
      </c>
      <c r="BM31" s="491" cm="1">
        <f t="array" aca="1" ref="BM31" ca="1">IF(TblConstr[[#This Row],[Hour]:[Hour]]&gt;12,OFFSET(TblConstr[[#This Row],[Tem]],-12,0),0)+OFFSET(TblConstr[[#This Row],[Tot Tem]],-1,0)-TblConstr[[#This Row],[Dest Tem]]</f>
        <v>0</v>
      </c>
      <c r="BN31" s="491"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44344.124999999935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1">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99</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11</v>
      </c>
      <c r="DI31" s="49">
        <f t="shared" ca="1" si="0"/>
        <v>0</v>
      </c>
      <c r="DJ31" s="49">
        <f t="shared" ca="1" si="1"/>
        <v>0</v>
      </c>
    </row>
    <row r="32" spans="1:114" x14ac:dyDescent="0.2">
      <c r="A32" s="228">
        <f>TblRezone[[#This Row],[Hour]]</f>
        <v>29</v>
      </c>
      <c r="B32" s="229">
        <f ca="1">SUM(TblConstr[[#This Row],[Plain]:[Water]])</f>
        <v>159</v>
      </c>
      <c r="C32" s="230">
        <f ca="1">SUM(TblConstr[[#This Row],[Tot Hom]:[Tot Doc]])</f>
        <v>91</v>
      </c>
      <c r="D32" s="230">
        <f t="shared" si="2"/>
        <v>0</v>
      </c>
      <c r="E32" s="231"/>
      <c r="F32" s="74">
        <f ca="1">TblConstr[[#This Row],[Barren]]+TblConstr[[#This Row],[Buildings]]+TblConstr[[#This Row],[Incoming]]</f>
        <v>250</v>
      </c>
      <c r="G32" s="242">
        <f ca="1">OFFSET(TblConstr[[#This Row],[Plain]],-1,0)+TblConstr[[#This Row],[Ch_Plain]]</f>
        <v>39</v>
      </c>
      <c r="H32" s="236">
        <f ca="1">OFFSET(TblConstr[[#This Row],[Forest]],-1,0)+TblConstr[[#This Row],[Ch_Forest]]</f>
        <v>20</v>
      </c>
      <c r="I32" s="481">
        <f ca="1">OFFSET(TblConstr[[#This Row],[Mountain]],-1,0)+TblConstr[[#This Row],[Ch_Mountain]]</f>
        <v>20</v>
      </c>
      <c r="J32" s="485">
        <f ca="1">OFFSET(TblConstr[[#This Row],[Hill]],-1,0)+TblConstr[[#This Row],[Ch_Hill]]</f>
        <v>20</v>
      </c>
      <c r="K32" s="489">
        <f ca="1">OFFSET(TblConstr[[#This Row],[Swamp]],-1,0)+TblConstr[[#This Row],[Ch_Swamp]]</f>
        <v>20</v>
      </c>
      <c r="L32" s="239">
        <f ca="1">OFFSET(TblConstr[[#This Row],[Cavern]],-1,0)+TblConstr[[#This Row],[Ch_Cavern]]</f>
        <v>20</v>
      </c>
      <c r="M32" s="240">
        <f ca="1">OFFSET(TblConstr[[#This Row],[Water]],-1,0)+TblConstr[[#This Row],[Ch_Water]]</f>
        <v>20</v>
      </c>
      <c r="N32" s="479">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44344.166666666599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253031</v>
      </c>
      <c r="AL32" s="113">
        <f ca="1">TblProd[[#This Row],[Lumber]]</f>
        <v>35782</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11</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3" cm="1">
        <f t="array" aca="1" ref="BF32" ca="1">IF(TblConstr[[#This Row],[Hour]:[Hour]]&gt;12,OFFSET(TblConstr[[#This Row],[OM]],-12,0),0)+OFFSET(TblConstr[[#This Row],[Tot OM]],-1,0)-TblConstr[[#This Row],[Dest OM]]</f>
        <v>0</v>
      </c>
      <c r="BG32" s="483" cm="1">
        <f t="array" aca="1" ref="BG32" ca="1">IF(TblConstr[[#This Row],[Hour]:[Hour]]&gt;12,OFFSET(TblConstr[[#This Row],[GN]],-12,0),0)+OFFSET(TblConstr[[#This Row],[Tot GN]],-1,0)-TblConstr[[#This Row],[Dest GN]]</f>
        <v>0</v>
      </c>
      <c r="BH32" s="487" cm="1">
        <f t="array" aca="1" ref="BH32" ca="1">IF(TblConstr[[#This Row],[Hour]:[Hour]]&gt;12,OFFSET(TblConstr[[#This Row],[Fac]],-12,0),0)+OFFSET(TblConstr[[#This Row],[Tot Fac]],-1,0)-TblConstr[[#This Row],[Dest Fac]]</f>
        <v>0</v>
      </c>
      <c r="BI32" s="487" cm="1">
        <f t="array" aca="1" ref="BI32" ca="1">IF(TblConstr[[#This Row],[Hour]:[Hour]]&gt;12,OFFSET(TblConstr[[#This Row],[GT]],-12,0),0)+OFFSET(TblConstr[[#This Row],[Tot GT]],-1,0)-TblConstr[[#This Row],[Dest GT]]</f>
        <v>0</v>
      </c>
      <c r="BJ32" s="487" cm="1">
        <f t="array" aca="1" ref="BJ32" ca="1">IF(TblConstr[[#This Row],[Hour]:[Hour]]&gt;12,OFFSET(TblConstr[[#This Row],[Bar]],-12,0),0)+OFFSET(TblConstr[[#This Row],[Tot Bar]],-1,0)-TblConstr[[#This Row],[Dest Bar]]</f>
        <v>0</v>
      </c>
      <c r="BK32" s="487" cm="1">
        <f t="array" aca="1" ref="BK32" ca="1">IF(TblConstr[[#This Row],[Hour]:[Hour]]&gt;12,OFFSET(TblConstr[[#This Row],[Shr]],-12,0),0)+OFFSET(TblConstr[[#This Row],[Tot Shr]],-1,0)-TblConstr[[#This Row],[Dest Shr]]</f>
        <v>0</v>
      </c>
      <c r="BL32" s="491" cm="1">
        <f t="array" aca="1" ref="BL32" ca="1">IF(TblConstr[[#This Row],[Hour]:[Hour]]&gt;12,OFFSET(TblConstr[[#This Row],[Tow]],-12,0),0)+OFFSET(TblConstr[[#This Row],[Tot Tow]],-1,0)-TblConstr[[#This Row],[Dest Tow]]</f>
        <v>0</v>
      </c>
      <c r="BM32" s="491" cm="1">
        <f t="array" aca="1" ref="BM32" ca="1">IF(TblConstr[[#This Row],[Hour]:[Hour]]&gt;12,OFFSET(TblConstr[[#This Row],[Tem]],-12,0),0)+OFFSET(TblConstr[[#This Row],[Tot Tem]],-1,0)-TblConstr[[#This Row],[Dest Tem]]</f>
        <v>0</v>
      </c>
      <c r="BN32" s="491"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44344.166666666599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1">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99</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11</v>
      </c>
      <c r="DI32" s="49">
        <f t="shared" ca="1" si="0"/>
        <v>0</v>
      </c>
      <c r="DJ32" s="49">
        <f t="shared" ca="1" si="1"/>
        <v>0</v>
      </c>
    </row>
    <row r="33" spans="1:114" x14ac:dyDescent="0.2">
      <c r="A33" s="228">
        <f>TblRezone[[#This Row],[Hour]]</f>
        <v>30</v>
      </c>
      <c r="B33" s="229">
        <f ca="1">SUM(TblConstr[[#This Row],[Plain]:[Water]])</f>
        <v>159</v>
      </c>
      <c r="C33" s="230">
        <f ca="1">SUM(TblConstr[[#This Row],[Tot Hom]:[Tot Doc]])</f>
        <v>91</v>
      </c>
      <c r="D33" s="230">
        <f t="shared" si="2"/>
        <v>0</v>
      </c>
      <c r="E33" s="231"/>
      <c r="F33" s="74">
        <f ca="1">TblConstr[[#This Row],[Barren]]+TblConstr[[#This Row],[Buildings]]+TblConstr[[#This Row],[Incoming]]</f>
        <v>250</v>
      </c>
      <c r="G33" s="242">
        <f ca="1">OFFSET(TblConstr[[#This Row],[Plain]],-1,0)+TblConstr[[#This Row],[Ch_Plain]]</f>
        <v>39</v>
      </c>
      <c r="H33" s="236">
        <f ca="1">OFFSET(TblConstr[[#This Row],[Forest]],-1,0)+TblConstr[[#This Row],[Ch_Forest]]</f>
        <v>20</v>
      </c>
      <c r="I33" s="481">
        <f ca="1">OFFSET(TblConstr[[#This Row],[Mountain]],-1,0)+TblConstr[[#This Row],[Ch_Mountain]]</f>
        <v>20</v>
      </c>
      <c r="J33" s="485">
        <f ca="1">OFFSET(TblConstr[[#This Row],[Hill]],-1,0)+TblConstr[[#This Row],[Ch_Hill]]</f>
        <v>20</v>
      </c>
      <c r="K33" s="489">
        <f ca="1">OFFSET(TblConstr[[#This Row],[Swamp]],-1,0)+TblConstr[[#This Row],[Ch_Swamp]]</f>
        <v>20</v>
      </c>
      <c r="L33" s="239">
        <f ca="1">OFFSET(TblConstr[[#This Row],[Cavern]],-1,0)+TblConstr[[#This Row],[Ch_Cavern]]</f>
        <v>20</v>
      </c>
      <c r="M33" s="240">
        <f ca="1">OFFSET(TblConstr[[#This Row],[Water]],-1,0)+TblConstr[[#This Row],[Ch_Water]]</f>
        <v>20</v>
      </c>
      <c r="N33" s="479">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44344.208333333263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258701</v>
      </c>
      <c r="AL33" s="113">
        <f ca="1">TblProd[[#This Row],[Lumber]]</f>
        <v>36424</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11</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3" cm="1">
        <f t="array" aca="1" ref="BF33" ca="1">IF(TblConstr[[#This Row],[Hour]:[Hour]]&gt;12,OFFSET(TblConstr[[#This Row],[OM]],-12,0),0)+OFFSET(TblConstr[[#This Row],[Tot OM]],-1,0)-TblConstr[[#This Row],[Dest OM]]</f>
        <v>0</v>
      </c>
      <c r="BG33" s="483" cm="1">
        <f t="array" aca="1" ref="BG33" ca="1">IF(TblConstr[[#This Row],[Hour]:[Hour]]&gt;12,OFFSET(TblConstr[[#This Row],[GN]],-12,0),0)+OFFSET(TblConstr[[#This Row],[Tot GN]],-1,0)-TblConstr[[#This Row],[Dest GN]]</f>
        <v>0</v>
      </c>
      <c r="BH33" s="487" cm="1">
        <f t="array" aca="1" ref="BH33" ca="1">IF(TblConstr[[#This Row],[Hour]:[Hour]]&gt;12,OFFSET(TblConstr[[#This Row],[Fac]],-12,0),0)+OFFSET(TblConstr[[#This Row],[Tot Fac]],-1,0)-TblConstr[[#This Row],[Dest Fac]]</f>
        <v>0</v>
      </c>
      <c r="BI33" s="487" cm="1">
        <f t="array" aca="1" ref="BI33" ca="1">IF(TblConstr[[#This Row],[Hour]:[Hour]]&gt;12,OFFSET(TblConstr[[#This Row],[GT]],-12,0),0)+OFFSET(TblConstr[[#This Row],[Tot GT]],-1,0)-TblConstr[[#This Row],[Dest GT]]</f>
        <v>0</v>
      </c>
      <c r="BJ33" s="487" cm="1">
        <f t="array" aca="1" ref="BJ33" ca="1">IF(TblConstr[[#This Row],[Hour]:[Hour]]&gt;12,OFFSET(TblConstr[[#This Row],[Bar]],-12,0),0)+OFFSET(TblConstr[[#This Row],[Tot Bar]],-1,0)-TblConstr[[#This Row],[Dest Bar]]</f>
        <v>0</v>
      </c>
      <c r="BK33" s="487" cm="1">
        <f t="array" aca="1" ref="BK33" ca="1">IF(TblConstr[[#This Row],[Hour]:[Hour]]&gt;12,OFFSET(TblConstr[[#This Row],[Shr]],-12,0),0)+OFFSET(TblConstr[[#This Row],[Tot Shr]],-1,0)-TblConstr[[#This Row],[Dest Shr]]</f>
        <v>0</v>
      </c>
      <c r="BL33" s="491" cm="1">
        <f t="array" aca="1" ref="BL33" ca="1">IF(TblConstr[[#This Row],[Hour]:[Hour]]&gt;12,OFFSET(TblConstr[[#This Row],[Tow]],-12,0),0)+OFFSET(TblConstr[[#This Row],[Tot Tow]],-1,0)-TblConstr[[#This Row],[Dest Tow]]</f>
        <v>0</v>
      </c>
      <c r="BM33" s="491" cm="1">
        <f t="array" aca="1" ref="BM33" ca="1">IF(TblConstr[[#This Row],[Hour]:[Hour]]&gt;12,OFFSET(TblConstr[[#This Row],[Tem]],-12,0),0)+OFFSET(TblConstr[[#This Row],[Tot Tem]],-1,0)-TblConstr[[#This Row],[Dest Tem]]</f>
        <v>0</v>
      </c>
      <c r="BN33" s="491"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44344.208333333263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1">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99</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11</v>
      </c>
      <c r="DI33" s="49">
        <f t="shared" ca="1" si="0"/>
        <v>0</v>
      </c>
      <c r="DJ33" s="49">
        <f t="shared" ca="1" si="1"/>
        <v>0</v>
      </c>
    </row>
    <row r="34" spans="1:114" x14ac:dyDescent="0.2">
      <c r="A34" s="228">
        <f>TblRezone[[#This Row],[Hour]]</f>
        <v>31</v>
      </c>
      <c r="B34" s="229">
        <f ca="1">SUM(TblConstr[[#This Row],[Plain]:[Water]])</f>
        <v>159</v>
      </c>
      <c r="C34" s="230">
        <f ca="1">SUM(TblConstr[[#This Row],[Tot Hom]:[Tot Doc]])</f>
        <v>91</v>
      </c>
      <c r="D34" s="230">
        <f t="shared" si="2"/>
        <v>0</v>
      </c>
      <c r="E34" s="231"/>
      <c r="F34" s="74">
        <f ca="1">TblConstr[[#This Row],[Barren]]+TblConstr[[#This Row],[Buildings]]+TblConstr[[#This Row],[Incoming]]</f>
        <v>250</v>
      </c>
      <c r="G34" s="242">
        <f ca="1">OFFSET(TblConstr[[#This Row],[Plain]],-1,0)+TblConstr[[#This Row],[Ch_Plain]]</f>
        <v>39</v>
      </c>
      <c r="H34" s="236">
        <f ca="1">OFFSET(TblConstr[[#This Row],[Forest]],-1,0)+TblConstr[[#This Row],[Ch_Forest]]</f>
        <v>20</v>
      </c>
      <c r="I34" s="481">
        <f ca="1">OFFSET(TblConstr[[#This Row],[Mountain]],-1,0)+TblConstr[[#This Row],[Ch_Mountain]]</f>
        <v>20</v>
      </c>
      <c r="J34" s="485">
        <f ca="1">OFFSET(TblConstr[[#This Row],[Hill]],-1,0)+TblConstr[[#This Row],[Ch_Hill]]</f>
        <v>20</v>
      </c>
      <c r="K34" s="489">
        <f ca="1">OFFSET(TblConstr[[#This Row],[Swamp]],-1,0)+TblConstr[[#This Row],[Ch_Swamp]]</f>
        <v>20</v>
      </c>
      <c r="L34" s="239">
        <f ca="1">OFFSET(TblConstr[[#This Row],[Cavern]],-1,0)+TblConstr[[#This Row],[Ch_Cavern]]</f>
        <v>20</v>
      </c>
      <c r="M34" s="240">
        <f ca="1">OFFSET(TblConstr[[#This Row],[Water]],-1,0)+TblConstr[[#This Row],[Ch_Water]]</f>
        <v>20</v>
      </c>
      <c r="N34" s="479">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44344.249999999927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264371</v>
      </c>
      <c r="AL34" s="113">
        <f ca="1">TblProd[[#This Row],[Lumber]]</f>
        <v>37060</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11</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3" cm="1">
        <f t="array" aca="1" ref="BF34" ca="1">IF(TblConstr[[#This Row],[Hour]:[Hour]]&gt;12,OFFSET(TblConstr[[#This Row],[OM]],-12,0),0)+OFFSET(TblConstr[[#This Row],[Tot OM]],-1,0)-TblConstr[[#This Row],[Dest OM]]</f>
        <v>0</v>
      </c>
      <c r="BG34" s="483" cm="1">
        <f t="array" aca="1" ref="BG34" ca="1">IF(TblConstr[[#This Row],[Hour]:[Hour]]&gt;12,OFFSET(TblConstr[[#This Row],[GN]],-12,0),0)+OFFSET(TblConstr[[#This Row],[Tot GN]],-1,0)-TblConstr[[#This Row],[Dest GN]]</f>
        <v>0</v>
      </c>
      <c r="BH34" s="487" cm="1">
        <f t="array" aca="1" ref="BH34" ca="1">IF(TblConstr[[#This Row],[Hour]:[Hour]]&gt;12,OFFSET(TblConstr[[#This Row],[Fac]],-12,0),0)+OFFSET(TblConstr[[#This Row],[Tot Fac]],-1,0)-TblConstr[[#This Row],[Dest Fac]]</f>
        <v>0</v>
      </c>
      <c r="BI34" s="487" cm="1">
        <f t="array" aca="1" ref="BI34" ca="1">IF(TblConstr[[#This Row],[Hour]:[Hour]]&gt;12,OFFSET(TblConstr[[#This Row],[GT]],-12,0),0)+OFFSET(TblConstr[[#This Row],[Tot GT]],-1,0)-TblConstr[[#This Row],[Dest GT]]</f>
        <v>0</v>
      </c>
      <c r="BJ34" s="487" cm="1">
        <f t="array" aca="1" ref="BJ34" ca="1">IF(TblConstr[[#This Row],[Hour]:[Hour]]&gt;12,OFFSET(TblConstr[[#This Row],[Bar]],-12,0),0)+OFFSET(TblConstr[[#This Row],[Tot Bar]],-1,0)-TblConstr[[#This Row],[Dest Bar]]</f>
        <v>0</v>
      </c>
      <c r="BK34" s="487" cm="1">
        <f t="array" aca="1" ref="BK34" ca="1">IF(TblConstr[[#This Row],[Hour]:[Hour]]&gt;12,OFFSET(TblConstr[[#This Row],[Shr]],-12,0),0)+OFFSET(TblConstr[[#This Row],[Tot Shr]],-1,0)-TblConstr[[#This Row],[Dest Shr]]</f>
        <v>0</v>
      </c>
      <c r="BL34" s="491" cm="1">
        <f t="array" aca="1" ref="BL34" ca="1">IF(TblConstr[[#This Row],[Hour]:[Hour]]&gt;12,OFFSET(TblConstr[[#This Row],[Tow]],-12,0),0)+OFFSET(TblConstr[[#This Row],[Tot Tow]],-1,0)-TblConstr[[#This Row],[Dest Tow]]</f>
        <v>0</v>
      </c>
      <c r="BM34" s="491" cm="1">
        <f t="array" aca="1" ref="BM34" ca="1">IF(TblConstr[[#This Row],[Hour]:[Hour]]&gt;12,OFFSET(TblConstr[[#This Row],[Tem]],-12,0),0)+OFFSET(TblConstr[[#This Row],[Tot Tem]],-1,0)-TblConstr[[#This Row],[Dest Tem]]</f>
        <v>0</v>
      </c>
      <c r="BN34" s="491"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44344.249999999927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1">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99</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11</v>
      </c>
      <c r="DI34" s="49">
        <f t="shared" ca="1" si="0"/>
        <v>0</v>
      </c>
      <c r="DJ34" s="49">
        <f t="shared" ca="1" si="1"/>
        <v>0</v>
      </c>
    </row>
    <row r="35" spans="1:114" x14ac:dyDescent="0.2">
      <c r="A35" s="228">
        <f>TblRezone[[#This Row],[Hour]]</f>
        <v>32</v>
      </c>
      <c r="B35" s="229">
        <f ca="1">SUM(TblConstr[[#This Row],[Plain]:[Water]])</f>
        <v>159</v>
      </c>
      <c r="C35" s="230">
        <f ca="1">SUM(TblConstr[[#This Row],[Tot Hom]:[Tot Doc]])</f>
        <v>91</v>
      </c>
      <c r="D35" s="230">
        <f t="shared" si="2"/>
        <v>0</v>
      </c>
      <c r="E35" s="231"/>
      <c r="F35" s="74">
        <f ca="1">TblConstr[[#This Row],[Barren]]+TblConstr[[#This Row],[Buildings]]+TblConstr[[#This Row],[Incoming]]</f>
        <v>250</v>
      </c>
      <c r="G35" s="242">
        <f ca="1">OFFSET(TblConstr[[#This Row],[Plain]],-1,0)+TblConstr[[#This Row],[Ch_Plain]]</f>
        <v>39</v>
      </c>
      <c r="H35" s="236">
        <f ca="1">OFFSET(TblConstr[[#This Row],[Forest]],-1,0)+TblConstr[[#This Row],[Ch_Forest]]</f>
        <v>20</v>
      </c>
      <c r="I35" s="481">
        <f ca="1">OFFSET(TblConstr[[#This Row],[Mountain]],-1,0)+TblConstr[[#This Row],[Ch_Mountain]]</f>
        <v>20</v>
      </c>
      <c r="J35" s="485">
        <f ca="1">OFFSET(TblConstr[[#This Row],[Hill]],-1,0)+TblConstr[[#This Row],[Ch_Hill]]</f>
        <v>20</v>
      </c>
      <c r="K35" s="489">
        <f ca="1">OFFSET(TblConstr[[#This Row],[Swamp]],-1,0)+TblConstr[[#This Row],[Ch_Swamp]]</f>
        <v>20</v>
      </c>
      <c r="L35" s="239">
        <f ca="1">OFFSET(TblConstr[[#This Row],[Cavern]],-1,0)+TblConstr[[#This Row],[Ch_Cavern]]</f>
        <v>20</v>
      </c>
      <c r="M35" s="240">
        <f ca="1">OFFSET(TblConstr[[#This Row],[Water]],-1,0)+TblConstr[[#This Row],[Ch_Water]]</f>
        <v>20</v>
      </c>
      <c r="N35" s="479">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44344.291666666591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270041</v>
      </c>
      <c r="AL35" s="113">
        <f ca="1">TblProd[[#This Row],[Lumber]]</f>
        <v>37689</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11</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3" cm="1">
        <f t="array" aca="1" ref="BF35" ca="1">IF(TblConstr[[#This Row],[Hour]:[Hour]]&gt;12,OFFSET(TblConstr[[#This Row],[OM]],-12,0),0)+OFFSET(TblConstr[[#This Row],[Tot OM]],-1,0)-TblConstr[[#This Row],[Dest OM]]</f>
        <v>0</v>
      </c>
      <c r="BG35" s="483" cm="1">
        <f t="array" aca="1" ref="BG35" ca="1">IF(TblConstr[[#This Row],[Hour]:[Hour]]&gt;12,OFFSET(TblConstr[[#This Row],[GN]],-12,0),0)+OFFSET(TblConstr[[#This Row],[Tot GN]],-1,0)-TblConstr[[#This Row],[Dest GN]]</f>
        <v>0</v>
      </c>
      <c r="BH35" s="487" cm="1">
        <f t="array" aca="1" ref="BH35" ca="1">IF(TblConstr[[#This Row],[Hour]:[Hour]]&gt;12,OFFSET(TblConstr[[#This Row],[Fac]],-12,0),0)+OFFSET(TblConstr[[#This Row],[Tot Fac]],-1,0)-TblConstr[[#This Row],[Dest Fac]]</f>
        <v>0</v>
      </c>
      <c r="BI35" s="487" cm="1">
        <f t="array" aca="1" ref="BI35" ca="1">IF(TblConstr[[#This Row],[Hour]:[Hour]]&gt;12,OFFSET(TblConstr[[#This Row],[GT]],-12,0),0)+OFFSET(TblConstr[[#This Row],[Tot GT]],-1,0)-TblConstr[[#This Row],[Dest GT]]</f>
        <v>0</v>
      </c>
      <c r="BJ35" s="487" cm="1">
        <f t="array" aca="1" ref="BJ35" ca="1">IF(TblConstr[[#This Row],[Hour]:[Hour]]&gt;12,OFFSET(TblConstr[[#This Row],[Bar]],-12,0),0)+OFFSET(TblConstr[[#This Row],[Tot Bar]],-1,0)-TblConstr[[#This Row],[Dest Bar]]</f>
        <v>0</v>
      </c>
      <c r="BK35" s="487" cm="1">
        <f t="array" aca="1" ref="BK35" ca="1">IF(TblConstr[[#This Row],[Hour]:[Hour]]&gt;12,OFFSET(TblConstr[[#This Row],[Shr]],-12,0),0)+OFFSET(TblConstr[[#This Row],[Tot Shr]],-1,0)-TblConstr[[#This Row],[Dest Shr]]</f>
        <v>0</v>
      </c>
      <c r="BL35" s="491" cm="1">
        <f t="array" aca="1" ref="BL35" ca="1">IF(TblConstr[[#This Row],[Hour]:[Hour]]&gt;12,OFFSET(TblConstr[[#This Row],[Tow]],-12,0),0)+OFFSET(TblConstr[[#This Row],[Tot Tow]],-1,0)-TblConstr[[#This Row],[Dest Tow]]</f>
        <v>0</v>
      </c>
      <c r="BM35" s="491" cm="1">
        <f t="array" aca="1" ref="BM35" ca="1">IF(TblConstr[[#This Row],[Hour]:[Hour]]&gt;12,OFFSET(TblConstr[[#This Row],[Tem]],-12,0),0)+OFFSET(TblConstr[[#This Row],[Tot Tem]],-1,0)-TblConstr[[#This Row],[Dest Tem]]</f>
        <v>0</v>
      </c>
      <c r="BN35" s="491"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44344.291666666591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1">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99</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11</v>
      </c>
      <c r="DI35" s="49">
        <f t="shared" ca="1" si="0"/>
        <v>0</v>
      </c>
      <c r="DJ35" s="49">
        <f t="shared" ca="1" si="1"/>
        <v>0</v>
      </c>
    </row>
    <row r="36" spans="1:114" x14ac:dyDescent="0.2">
      <c r="A36" s="228">
        <f>TblRezone[[#This Row],[Hour]]</f>
        <v>33</v>
      </c>
      <c r="B36" s="229">
        <f ca="1">SUM(TblConstr[[#This Row],[Plain]:[Water]])</f>
        <v>159</v>
      </c>
      <c r="C36" s="230">
        <f ca="1">SUM(TblConstr[[#This Row],[Tot Hom]:[Tot Doc]])</f>
        <v>91</v>
      </c>
      <c r="D36" s="230">
        <f t="shared" si="2"/>
        <v>0</v>
      </c>
      <c r="E36" s="231"/>
      <c r="F36" s="74">
        <f ca="1">TblConstr[[#This Row],[Barren]]+TblConstr[[#This Row],[Buildings]]+TblConstr[[#This Row],[Incoming]]</f>
        <v>250</v>
      </c>
      <c r="G36" s="242">
        <f ca="1">OFFSET(TblConstr[[#This Row],[Plain]],-1,0)+TblConstr[[#This Row],[Ch_Plain]]</f>
        <v>39</v>
      </c>
      <c r="H36" s="236">
        <f ca="1">OFFSET(TblConstr[[#This Row],[Forest]],-1,0)+TblConstr[[#This Row],[Ch_Forest]]</f>
        <v>20</v>
      </c>
      <c r="I36" s="481">
        <f ca="1">OFFSET(TblConstr[[#This Row],[Mountain]],-1,0)+TblConstr[[#This Row],[Ch_Mountain]]</f>
        <v>20</v>
      </c>
      <c r="J36" s="485">
        <f ca="1">OFFSET(TblConstr[[#This Row],[Hill]],-1,0)+TblConstr[[#This Row],[Ch_Hill]]</f>
        <v>20</v>
      </c>
      <c r="K36" s="489">
        <f ca="1">OFFSET(TblConstr[[#This Row],[Swamp]],-1,0)+TblConstr[[#This Row],[Ch_Swamp]]</f>
        <v>20</v>
      </c>
      <c r="L36" s="239">
        <f ca="1">OFFSET(TblConstr[[#This Row],[Cavern]],-1,0)+TblConstr[[#This Row],[Ch_Cavern]]</f>
        <v>20</v>
      </c>
      <c r="M36" s="240">
        <f ca="1">OFFSET(TblConstr[[#This Row],[Water]],-1,0)+TblConstr[[#This Row],[Ch_Water]]</f>
        <v>20</v>
      </c>
      <c r="N36" s="479">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44344.333333333256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275670</v>
      </c>
      <c r="AL36" s="113">
        <f ca="1">TblProd[[#This Row],[Lumber]]</f>
        <v>38312</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11</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3" cm="1">
        <f t="array" aca="1" ref="BF36" ca="1">IF(TblConstr[[#This Row],[Hour]:[Hour]]&gt;12,OFFSET(TblConstr[[#This Row],[OM]],-12,0),0)+OFFSET(TblConstr[[#This Row],[Tot OM]],-1,0)-TblConstr[[#This Row],[Dest OM]]</f>
        <v>0</v>
      </c>
      <c r="BG36" s="483" cm="1">
        <f t="array" aca="1" ref="BG36" ca="1">IF(TblConstr[[#This Row],[Hour]:[Hour]]&gt;12,OFFSET(TblConstr[[#This Row],[GN]],-12,0),0)+OFFSET(TblConstr[[#This Row],[Tot GN]],-1,0)-TblConstr[[#This Row],[Dest GN]]</f>
        <v>0</v>
      </c>
      <c r="BH36" s="487" cm="1">
        <f t="array" aca="1" ref="BH36" ca="1">IF(TblConstr[[#This Row],[Hour]:[Hour]]&gt;12,OFFSET(TblConstr[[#This Row],[Fac]],-12,0),0)+OFFSET(TblConstr[[#This Row],[Tot Fac]],-1,0)-TblConstr[[#This Row],[Dest Fac]]</f>
        <v>0</v>
      </c>
      <c r="BI36" s="487" cm="1">
        <f t="array" aca="1" ref="BI36" ca="1">IF(TblConstr[[#This Row],[Hour]:[Hour]]&gt;12,OFFSET(TblConstr[[#This Row],[GT]],-12,0),0)+OFFSET(TblConstr[[#This Row],[Tot GT]],-1,0)-TblConstr[[#This Row],[Dest GT]]</f>
        <v>0</v>
      </c>
      <c r="BJ36" s="487" cm="1">
        <f t="array" aca="1" ref="BJ36" ca="1">IF(TblConstr[[#This Row],[Hour]:[Hour]]&gt;12,OFFSET(TblConstr[[#This Row],[Bar]],-12,0),0)+OFFSET(TblConstr[[#This Row],[Tot Bar]],-1,0)-TblConstr[[#This Row],[Dest Bar]]</f>
        <v>0</v>
      </c>
      <c r="BK36" s="487" cm="1">
        <f t="array" aca="1" ref="BK36" ca="1">IF(TblConstr[[#This Row],[Hour]:[Hour]]&gt;12,OFFSET(TblConstr[[#This Row],[Shr]],-12,0),0)+OFFSET(TblConstr[[#This Row],[Tot Shr]],-1,0)-TblConstr[[#This Row],[Dest Shr]]</f>
        <v>0</v>
      </c>
      <c r="BL36" s="491" cm="1">
        <f t="array" aca="1" ref="BL36" ca="1">IF(TblConstr[[#This Row],[Hour]:[Hour]]&gt;12,OFFSET(TblConstr[[#This Row],[Tow]],-12,0),0)+OFFSET(TblConstr[[#This Row],[Tot Tow]],-1,0)-TblConstr[[#This Row],[Dest Tow]]</f>
        <v>0</v>
      </c>
      <c r="BM36" s="491" cm="1">
        <f t="array" aca="1" ref="BM36" ca="1">IF(TblConstr[[#This Row],[Hour]:[Hour]]&gt;12,OFFSET(TblConstr[[#This Row],[Tem]],-12,0),0)+OFFSET(TblConstr[[#This Row],[Tot Tem]],-1,0)-TblConstr[[#This Row],[Dest Tem]]</f>
        <v>0</v>
      </c>
      <c r="BN36" s="491"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44344.333333333256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1">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99</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11</v>
      </c>
      <c r="DI36" s="49">
        <f t="shared" ca="1" si="0"/>
        <v>0</v>
      </c>
      <c r="DJ36" s="49">
        <f t="shared" ca="1" si="1"/>
        <v>0</v>
      </c>
    </row>
    <row r="37" spans="1:114" x14ac:dyDescent="0.2">
      <c r="A37" s="228">
        <f>TblRezone[[#This Row],[Hour]]</f>
        <v>34</v>
      </c>
      <c r="B37" s="229">
        <f ca="1">SUM(TblConstr[[#This Row],[Plain]:[Water]])</f>
        <v>159</v>
      </c>
      <c r="C37" s="230">
        <f ca="1">SUM(TblConstr[[#This Row],[Tot Hom]:[Tot Doc]])</f>
        <v>91</v>
      </c>
      <c r="D37" s="230">
        <f t="shared" si="2"/>
        <v>0</v>
      </c>
      <c r="E37" s="231"/>
      <c r="F37" s="74">
        <f ca="1">TblConstr[[#This Row],[Barren]]+TblConstr[[#This Row],[Buildings]]+TblConstr[[#This Row],[Incoming]]</f>
        <v>250</v>
      </c>
      <c r="G37" s="242">
        <f ca="1">OFFSET(TblConstr[[#This Row],[Plain]],-1,0)+TblConstr[[#This Row],[Ch_Plain]]</f>
        <v>39</v>
      </c>
      <c r="H37" s="236">
        <f ca="1">OFFSET(TblConstr[[#This Row],[Forest]],-1,0)+TblConstr[[#This Row],[Ch_Forest]]</f>
        <v>20</v>
      </c>
      <c r="I37" s="481">
        <f ca="1">OFFSET(TblConstr[[#This Row],[Mountain]],-1,0)+TblConstr[[#This Row],[Ch_Mountain]]</f>
        <v>20</v>
      </c>
      <c r="J37" s="485">
        <f ca="1">OFFSET(TblConstr[[#This Row],[Hill]],-1,0)+TblConstr[[#This Row],[Ch_Hill]]</f>
        <v>20</v>
      </c>
      <c r="K37" s="489">
        <f ca="1">OFFSET(TblConstr[[#This Row],[Swamp]],-1,0)+TblConstr[[#This Row],[Ch_Swamp]]</f>
        <v>20</v>
      </c>
      <c r="L37" s="239">
        <f ca="1">OFFSET(TblConstr[[#This Row],[Cavern]],-1,0)+TblConstr[[#This Row],[Ch_Cavern]]</f>
        <v>20</v>
      </c>
      <c r="M37" s="240">
        <f ca="1">OFFSET(TblConstr[[#This Row],[Water]],-1,0)+TblConstr[[#This Row],[Ch_Water]]</f>
        <v>20</v>
      </c>
      <c r="N37" s="479">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44344.37499999992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281256</v>
      </c>
      <c r="AL37" s="113">
        <f ca="1">TblProd[[#This Row],[Lumber]]</f>
        <v>38929</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11</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3" cm="1">
        <f t="array" aca="1" ref="BF37" ca="1">IF(TblConstr[[#This Row],[Hour]:[Hour]]&gt;12,OFFSET(TblConstr[[#This Row],[OM]],-12,0),0)+OFFSET(TblConstr[[#This Row],[Tot OM]],-1,0)-TblConstr[[#This Row],[Dest OM]]</f>
        <v>0</v>
      </c>
      <c r="BG37" s="483" cm="1">
        <f t="array" aca="1" ref="BG37" ca="1">IF(TblConstr[[#This Row],[Hour]:[Hour]]&gt;12,OFFSET(TblConstr[[#This Row],[GN]],-12,0),0)+OFFSET(TblConstr[[#This Row],[Tot GN]],-1,0)-TblConstr[[#This Row],[Dest GN]]</f>
        <v>0</v>
      </c>
      <c r="BH37" s="487" cm="1">
        <f t="array" aca="1" ref="BH37" ca="1">IF(TblConstr[[#This Row],[Hour]:[Hour]]&gt;12,OFFSET(TblConstr[[#This Row],[Fac]],-12,0),0)+OFFSET(TblConstr[[#This Row],[Tot Fac]],-1,0)-TblConstr[[#This Row],[Dest Fac]]</f>
        <v>0</v>
      </c>
      <c r="BI37" s="487" cm="1">
        <f t="array" aca="1" ref="BI37" ca="1">IF(TblConstr[[#This Row],[Hour]:[Hour]]&gt;12,OFFSET(TblConstr[[#This Row],[GT]],-12,0),0)+OFFSET(TblConstr[[#This Row],[Tot GT]],-1,0)-TblConstr[[#This Row],[Dest GT]]</f>
        <v>0</v>
      </c>
      <c r="BJ37" s="487" cm="1">
        <f t="array" aca="1" ref="BJ37" ca="1">IF(TblConstr[[#This Row],[Hour]:[Hour]]&gt;12,OFFSET(TblConstr[[#This Row],[Bar]],-12,0),0)+OFFSET(TblConstr[[#This Row],[Tot Bar]],-1,0)-TblConstr[[#This Row],[Dest Bar]]</f>
        <v>0</v>
      </c>
      <c r="BK37" s="487" cm="1">
        <f t="array" aca="1" ref="BK37" ca="1">IF(TblConstr[[#This Row],[Hour]:[Hour]]&gt;12,OFFSET(TblConstr[[#This Row],[Shr]],-12,0),0)+OFFSET(TblConstr[[#This Row],[Tot Shr]],-1,0)-TblConstr[[#This Row],[Dest Shr]]</f>
        <v>0</v>
      </c>
      <c r="BL37" s="491" cm="1">
        <f t="array" aca="1" ref="BL37" ca="1">IF(TblConstr[[#This Row],[Hour]:[Hour]]&gt;12,OFFSET(TblConstr[[#This Row],[Tow]],-12,0),0)+OFFSET(TblConstr[[#This Row],[Tot Tow]],-1,0)-TblConstr[[#This Row],[Dest Tow]]</f>
        <v>0</v>
      </c>
      <c r="BM37" s="491" cm="1">
        <f t="array" aca="1" ref="BM37" ca="1">IF(TblConstr[[#This Row],[Hour]:[Hour]]&gt;12,OFFSET(TblConstr[[#This Row],[Tem]],-12,0),0)+OFFSET(TblConstr[[#This Row],[Tot Tem]],-1,0)-TblConstr[[#This Row],[Dest Tem]]</f>
        <v>0</v>
      </c>
      <c r="BN37" s="491"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44344.37499999992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1">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99</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11</v>
      </c>
      <c r="DI37" s="49">
        <f t="shared" ca="1" si="0"/>
        <v>0</v>
      </c>
      <c r="DJ37" s="49">
        <f t="shared" ca="1" si="1"/>
        <v>0</v>
      </c>
    </row>
    <row r="38" spans="1:114" x14ac:dyDescent="0.2">
      <c r="A38" s="228">
        <f>TblRezone[[#This Row],[Hour]]</f>
        <v>35</v>
      </c>
      <c r="B38" s="229">
        <f ca="1">SUM(TblConstr[[#This Row],[Plain]:[Water]])</f>
        <v>159</v>
      </c>
      <c r="C38" s="230">
        <f ca="1">SUM(TblConstr[[#This Row],[Tot Hom]:[Tot Doc]])</f>
        <v>91</v>
      </c>
      <c r="D38" s="230">
        <f t="shared" si="2"/>
        <v>0</v>
      </c>
      <c r="E38" s="231"/>
      <c r="F38" s="74">
        <f ca="1">TblConstr[[#This Row],[Barren]]+TblConstr[[#This Row],[Buildings]]+TblConstr[[#This Row],[Incoming]]</f>
        <v>250</v>
      </c>
      <c r="G38" s="242">
        <f ca="1">OFFSET(TblConstr[[#This Row],[Plain]],-1,0)+TblConstr[[#This Row],[Ch_Plain]]</f>
        <v>39</v>
      </c>
      <c r="H38" s="236">
        <f ca="1">OFFSET(TblConstr[[#This Row],[Forest]],-1,0)+TblConstr[[#This Row],[Ch_Forest]]</f>
        <v>20</v>
      </c>
      <c r="I38" s="481">
        <f ca="1">OFFSET(TblConstr[[#This Row],[Mountain]],-1,0)+TblConstr[[#This Row],[Ch_Mountain]]</f>
        <v>20</v>
      </c>
      <c r="J38" s="485">
        <f ca="1">OFFSET(TblConstr[[#This Row],[Hill]],-1,0)+TblConstr[[#This Row],[Ch_Hill]]</f>
        <v>20</v>
      </c>
      <c r="K38" s="489">
        <f ca="1">OFFSET(TblConstr[[#This Row],[Swamp]],-1,0)+TblConstr[[#This Row],[Ch_Swamp]]</f>
        <v>20</v>
      </c>
      <c r="L38" s="239">
        <f ca="1">OFFSET(TblConstr[[#This Row],[Cavern]],-1,0)+TblConstr[[#This Row],[Ch_Cavern]]</f>
        <v>20</v>
      </c>
      <c r="M38" s="240">
        <f ca="1">OFFSET(TblConstr[[#This Row],[Water]],-1,0)+TblConstr[[#This Row],[Ch_Water]]</f>
        <v>20</v>
      </c>
      <c r="N38" s="479">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44344.416666666584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286799</v>
      </c>
      <c r="AL38" s="113">
        <f ca="1">TblProd[[#This Row],[Lumber]]</f>
        <v>39540</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11</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3" cm="1">
        <f t="array" aca="1" ref="BF38" ca="1">IF(TblConstr[[#This Row],[Hour]:[Hour]]&gt;12,OFFSET(TblConstr[[#This Row],[OM]],-12,0),0)+OFFSET(TblConstr[[#This Row],[Tot OM]],-1,0)-TblConstr[[#This Row],[Dest OM]]</f>
        <v>0</v>
      </c>
      <c r="BG38" s="483" cm="1">
        <f t="array" aca="1" ref="BG38" ca="1">IF(TblConstr[[#This Row],[Hour]:[Hour]]&gt;12,OFFSET(TblConstr[[#This Row],[GN]],-12,0),0)+OFFSET(TblConstr[[#This Row],[Tot GN]],-1,0)-TblConstr[[#This Row],[Dest GN]]</f>
        <v>0</v>
      </c>
      <c r="BH38" s="487" cm="1">
        <f t="array" aca="1" ref="BH38" ca="1">IF(TblConstr[[#This Row],[Hour]:[Hour]]&gt;12,OFFSET(TblConstr[[#This Row],[Fac]],-12,0),0)+OFFSET(TblConstr[[#This Row],[Tot Fac]],-1,0)-TblConstr[[#This Row],[Dest Fac]]</f>
        <v>0</v>
      </c>
      <c r="BI38" s="487" cm="1">
        <f t="array" aca="1" ref="BI38" ca="1">IF(TblConstr[[#This Row],[Hour]:[Hour]]&gt;12,OFFSET(TblConstr[[#This Row],[GT]],-12,0),0)+OFFSET(TblConstr[[#This Row],[Tot GT]],-1,0)-TblConstr[[#This Row],[Dest GT]]</f>
        <v>0</v>
      </c>
      <c r="BJ38" s="487" cm="1">
        <f t="array" aca="1" ref="BJ38" ca="1">IF(TblConstr[[#This Row],[Hour]:[Hour]]&gt;12,OFFSET(TblConstr[[#This Row],[Bar]],-12,0),0)+OFFSET(TblConstr[[#This Row],[Tot Bar]],-1,0)-TblConstr[[#This Row],[Dest Bar]]</f>
        <v>0</v>
      </c>
      <c r="BK38" s="487" cm="1">
        <f t="array" aca="1" ref="BK38" ca="1">IF(TblConstr[[#This Row],[Hour]:[Hour]]&gt;12,OFFSET(TblConstr[[#This Row],[Shr]],-12,0),0)+OFFSET(TblConstr[[#This Row],[Tot Shr]],-1,0)-TblConstr[[#This Row],[Dest Shr]]</f>
        <v>0</v>
      </c>
      <c r="BL38" s="491" cm="1">
        <f t="array" aca="1" ref="BL38" ca="1">IF(TblConstr[[#This Row],[Hour]:[Hour]]&gt;12,OFFSET(TblConstr[[#This Row],[Tow]],-12,0),0)+OFFSET(TblConstr[[#This Row],[Tot Tow]],-1,0)-TblConstr[[#This Row],[Dest Tow]]</f>
        <v>0</v>
      </c>
      <c r="BM38" s="491" cm="1">
        <f t="array" aca="1" ref="BM38" ca="1">IF(TblConstr[[#This Row],[Hour]:[Hour]]&gt;12,OFFSET(TblConstr[[#This Row],[Tem]],-12,0),0)+OFFSET(TblConstr[[#This Row],[Tot Tem]],-1,0)-TblConstr[[#This Row],[Dest Tem]]</f>
        <v>0</v>
      </c>
      <c r="BN38" s="491"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44344.416666666584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1">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99</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11</v>
      </c>
      <c r="DI38" s="49">
        <f t="shared" ca="1" si="0"/>
        <v>0</v>
      </c>
      <c r="DJ38" s="49">
        <f t="shared" ca="1" si="1"/>
        <v>0</v>
      </c>
    </row>
    <row r="39" spans="1:114" x14ac:dyDescent="0.2">
      <c r="A39" s="228">
        <f>TblRezone[[#This Row],[Hour]]</f>
        <v>36</v>
      </c>
      <c r="B39" s="229">
        <f ca="1">SUM(TblConstr[[#This Row],[Plain]:[Water]])</f>
        <v>159</v>
      </c>
      <c r="C39" s="230">
        <f ca="1">SUM(TblConstr[[#This Row],[Tot Hom]:[Tot Doc]])</f>
        <v>91</v>
      </c>
      <c r="D39" s="230">
        <f t="shared" si="2"/>
        <v>0</v>
      </c>
      <c r="E39" s="231"/>
      <c r="F39" s="74">
        <f ca="1">TblConstr[[#This Row],[Barren]]+TblConstr[[#This Row],[Buildings]]+TblConstr[[#This Row],[Incoming]]</f>
        <v>250</v>
      </c>
      <c r="G39" s="242">
        <f ca="1">OFFSET(TblConstr[[#This Row],[Plain]],-1,0)+TblConstr[[#This Row],[Ch_Plain]]</f>
        <v>39</v>
      </c>
      <c r="H39" s="236">
        <f ca="1">OFFSET(TblConstr[[#This Row],[Forest]],-1,0)+TblConstr[[#This Row],[Ch_Forest]]</f>
        <v>20</v>
      </c>
      <c r="I39" s="481">
        <f ca="1">OFFSET(TblConstr[[#This Row],[Mountain]],-1,0)+TblConstr[[#This Row],[Ch_Mountain]]</f>
        <v>20</v>
      </c>
      <c r="J39" s="485">
        <f ca="1">OFFSET(TblConstr[[#This Row],[Hill]],-1,0)+TblConstr[[#This Row],[Ch_Hill]]</f>
        <v>20</v>
      </c>
      <c r="K39" s="489">
        <f ca="1">OFFSET(TblConstr[[#This Row],[Swamp]],-1,0)+TblConstr[[#This Row],[Ch_Swamp]]</f>
        <v>20</v>
      </c>
      <c r="L39" s="239">
        <f ca="1">OFFSET(TblConstr[[#This Row],[Cavern]],-1,0)+TblConstr[[#This Row],[Ch_Cavern]]</f>
        <v>20</v>
      </c>
      <c r="M39" s="240">
        <f ca="1">OFFSET(TblConstr[[#This Row],[Water]],-1,0)+TblConstr[[#This Row],[Ch_Water]]</f>
        <v>20</v>
      </c>
      <c r="N39" s="479">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44344.458333333248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292298</v>
      </c>
      <c r="AL39" s="113">
        <f ca="1">TblProd[[#This Row],[Lumber]]</f>
        <v>40145</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11</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3" cm="1">
        <f t="array" aca="1" ref="BF39" ca="1">IF(TblConstr[[#This Row],[Hour]:[Hour]]&gt;12,OFFSET(TblConstr[[#This Row],[OM]],-12,0),0)+OFFSET(TblConstr[[#This Row],[Tot OM]],-1,0)-TblConstr[[#This Row],[Dest OM]]</f>
        <v>0</v>
      </c>
      <c r="BG39" s="483" cm="1">
        <f t="array" aca="1" ref="BG39" ca="1">IF(TblConstr[[#This Row],[Hour]:[Hour]]&gt;12,OFFSET(TblConstr[[#This Row],[GN]],-12,0),0)+OFFSET(TblConstr[[#This Row],[Tot GN]],-1,0)-TblConstr[[#This Row],[Dest GN]]</f>
        <v>0</v>
      </c>
      <c r="BH39" s="487" cm="1">
        <f t="array" aca="1" ref="BH39" ca="1">IF(TblConstr[[#This Row],[Hour]:[Hour]]&gt;12,OFFSET(TblConstr[[#This Row],[Fac]],-12,0),0)+OFFSET(TblConstr[[#This Row],[Tot Fac]],-1,0)-TblConstr[[#This Row],[Dest Fac]]</f>
        <v>0</v>
      </c>
      <c r="BI39" s="487" cm="1">
        <f t="array" aca="1" ref="BI39" ca="1">IF(TblConstr[[#This Row],[Hour]:[Hour]]&gt;12,OFFSET(TblConstr[[#This Row],[GT]],-12,0),0)+OFFSET(TblConstr[[#This Row],[Tot GT]],-1,0)-TblConstr[[#This Row],[Dest GT]]</f>
        <v>0</v>
      </c>
      <c r="BJ39" s="487" cm="1">
        <f t="array" aca="1" ref="BJ39" ca="1">IF(TblConstr[[#This Row],[Hour]:[Hour]]&gt;12,OFFSET(TblConstr[[#This Row],[Bar]],-12,0),0)+OFFSET(TblConstr[[#This Row],[Tot Bar]],-1,0)-TblConstr[[#This Row],[Dest Bar]]</f>
        <v>0</v>
      </c>
      <c r="BK39" s="487" cm="1">
        <f t="array" aca="1" ref="BK39" ca="1">IF(TblConstr[[#This Row],[Hour]:[Hour]]&gt;12,OFFSET(TblConstr[[#This Row],[Shr]],-12,0),0)+OFFSET(TblConstr[[#This Row],[Tot Shr]],-1,0)-TblConstr[[#This Row],[Dest Shr]]</f>
        <v>0</v>
      </c>
      <c r="BL39" s="491" cm="1">
        <f t="array" aca="1" ref="BL39" ca="1">IF(TblConstr[[#This Row],[Hour]:[Hour]]&gt;12,OFFSET(TblConstr[[#This Row],[Tow]],-12,0),0)+OFFSET(TblConstr[[#This Row],[Tot Tow]],-1,0)-TblConstr[[#This Row],[Dest Tow]]</f>
        <v>0</v>
      </c>
      <c r="BM39" s="491" cm="1">
        <f t="array" aca="1" ref="BM39" ca="1">IF(TblConstr[[#This Row],[Hour]:[Hour]]&gt;12,OFFSET(TblConstr[[#This Row],[Tem]],-12,0),0)+OFFSET(TblConstr[[#This Row],[Tot Tem]],-1,0)-TblConstr[[#This Row],[Dest Tem]]</f>
        <v>0</v>
      </c>
      <c r="BN39" s="491"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44344.458333333248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1">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99</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11</v>
      </c>
      <c r="DI39" s="49">
        <f t="shared" ca="1" si="0"/>
        <v>0</v>
      </c>
      <c r="DJ39" s="49">
        <f t="shared" ca="1" si="1"/>
        <v>0</v>
      </c>
    </row>
    <row r="40" spans="1:114" x14ac:dyDescent="0.2">
      <c r="A40" s="228">
        <f>TblRezone[[#This Row],[Hour]]</f>
        <v>37</v>
      </c>
      <c r="B40" s="229">
        <f ca="1">SUM(TblConstr[[#This Row],[Plain]:[Water]])</f>
        <v>159</v>
      </c>
      <c r="C40" s="230">
        <f ca="1">SUM(TblConstr[[#This Row],[Tot Hom]:[Tot Doc]])</f>
        <v>91</v>
      </c>
      <c r="D40" s="230">
        <f t="shared" si="2"/>
        <v>0</v>
      </c>
      <c r="E40" s="231"/>
      <c r="F40" s="74">
        <f ca="1">TblConstr[[#This Row],[Barren]]+TblConstr[[#This Row],[Buildings]]+TblConstr[[#This Row],[Incoming]]</f>
        <v>250</v>
      </c>
      <c r="G40" s="242">
        <f ca="1">OFFSET(TblConstr[[#This Row],[Plain]],-1,0)+TblConstr[[#This Row],[Ch_Plain]]</f>
        <v>39</v>
      </c>
      <c r="H40" s="236">
        <f ca="1">OFFSET(TblConstr[[#This Row],[Forest]],-1,0)+TblConstr[[#This Row],[Ch_Forest]]</f>
        <v>20</v>
      </c>
      <c r="I40" s="481">
        <f ca="1">OFFSET(TblConstr[[#This Row],[Mountain]],-1,0)+TblConstr[[#This Row],[Ch_Mountain]]</f>
        <v>20</v>
      </c>
      <c r="J40" s="485">
        <f ca="1">OFFSET(TblConstr[[#This Row],[Hill]],-1,0)+TblConstr[[#This Row],[Ch_Hill]]</f>
        <v>20</v>
      </c>
      <c r="K40" s="489">
        <f ca="1">OFFSET(TblConstr[[#This Row],[Swamp]],-1,0)+TblConstr[[#This Row],[Ch_Swamp]]</f>
        <v>20</v>
      </c>
      <c r="L40" s="239">
        <f ca="1">OFFSET(TblConstr[[#This Row],[Cavern]],-1,0)+TblConstr[[#This Row],[Ch_Cavern]]</f>
        <v>20</v>
      </c>
      <c r="M40" s="240">
        <f ca="1">OFFSET(TblConstr[[#This Row],[Water]],-1,0)+TblConstr[[#This Row],[Ch_Water]]</f>
        <v>20</v>
      </c>
      <c r="N40" s="479">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44344.499999999913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297797</v>
      </c>
      <c r="AL40" s="113">
        <f ca="1">TblProd[[#This Row],[Lumber]]</f>
        <v>40744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11</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3" cm="1">
        <f t="array" aca="1" ref="BF40" ca="1">IF(TblConstr[[#This Row],[Hour]:[Hour]]&gt;12,OFFSET(TblConstr[[#This Row],[OM]],-12,0),0)+OFFSET(TblConstr[[#This Row],[Tot OM]],-1,0)-TblConstr[[#This Row],[Dest OM]]</f>
        <v>0</v>
      </c>
      <c r="BG40" s="483" cm="1">
        <f t="array" aca="1" ref="BG40" ca="1">IF(TblConstr[[#This Row],[Hour]:[Hour]]&gt;12,OFFSET(TblConstr[[#This Row],[GN]],-12,0),0)+OFFSET(TblConstr[[#This Row],[Tot GN]],-1,0)-TblConstr[[#This Row],[Dest GN]]</f>
        <v>0</v>
      </c>
      <c r="BH40" s="487" cm="1">
        <f t="array" aca="1" ref="BH40" ca="1">IF(TblConstr[[#This Row],[Hour]:[Hour]]&gt;12,OFFSET(TblConstr[[#This Row],[Fac]],-12,0),0)+OFFSET(TblConstr[[#This Row],[Tot Fac]],-1,0)-TblConstr[[#This Row],[Dest Fac]]</f>
        <v>0</v>
      </c>
      <c r="BI40" s="487" cm="1">
        <f t="array" aca="1" ref="BI40" ca="1">IF(TblConstr[[#This Row],[Hour]:[Hour]]&gt;12,OFFSET(TblConstr[[#This Row],[GT]],-12,0),0)+OFFSET(TblConstr[[#This Row],[Tot GT]],-1,0)-TblConstr[[#This Row],[Dest GT]]</f>
        <v>0</v>
      </c>
      <c r="BJ40" s="487" cm="1">
        <f t="array" aca="1" ref="BJ40" ca="1">IF(TblConstr[[#This Row],[Hour]:[Hour]]&gt;12,OFFSET(TblConstr[[#This Row],[Bar]],-12,0),0)+OFFSET(TblConstr[[#This Row],[Tot Bar]],-1,0)-TblConstr[[#This Row],[Dest Bar]]</f>
        <v>0</v>
      </c>
      <c r="BK40" s="487" cm="1">
        <f t="array" aca="1" ref="BK40" ca="1">IF(TblConstr[[#This Row],[Hour]:[Hour]]&gt;12,OFFSET(TblConstr[[#This Row],[Shr]],-12,0),0)+OFFSET(TblConstr[[#This Row],[Tot Shr]],-1,0)-TblConstr[[#This Row],[Dest Shr]]</f>
        <v>0</v>
      </c>
      <c r="BL40" s="491" cm="1">
        <f t="array" aca="1" ref="BL40" ca="1">IF(TblConstr[[#This Row],[Hour]:[Hour]]&gt;12,OFFSET(TblConstr[[#This Row],[Tow]],-12,0),0)+OFFSET(TblConstr[[#This Row],[Tot Tow]],-1,0)-TblConstr[[#This Row],[Dest Tow]]</f>
        <v>0</v>
      </c>
      <c r="BM40" s="491" cm="1">
        <f t="array" aca="1" ref="BM40" ca="1">IF(TblConstr[[#This Row],[Hour]:[Hour]]&gt;12,OFFSET(TblConstr[[#This Row],[Tem]],-12,0),0)+OFFSET(TblConstr[[#This Row],[Tot Tem]],-1,0)-TblConstr[[#This Row],[Dest Tem]]</f>
        <v>0</v>
      </c>
      <c r="BN40" s="491"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44344.499999999913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1">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99</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11</v>
      </c>
      <c r="DI40" s="49">
        <f t="shared" ca="1" si="0"/>
        <v>0</v>
      </c>
      <c r="DJ40" s="49">
        <f t="shared" ca="1" si="1"/>
        <v>0</v>
      </c>
    </row>
    <row r="41" spans="1:114" x14ac:dyDescent="0.2">
      <c r="A41" s="228">
        <f>TblRezone[[#This Row],[Hour]]</f>
        <v>38</v>
      </c>
      <c r="B41" s="229">
        <f ca="1">SUM(TblConstr[[#This Row],[Plain]:[Water]])</f>
        <v>159</v>
      </c>
      <c r="C41" s="230">
        <f ca="1">SUM(TblConstr[[#This Row],[Tot Hom]:[Tot Doc]])</f>
        <v>91</v>
      </c>
      <c r="D41" s="230">
        <f t="shared" si="2"/>
        <v>0</v>
      </c>
      <c r="E41" s="231"/>
      <c r="F41" s="74">
        <f ca="1">TblConstr[[#This Row],[Barren]]+TblConstr[[#This Row],[Buildings]]+TblConstr[[#This Row],[Incoming]]</f>
        <v>250</v>
      </c>
      <c r="G41" s="242">
        <f ca="1">OFFSET(TblConstr[[#This Row],[Plain]],-1,0)+TblConstr[[#This Row],[Ch_Plain]]</f>
        <v>39</v>
      </c>
      <c r="H41" s="236">
        <f ca="1">OFFSET(TblConstr[[#This Row],[Forest]],-1,0)+TblConstr[[#This Row],[Ch_Forest]]</f>
        <v>20</v>
      </c>
      <c r="I41" s="481">
        <f ca="1">OFFSET(TblConstr[[#This Row],[Mountain]],-1,0)+TblConstr[[#This Row],[Ch_Mountain]]</f>
        <v>20</v>
      </c>
      <c r="J41" s="485">
        <f ca="1">OFFSET(TblConstr[[#This Row],[Hill]],-1,0)+TblConstr[[#This Row],[Ch_Hill]]</f>
        <v>20</v>
      </c>
      <c r="K41" s="489">
        <f ca="1">OFFSET(TblConstr[[#This Row],[Swamp]],-1,0)+TblConstr[[#This Row],[Ch_Swamp]]</f>
        <v>20</v>
      </c>
      <c r="L41" s="239">
        <f ca="1">OFFSET(TblConstr[[#This Row],[Cavern]],-1,0)+TblConstr[[#This Row],[Ch_Cavern]]</f>
        <v>20</v>
      </c>
      <c r="M41" s="240">
        <f ca="1">OFFSET(TblConstr[[#This Row],[Water]],-1,0)+TblConstr[[#This Row],[Ch_Water]]</f>
        <v>20</v>
      </c>
      <c r="N41" s="479">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44344.541666666577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303296</v>
      </c>
      <c r="AL41" s="113">
        <f ca="1">TblProd[[#This Row],[Lumber]]</f>
        <v>41337</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11</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3" cm="1">
        <f t="array" aca="1" ref="BF41" ca="1">IF(TblConstr[[#This Row],[Hour]:[Hour]]&gt;12,OFFSET(TblConstr[[#This Row],[OM]],-12,0),0)+OFFSET(TblConstr[[#This Row],[Tot OM]],-1,0)-TblConstr[[#This Row],[Dest OM]]</f>
        <v>0</v>
      </c>
      <c r="BG41" s="483" cm="1">
        <f t="array" aca="1" ref="BG41" ca="1">IF(TblConstr[[#This Row],[Hour]:[Hour]]&gt;12,OFFSET(TblConstr[[#This Row],[GN]],-12,0),0)+OFFSET(TblConstr[[#This Row],[Tot GN]],-1,0)-TblConstr[[#This Row],[Dest GN]]</f>
        <v>0</v>
      </c>
      <c r="BH41" s="487" cm="1">
        <f t="array" aca="1" ref="BH41" ca="1">IF(TblConstr[[#This Row],[Hour]:[Hour]]&gt;12,OFFSET(TblConstr[[#This Row],[Fac]],-12,0),0)+OFFSET(TblConstr[[#This Row],[Tot Fac]],-1,0)-TblConstr[[#This Row],[Dest Fac]]</f>
        <v>0</v>
      </c>
      <c r="BI41" s="487" cm="1">
        <f t="array" aca="1" ref="BI41" ca="1">IF(TblConstr[[#This Row],[Hour]:[Hour]]&gt;12,OFFSET(TblConstr[[#This Row],[GT]],-12,0),0)+OFFSET(TblConstr[[#This Row],[Tot GT]],-1,0)-TblConstr[[#This Row],[Dest GT]]</f>
        <v>0</v>
      </c>
      <c r="BJ41" s="487" cm="1">
        <f t="array" aca="1" ref="BJ41" ca="1">IF(TblConstr[[#This Row],[Hour]:[Hour]]&gt;12,OFFSET(TblConstr[[#This Row],[Bar]],-12,0),0)+OFFSET(TblConstr[[#This Row],[Tot Bar]],-1,0)-TblConstr[[#This Row],[Dest Bar]]</f>
        <v>0</v>
      </c>
      <c r="BK41" s="487" cm="1">
        <f t="array" aca="1" ref="BK41" ca="1">IF(TblConstr[[#This Row],[Hour]:[Hour]]&gt;12,OFFSET(TblConstr[[#This Row],[Shr]],-12,0),0)+OFFSET(TblConstr[[#This Row],[Tot Shr]],-1,0)-TblConstr[[#This Row],[Dest Shr]]</f>
        <v>0</v>
      </c>
      <c r="BL41" s="491" cm="1">
        <f t="array" aca="1" ref="BL41" ca="1">IF(TblConstr[[#This Row],[Hour]:[Hour]]&gt;12,OFFSET(TblConstr[[#This Row],[Tow]],-12,0),0)+OFFSET(TblConstr[[#This Row],[Tot Tow]],-1,0)-TblConstr[[#This Row],[Dest Tow]]</f>
        <v>0</v>
      </c>
      <c r="BM41" s="491" cm="1">
        <f t="array" aca="1" ref="BM41" ca="1">IF(TblConstr[[#This Row],[Hour]:[Hour]]&gt;12,OFFSET(TblConstr[[#This Row],[Tem]],-12,0),0)+OFFSET(TblConstr[[#This Row],[Tot Tem]],-1,0)-TblConstr[[#This Row],[Dest Tem]]</f>
        <v>0</v>
      </c>
      <c r="BN41" s="491"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44344.541666666577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1">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99</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11</v>
      </c>
      <c r="DI41" s="49">
        <f t="shared" ca="1" si="0"/>
        <v>0</v>
      </c>
      <c r="DJ41" s="49">
        <f t="shared" ca="1" si="1"/>
        <v>0</v>
      </c>
    </row>
    <row r="42" spans="1:114" x14ac:dyDescent="0.2">
      <c r="A42" s="228">
        <f>TblRezone[[#This Row],[Hour]]</f>
        <v>39</v>
      </c>
      <c r="B42" s="229">
        <f ca="1">SUM(TblConstr[[#This Row],[Plain]:[Water]])</f>
        <v>159</v>
      </c>
      <c r="C42" s="230">
        <f ca="1">SUM(TblConstr[[#This Row],[Tot Hom]:[Tot Doc]])</f>
        <v>91</v>
      </c>
      <c r="D42" s="230">
        <f t="shared" si="2"/>
        <v>0</v>
      </c>
      <c r="E42" s="231"/>
      <c r="F42" s="74">
        <f ca="1">TblConstr[[#This Row],[Barren]]+TblConstr[[#This Row],[Buildings]]+TblConstr[[#This Row],[Incoming]]</f>
        <v>250</v>
      </c>
      <c r="G42" s="242">
        <f ca="1">OFFSET(TblConstr[[#This Row],[Plain]],-1,0)+TblConstr[[#This Row],[Ch_Plain]]</f>
        <v>39</v>
      </c>
      <c r="H42" s="236">
        <f ca="1">OFFSET(TblConstr[[#This Row],[Forest]],-1,0)+TblConstr[[#This Row],[Ch_Forest]]</f>
        <v>20</v>
      </c>
      <c r="I42" s="481">
        <f ca="1">OFFSET(TblConstr[[#This Row],[Mountain]],-1,0)+TblConstr[[#This Row],[Ch_Mountain]]</f>
        <v>20</v>
      </c>
      <c r="J42" s="485">
        <f ca="1">OFFSET(TblConstr[[#This Row],[Hill]],-1,0)+TblConstr[[#This Row],[Ch_Hill]]</f>
        <v>20</v>
      </c>
      <c r="K42" s="489">
        <f ca="1">OFFSET(TblConstr[[#This Row],[Swamp]],-1,0)+TblConstr[[#This Row],[Ch_Swamp]]</f>
        <v>20</v>
      </c>
      <c r="L42" s="239">
        <f ca="1">OFFSET(TblConstr[[#This Row],[Cavern]],-1,0)+TblConstr[[#This Row],[Ch_Cavern]]</f>
        <v>20</v>
      </c>
      <c r="M42" s="240">
        <f ca="1">OFFSET(TblConstr[[#This Row],[Water]],-1,0)+TblConstr[[#This Row],[Ch_Water]]</f>
        <v>20</v>
      </c>
      <c r="N42" s="479">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44344.583333333241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308795</v>
      </c>
      <c r="AL42" s="113">
        <f ca="1">TblProd[[#This Row],[Lumber]]</f>
        <v>41924</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11</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3" cm="1">
        <f t="array" aca="1" ref="BF42" ca="1">IF(TblConstr[[#This Row],[Hour]:[Hour]]&gt;12,OFFSET(TblConstr[[#This Row],[OM]],-12,0),0)+OFFSET(TblConstr[[#This Row],[Tot OM]],-1,0)-TblConstr[[#This Row],[Dest OM]]</f>
        <v>0</v>
      </c>
      <c r="BG42" s="483" cm="1">
        <f t="array" aca="1" ref="BG42" ca="1">IF(TblConstr[[#This Row],[Hour]:[Hour]]&gt;12,OFFSET(TblConstr[[#This Row],[GN]],-12,0),0)+OFFSET(TblConstr[[#This Row],[Tot GN]],-1,0)-TblConstr[[#This Row],[Dest GN]]</f>
        <v>0</v>
      </c>
      <c r="BH42" s="487" cm="1">
        <f t="array" aca="1" ref="BH42" ca="1">IF(TblConstr[[#This Row],[Hour]:[Hour]]&gt;12,OFFSET(TblConstr[[#This Row],[Fac]],-12,0),0)+OFFSET(TblConstr[[#This Row],[Tot Fac]],-1,0)-TblConstr[[#This Row],[Dest Fac]]</f>
        <v>0</v>
      </c>
      <c r="BI42" s="487" cm="1">
        <f t="array" aca="1" ref="BI42" ca="1">IF(TblConstr[[#This Row],[Hour]:[Hour]]&gt;12,OFFSET(TblConstr[[#This Row],[GT]],-12,0),0)+OFFSET(TblConstr[[#This Row],[Tot GT]],-1,0)-TblConstr[[#This Row],[Dest GT]]</f>
        <v>0</v>
      </c>
      <c r="BJ42" s="487" cm="1">
        <f t="array" aca="1" ref="BJ42" ca="1">IF(TblConstr[[#This Row],[Hour]:[Hour]]&gt;12,OFFSET(TblConstr[[#This Row],[Bar]],-12,0),0)+OFFSET(TblConstr[[#This Row],[Tot Bar]],-1,0)-TblConstr[[#This Row],[Dest Bar]]</f>
        <v>0</v>
      </c>
      <c r="BK42" s="487" cm="1">
        <f t="array" aca="1" ref="BK42" ca="1">IF(TblConstr[[#This Row],[Hour]:[Hour]]&gt;12,OFFSET(TblConstr[[#This Row],[Shr]],-12,0),0)+OFFSET(TblConstr[[#This Row],[Tot Shr]],-1,0)-TblConstr[[#This Row],[Dest Shr]]</f>
        <v>0</v>
      </c>
      <c r="BL42" s="491" cm="1">
        <f t="array" aca="1" ref="BL42" ca="1">IF(TblConstr[[#This Row],[Hour]:[Hour]]&gt;12,OFFSET(TblConstr[[#This Row],[Tow]],-12,0),0)+OFFSET(TblConstr[[#This Row],[Tot Tow]],-1,0)-TblConstr[[#This Row],[Dest Tow]]</f>
        <v>0</v>
      </c>
      <c r="BM42" s="491" cm="1">
        <f t="array" aca="1" ref="BM42" ca="1">IF(TblConstr[[#This Row],[Hour]:[Hour]]&gt;12,OFFSET(TblConstr[[#This Row],[Tem]],-12,0),0)+OFFSET(TblConstr[[#This Row],[Tot Tem]],-1,0)-TblConstr[[#This Row],[Dest Tem]]</f>
        <v>0</v>
      </c>
      <c r="BN42" s="491"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44344.583333333241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1">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99</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11</v>
      </c>
      <c r="DI42" s="49">
        <f t="shared" ca="1" si="0"/>
        <v>0</v>
      </c>
      <c r="DJ42" s="49">
        <f t="shared" ca="1" si="1"/>
        <v>0</v>
      </c>
    </row>
    <row r="43" spans="1:114" x14ac:dyDescent="0.2">
      <c r="A43" s="228">
        <f>TblRezone[[#This Row],[Hour]]</f>
        <v>40</v>
      </c>
      <c r="B43" s="229">
        <f ca="1">SUM(TblConstr[[#This Row],[Plain]:[Water]])</f>
        <v>159</v>
      </c>
      <c r="C43" s="230">
        <f ca="1">SUM(TblConstr[[#This Row],[Tot Hom]:[Tot Doc]])</f>
        <v>91</v>
      </c>
      <c r="D43" s="230">
        <f t="shared" si="2"/>
        <v>0</v>
      </c>
      <c r="E43" s="231"/>
      <c r="F43" s="74">
        <f ca="1">TblConstr[[#This Row],[Barren]]+TblConstr[[#This Row],[Buildings]]+TblConstr[[#This Row],[Incoming]]</f>
        <v>250</v>
      </c>
      <c r="G43" s="242">
        <f ca="1">OFFSET(TblConstr[[#This Row],[Plain]],-1,0)+TblConstr[[#This Row],[Ch_Plain]]</f>
        <v>39</v>
      </c>
      <c r="H43" s="236">
        <f ca="1">OFFSET(TblConstr[[#This Row],[Forest]],-1,0)+TblConstr[[#This Row],[Ch_Forest]]</f>
        <v>20</v>
      </c>
      <c r="I43" s="481">
        <f ca="1">OFFSET(TblConstr[[#This Row],[Mountain]],-1,0)+TblConstr[[#This Row],[Ch_Mountain]]</f>
        <v>20</v>
      </c>
      <c r="J43" s="485">
        <f ca="1">OFFSET(TblConstr[[#This Row],[Hill]],-1,0)+TblConstr[[#This Row],[Ch_Hill]]</f>
        <v>20</v>
      </c>
      <c r="K43" s="489">
        <f ca="1">OFFSET(TblConstr[[#This Row],[Swamp]],-1,0)+TblConstr[[#This Row],[Ch_Swamp]]</f>
        <v>20</v>
      </c>
      <c r="L43" s="239">
        <f ca="1">OFFSET(TblConstr[[#This Row],[Cavern]],-1,0)+TblConstr[[#This Row],[Ch_Cavern]]</f>
        <v>20</v>
      </c>
      <c r="M43" s="240">
        <f ca="1">OFFSET(TblConstr[[#This Row],[Water]],-1,0)+TblConstr[[#This Row],[Ch_Water]]</f>
        <v>20</v>
      </c>
      <c r="N43" s="479">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44344.624999999905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314294</v>
      </c>
      <c r="AL43" s="113">
        <f ca="1">TblProd[[#This Row],[Lumber]]</f>
        <v>42505</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11</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3" cm="1">
        <f t="array" aca="1" ref="BF43" ca="1">IF(TblConstr[[#This Row],[Hour]:[Hour]]&gt;12,OFFSET(TblConstr[[#This Row],[OM]],-12,0),0)+OFFSET(TblConstr[[#This Row],[Tot OM]],-1,0)-TblConstr[[#This Row],[Dest OM]]</f>
        <v>0</v>
      </c>
      <c r="BG43" s="483" cm="1">
        <f t="array" aca="1" ref="BG43" ca="1">IF(TblConstr[[#This Row],[Hour]:[Hour]]&gt;12,OFFSET(TblConstr[[#This Row],[GN]],-12,0),0)+OFFSET(TblConstr[[#This Row],[Tot GN]],-1,0)-TblConstr[[#This Row],[Dest GN]]</f>
        <v>0</v>
      </c>
      <c r="BH43" s="487" cm="1">
        <f t="array" aca="1" ref="BH43" ca="1">IF(TblConstr[[#This Row],[Hour]:[Hour]]&gt;12,OFFSET(TblConstr[[#This Row],[Fac]],-12,0),0)+OFFSET(TblConstr[[#This Row],[Tot Fac]],-1,0)-TblConstr[[#This Row],[Dest Fac]]</f>
        <v>0</v>
      </c>
      <c r="BI43" s="487" cm="1">
        <f t="array" aca="1" ref="BI43" ca="1">IF(TblConstr[[#This Row],[Hour]:[Hour]]&gt;12,OFFSET(TblConstr[[#This Row],[GT]],-12,0),0)+OFFSET(TblConstr[[#This Row],[Tot GT]],-1,0)-TblConstr[[#This Row],[Dest GT]]</f>
        <v>0</v>
      </c>
      <c r="BJ43" s="487" cm="1">
        <f t="array" aca="1" ref="BJ43" ca="1">IF(TblConstr[[#This Row],[Hour]:[Hour]]&gt;12,OFFSET(TblConstr[[#This Row],[Bar]],-12,0),0)+OFFSET(TblConstr[[#This Row],[Tot Bar]],-1,0)-TblConstr[[#This Row],[Dest Bar]]</f>
        <v>0</v>
      </c>
      <c r="BK43" s="487" cm="1">
        <f t="array" aca="1" ref="BK43" ca="1">IF(TblConstr[[#This Row],[Hour]:[Hour]]&gt;12,OFFSET(TblConstr[[#This Row],[Shr]],-12,0),0)+OFFSET(TblConstr[[#This Row],[Tot Shr]],-1,0)-TblConstr[[#This Row],[Dest Shr]]</f>
        <v>0</v>
      </c>
      <c r="BL43" s="491" cm="1">
        <f t="array" aca="1" ref="BL43" ca="1">IF(TblConstr[[#This Row],[Hour]:[Hour]]&gt;12,OFFSET(TblConstr[[#This Row],[Tow]],-12,0),0)+OFFSET(TblConstr[[#This Row],[Tot Tow]],-1,0)-TblConstr[[#This Row],[Dest Tow]]</f>
        <v>0</v>
      </c>
      <c r="BM43" s="491" cm="1">
        <f t="array" aca="1" ref="BM43" ca="1">IF(TblConstr[[#This Row],[Hour]:[Hour]]&gt;12,OFFSET(TblConstr[[#This Row],[Tem]],-12,0),0)+OFFSET(TblConstr[[#This Row],[Tot Tem]],-1,0)-TblConstr[[#This Row],[Dest Tem]]</f>
        <v>0</v>
      </c>
      <c r="BN43" s="491"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44344.624999999905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1">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99</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11</v>
      </c>
      <c r="DI43" s="49">
        <f t="shared" ca="1" si="0"/>
        <v>0</v>
      </c>
      <c r="DJ43" s="49">
        <f t="shared" ca="1" si="1"/>
        <v>0</v>
      </c>
    </row>
    <row r="44" spans="1:114" x14ac:dyDescent="0.2">
      <c r="A44" s="228">
        <f>TblRezone[[#This Row],[Hour]]</f>
        <v>41</v>
      </c>
      <c r="B44" s="229">
        <f ca="1">SUM(TblConstr[[#This Row],[Plain]:[Water]])</f>
        <v>159</v>
      </c>
      <c r="C44" s="230">
        <f ca="1">SUM(TblConstr[[#This Row],[Tot Hom]:[Tot Doc]])</f>
        <v>91</v>
      </c>
      <c r="D44" s="230">
        <f t="shared" si="2"/>
        <v>0</v>
      </c>
      <c r="E44" s="231"/>
      <c r="F44" s="74">
        <f ca="1">TblConstr[[#This Row],[Barren]]+TblConstr[[#This Row],[Buildings]]+TblConstr[[#This Row],[Incoming]]</f>
        <v>250</v>
      </c>
      <c r="G44" s="242">
        <f ca="1">OFFSET(TblConstr[[#This Row],[Plain]],-1,0)+TblConstr[[#This Row],[Ch_Plain]]</f>
        <v>39</v>
      </c>
      <c r="H44" s="236">
        <f ca="1">OFFSET(TblConstr[[#This Row],[Forest]],-1,0)+TblConstr[[#This Row],[Ch_Forest]]</f>
        <v>20</v>
      </c>
      <c r="I44" s="481">
        <f ca="1">OFFSET(TblConstr[[#This Row],[Mountain]],-1,0)+TblConstr[[#This Row],[Ch_Mountain]]</f>
        <v>20</v>
      </c>
      <c r="J44" s="485">
        <f ca="1">OFFSET(TblConstr[[#This Row],[Hill]],-1,0)+TblConstr[[#This Row],[Ch_Hill]]</f>
        <v>20</v>
      </c>
      <c r="K44" s="489">
        <f ca="1">OFFSET(TblConstr[[#This Row],[Swamp]],-1,0)+TblConstr[[#This Row],[Ch_Swamp]]</f>
        <v>20</v>
      </c>
      <c r="L44" s="239">
        <f ca="1">OFFSET(TblConstr[[#This Row],[Cavern]],-1,0)+TblConstr[[#This Row],[Ch_Cavern]]</f>
        <v>20</v>
      </c>
      <c r="M44" s="240">
        <f ca="1">OFFSET(TblConstr[[#This Row],[Water]],-1,0)+TblConstr[[#This Row],[Ch_Water]]</f>
        <v>20</v>
      </c>
      <c r="N44" s="479">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44344.66666666657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319793</v>
      </c>
      <c r="AL44" s="113">
        <f ca="1">TblProd[[#This Row],[Lumber]]</f>
        <v>43080</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11</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3" cm="1">
        <f t="array" aca="1" ref="BF44" ca="1">IF(TblConstr[[#This Row],[Hour]:[Hour]]&gt;12,OFFSET(TblConstr[[#This Row],[OM]],-12,0),0)+OFFSET(TblConstr[[#This Row],[Tot OM]],-1,0)-TblConstr[[#This Row],[Dest OM]]</f>
        <v>0</v>
      </c>
      <c r="BG44" s="483" cm="1">
        <f t="array" aca="1" ref="BG44" ca="1">IF(TblConstr[[#This Row],[Hour]:[Hour]]&gt;12,OFFSET(TblConstr[[#This Row],[GN]],-12,0),0)+OFFSET(TblConstr[[#This Row],[Tot GN]],-1,0)-TblConstr[[#This Row],[Dest GN]]</f>
        <v>0</v>
      </c>
      <c r="BH44" s="487" cm="1">
        <f t="array" aca="1" ref="BH44" ca="1">IF(TblConstr[[#This Row],[Hour]:[Hour]]&gt;12,OFFSET(TblConstr[[#This Row],[Fac]],-12,0),0)+OFFSET(TblConstr[[#This Row],[Tot Fac]],-1,0)-TblConstr[[#This Row],[Dest Fac]]</f>
        <v>0</v>
      </c>
      <c r="BI44" s="487" cm="1">
        <f t="array" aca="1" ref="BI44" ca="1">IF(TblConstr[[#This Row],[Hour]:[Hour]]&gt;12,OFFSET(TblConstr[[#This Row],[GT]],-12,0),0)+OFFSET(TblConstr[[#This Row],[Tot GT]],-1,0)-TblConstr[[#This Row],[Dest GT]]</f>
        <v>0</v>
      </c>
      <c r="BJ44" s="487" cm="1">
        <f t="array" aca="1" ref="BJ44" ca="1">IF(TblConstr[[#This Row],[Hour]:[Hour]]&gt;12,OFFSET(TblConstr[[#This Row],[Bar]],-12,0),0)+OFFSET(TblConstr[[#This Row],[Tot Bar]],-1,0)-TblConstr[[#This Row],[Dest Bar]]</f>
        <v>0</v>
      </c>
      <c r="BK44" s="487" cm="1">
        <f t="array" aca="1" ref="BK44" ca="1">IF(TblConstr[[#This Row],[Hour]:[Hour]]&gt;12,OFFSET(TblConstr[[#This Row],[Shr]],-12,0),0)+OFFSET(TblConstr[[#This Row],[Tot Shr]],-1,0)-TblConstr[[#This Row],[Dest Shr]]</f>
        <v>0</v>
      </c>
      <c r="BL44" s="491" cm="1">
        <f t="array" aca="1" ref="BL44" ca="1">IF(TblConstr[[#This Row],[Hour]:[Hour]]&gt;12,OFFSET(TblConstr[[#This Row],[Tow]],-12,0),0)+OFFSET(TblConstr[[#This Row],[Tot Tow]],-1,0)-TblConstr[[#This Row],[Dest Tow]]</f>
        <v>0</v>
      </c>
      <c r="BM44" s="491" cm="1">
        <f t="array" aca="1" ref="BM44" ca="1">IF(TblConstr[[#This Row],[Hour]:[Hour]]&gt;12,OFFSET(TblConstr[[#This Row],[Tem]],-12,0),0)+OFFSET(TblConstr[[#This Row],[Tot Tem]],-1,0)-TblConstr[[#This Row],[Dest Tem]]</f>
        <v>0</v>
      </c>
      <c r="BN44" s="491"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44344.66666666657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1">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99</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11</v>
      </c>
      <c r="DI44" s="49">
        <f t="shared" ca="1" si="0"/>
        <v>0</v>
      </c>
      <c r="DJ44" s="49">
        <f t="shared" ca="1" si="1"/>
        <v>0</v>
      </c>
    </row>
    <row r="45" spans="1:114" x14ac:dyDescent="0.2">
      <c r="A45" s="228">
        <f>TblRezone[[#This Row],[Hour]]</f>
        <v>42</v>
      </c>
      <c r="B45" s="229">
        <f ca="1">SUM(TblConstr[[#This Row],[Plain]:[Water]])</f>
        <v>159</v>
      </c>
      <c r="C45" s="230">
        <f ca="1">SUM(TblConstr[[#This Row],[Tot Hom]:[Tot Doc]])</f>
        <v>91</v>
      </c>
      <c r="D45" s="230">
        <f t="shared" si="2"/>
        <v>0</v>
      </c>
      <c r="E45" s="231"/>
      <c r="F45" s="74">
        <f ca="1">TblConstr[[#This Row],[Barren]]+TblConstr[[#This Row],[Buildings]]+TblConstr[[#This Row],[Incoming]]</f>
        <v>250</v>
      </c>
      <c r="G45" s="242">
        <f ca="1">OFFSET(TblConstr[[#This Row],[Plain]],-1,0)+TblConstr[[#This Row],[Ch_Plain]]</f>
        <v>39</v>
      </c>
      <c r="H45" s="236">
        <f ca="1">OFFSET(TblConstr[[#This Row],[Forest]],-1,0)+TblConstr[[#This Row],[Ch_Forest]]</f>
        <v>20</v>
      </c>
      <c r="I45" s="481">
        <f ca="1">OFFSET(TblConstr[[#This Row],[Mountain]],-1,0)+TblConstr[[#This Row],[Ch_Mountain]]</f>
        <v>20</v>
      </c>
      <c r="J45" s="485">
        <f ca="1">OFFSET(TblConstr[[#This Row],[Hill]],-1,0)+TblConstr[[#This Row],[Ch_Hill]]</f>
        <v>20</v>
      </c>
      <c r="K45" s="489">
        <f ca="1">OFFSET(TblConstr[[#This Row],[Swamp]],-1,0)+TblConstr[[#This Row],[Ch_Swamp]]</f>
        <v>20</v>
      </c>
      <c r="L45" s="239">
        <f ca="1">OFFSET(TblConstr[[#This Row],[Cavern]],-1,0)+TblConstr[[#This Row],[Ch_Cavern]]</f>
        <v>20</v>
      </c>
      <c r="M45" s="240">
        <f ca="1">OFFSET(TblConstr[[#This Row],[Water]],-1,0)+TblConstr[[#This Row],[Ch_Water]]</f>
        <v>20</v>
      </c>
      <c r="N45" s="479">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44344.708333333234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325292</v>
      </c>
      <c r="AL45" s="113">
        <f ca="1">TblProd[[#This Row],[Lumber]]</f>
        <v>43649</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11</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3" cm="1">
        <f t="array" aca="1" ref="BF45" ca="1">IF(TblConstr[[#This Row],[Hour]:[Hour]]&gt;12,OFFSET(TblConstr[[#This Row],[OM]],-12,0),0)+OFFSET(TblConstr[[#This Row],[Tot OM]],-1,0)-TblConstr[[#This Row],[Dest OM]]</f>
        <v>0</v>
      </c>
      <c r="BG45" s="483" cm="1">
        <f t="array" aca="1" ref="BG45" ca="1">IF(TblConstr[[#This Row],[Hour]:[Hour]]&gt;12,OFFSET(TblConstr[[#This Row],[GN]],-12,0),0)+OFFSET(TblConstr[[#This Row],[Tot GN]],-1,0)-TblConstr[[#This Row],[Dest GN]]</f>
        <v>0</v>
      </c>
      <c r="BH45" s="487" cm="1">
        <f t="array" aca="1" ref="BH45" ca="1">IF(TblConstr[[#This Row],[Hour]:[Hour]]&gt;12,OFFSET(TblConstr[[#This Row],[Fac]],-12,0),0)+OFFSET(TblConstr[[#This Row],[Tot Fac]],-1,0)-TblConstr[[#This Row],[Dest Fac]]</f>
        <v>0</v>
      </c>
      <c r="BI45" s="487" cm="1">
        <f t="array" aca="1" ref="BI45" ca="1">IF(TblConstr[[#This Row],[Hour]:[Hour]]&gt;12,OFFSET(TblConstr[[#This Row],[GT]],-12,0),0)+OFFSET(TblConstr[[#This Row],[Tot GT]],-1,0)-TblConstr[[#This Row],[Dest GT]]</f>
        <v>0</v>
      </c>
      <c r="BJ45" s="487" cm="1">
        <f t="array" aca="1" ref="BJ45" ca="1">IF(TblConstr[[#This Row],[Hour]:[Hour]]&gt;12,OFFSET(TblConstr[[#This Row],[Bar]],-12,0),0)+OFFSET(TblConstr[[#This Row],[Tot Bar]],-1,0)-TblConstr[[#This Row],[Dest Bar]]</f>
        <v>0</v>
      </c>
      <c r="BK45" s="487" cm="1">
        <f t="array" aca="1" ref="BK45" ca="1">IF(TblConstr[[#This Row],[Hour]:[Hour]]&gt;12,OFFSET(TblConstr[[#This Row],[Shr]],-12,0),0)+OFFSET(TblConstr[[#This Row],[Tot Shr]],-1,0)-TblConstr[[#This Row],[Dest Shr]]</f>
        <v>0</v>
      </c>
      <c r="BL45" s="491" cm="1">
        <f t="array" aca="1" ref="BL45" ca="1">IF(TblConstr[[#This Row],[Hour]:[Hour]]&gt;12,OFFSET(TblConstr[[#This Row],[Tow]],-12,0),0)+OFFSET(TblConstr[[#This Row],[Tot Tow]],-1,0)-TblConstr[[#This Row],[Dest Tow]]</f>
        <v>0</v>
      </c>
      <c r="BM45" s="491" cm="1">
        <f t="array" aca="1" ref="BM45" ca="1">IF(TblConstr[[#This Row],[Hour]:[Hour]]&gt;12,OFFSET(TblConstr[[#This Row],[Tem]],-12,0),0)+OFFSET(TblConstr[[#This Row],[Tot Tem]],-1,0)-TblConstr[[#This Row],[Dest Tem]]</f>
        <v>0</v>
      </c>
      <c r="BN45" s="491"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44344.708333333234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1">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99</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11</v>
      </c>
      <c r="DI45" s="49">
        <f t="shared" ca="1" si="0"/>
        <v>0</v>
      </c>
      <c r="DJ45" s="49">
        <f t="shared" ca="1" si="1"/>
        <v>0</v>
      </c>
    </row>
    <row r="46" spans="1:114" x14ac:dyDescent="0.2">
      <c r="A46" s="228">
        <f>TblRezone[[#This Row],[Hour]]</f>
        <v>43</v>
      </c>
      <c r="B46" s="229">
        <f ca="1">SUM(TblConstr[[#This Row],[Plain]:[Water]])</f>
        <v>159</v>
      </c>
      <c r="C46" s="230">
        <f ca="1">SUM(TblConstr[[#This Row],[Tot Hom]:[Tot Doc]])</f>
        <v>91</v>
      </c>
      <c r="D46" s="230">
        <f t="shared" si="2"/>
        <v>0</v>
      </c>
      <c r="E46" s="231"/>
      <c r="F46" s="74">
        <f ca="1">TblConstr[[#This Row],[Barren]]+TblConstr[[#This Row],[Buildings]]+TblConstr[[#This Row],[Incoming]]</f>
        <v>250</v>
      </c>
      <c r="G46" s="242">
        <f ca="1">OFFSET(TblConstr[[#This Row],[Plain]],-1,0)+TblConstr[[#This Row],[Ch_Plain]]</f>
        <v>39</v>
      </c>
      <c r="H46" s="236">
        <f ca="1">OFFSET(TblConstr[[#This Row],[Forest]],-1,0)+TblConstr[[#This Row],[Ch_Forest]]</f>
        <v>20</v>
      </c>
      <c r="I46" s="481">
        <f ca="1">OFFSET(TblConstr[[#This Row],[Mountain]],-1,0)+TblConstr[[#This Row],[Ch_Mountain]]</f>
        <v>20</v>
      </c>
      <c r="J46" s="485">
        <f ca="1">OFFSET(TblConstr[[#This Row],[Hill]],-1,0)+TblConstr[[#This Row],[Ch_Hill]]</f>
        <v>20</v>
      </c>
      <c r="K46" s="489">
        <f ca="1">OFFSET(TblConstr[[#This Row],[Swamp]],-1,0)+TblConstr[[#This Row],[Ch_Swamp]]</f>
        <v>20</v>
      </c>
      <c r="L46" s="239">
        <f ca="1">OFFSET(TblConstr[[#This Row],[Cavern]],-1,0)+TblConstr[[#This Row],[Ch_Cavern]]</f>
        <v>20</v>
      </c>
      <c r="M46" s="240">
        <f ca="1">OFFSET(TblConstr[[#This Row],[Water]],-1,0)+TblConstr[[#This Row],[Ch_Water]]</f>
        <v>20</v>
      </c>
      <c r="N46" s="479">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44344.749999999898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330791</v>
      </c>
      <c r="AL46" s="113">
        <f ca="1">TblProd[[#This Row],[Lumber]]</f>
        <v>44213</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11</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3" cm="1">
        <f t="array" aca="1" ref="BF46" ca="1">IF(TblConstr[[#This Row],[Hour]:[Hour]]&gt;12,OFFSET(TblConstr[[#This Row],[OM]],-12,0),0)+OFFSET(TblConstr[[#This Row],[Tot OM]],-1,0)-TblConstr[[#This Row],[Dest OM]]</f>
        <v>0</v>
      </c>
      <c r="BG46" s="483" cm="1">
        <f t="array" aca="1" ref="BG46" ca="1">IF(TblConstr[[#This Row],[Hour]:[Hour]]&gt;12,OFFSET(TblConstr[[#This Row],[GN]],-12,0),0)+OFFSET(TblConstr[[#This Row],[Tot GN]],-1,0)-TblConstr[[#This Row],[Dest GN]]</f>
        <v>0</v>
      </c>
      <c r="BH46" s="487" cm="1">
        <f t="array" aca="1" ref="BH46" ca="1">IF(TblConstr[[#This Row],[Hour]:[Hour]]&gt;12,OFFSET(TblConstr[[#This Row],[Fac]],-12,0),0)+OFFSET(TblConstr[[#This Row],[Tot Fac]],-1,0)-TblConstr[[#This Row],[Dest Fac]]</f>
        <v>0</v>
      </c>
      <c r="BI46" s="487" cm="1">
        <f t="array" aca="1" ref="BI46" ca="1">IF(TblConstr[[#This Row],[Hour]:[Hour]]&gt;12,OFFSET(TblConstr[[#This Row],[GT]],-12,0),0)+OFFSET(TblConstr[[#This Row],[Tot GT]],-1,0)-TblConstr[[#This Row],[Dest GT]]</f>
        <v>0</v>
      </c>
      <c r="BJ46" s="487" cm="1">
        <f t="array" aca="1" ref="BJ46" ca="1">IF(TblConstr[[#This Row],[Hour]:[Hour]]&gt;12,OFFSET(TblConstr[[#This Row],[Bar]],-12,0),0)+OFFSET(TblConstr[[#This Row],[Tot Bar]],-1,0)-TblConstr[[#This Row],[Dest Bar]]</f>
        <v>0</v>
      </c>
      <c r="BK46" s="487" cm="1">
        <f t="array" aca="1" ref="BK46" ca="1">IF(TblConstr[[#This Row],[Hour]:[Hour]]&gt;12,OFFSET(TblConstr[[#This Row],[Shr]],-12,0),0)+OFFSET(TblConstr[[#This Row],[Tot Shr]],-1,0)-TblConstr[[#This Row],[Dest Shr]]</f>
        <v>0</v>
      </c>
      <c r="BL46" s="491" cm="1">
        <f t="array" aca="1" ref="BL46" ca="1">IF(TblConstr[[#This Row],[Hour]:[Hour]]&gt;12,OFFSET(TblConstr[[#This Row],[Tow]],-12,0),0)+OFFSET(TblConstr[[#This Row],[Tot Tow]],-1,0)-TblConstr[[#This Row],[Dest Tow]]</f>
        <v>0</v>
      </c>
      <c r="BM46" s="491" cm="1">
        <f t="array" aca="1" ref="BM46" ca="1">IF(TblConstr[[#This Row],[Hour]:[Hour]]&gt;12,OFFSET(TblConstr[[#This Row],[Tem]],-12,0),0)+OFFSET(TblConstr[[#This Row],[Tot Tem]],-1,0)-TblConstr[[#This Row],[Dest Tem]]</f>
        <v>0</v>
      </c>
      <c r="BN46" s="491"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44344.749999999898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1">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99</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11</v>
      </c>
      <c r="DI46" s="49">
        <f t="shared" ca="1" si="0"/>
        <v>0</v>
      </c>
      <c r="DJ46" s="49">
        <f t="shared" ca="1" si="1"/>
        <v>0</v>
      </c>
    </row>
    <row r="47" spans="1:114" x14ac:dyDescent="0.2">
      <c r="A47" s="228">
        <f>TblRezone[[#This Row],[Hour]]</f>
        <v>44</v>
      </c>
      <c r="B47" s="229">
        <f ca="1">SUM(TblConstr[[#This Row],[Plain]:[Water]])</f>
        <v>159</v>
      </c>
      <c r="C47" s="230">
        <f ca="1">SUM(TblConstr[[#This Row],[Tot Hom]:[Tot Doc]])</f>
        <v>91</v>
      </c>
      <c r="D47" s="230">
        <f t="shared" ref="D47:D75" si="11">SUM(O36:AG47)</f>
        <v>0</v>
      </c>
      <c r="E47" s="231"/>
      <c r="F47" s="74">
        <f ca="1">TblConstr[[#This Row],[Barren]]+TblConstr[[#This Row],[Buildings]]+TblConstr[[#This Row],[Incoming]]</f>
        <v>250</v>
      </c>
      <c r="G47" s="242">
        <f ca="1">OFFSET(TblConstr[[#This Row],[Plain]],-1,0)+TblConstr[[#This Row],[Ch_Plain]]</f>
        <v>39</v>
      </c>
      <c r="H47" s="236">
        <f ca="1">OFFSET(TblConstr[[#This Row],[Forest]],-1,0)+TblConstr[[#This Row],[Ch_Forest]]</f>
        <v>20</v>
      </c>
      <c r="I47" s="481">
        <f ca="1">OFFSET(TblConstr[[#This Row],[Mountain]],-1,0)+TblConstr[[#This Row],[Ch_Mountain]]</f>
        <v>20</v>
      </c>
      <c r="J47" s="485">
        <f ca="1">OFFSET(TblConstr[[#This Row],[Hill]],-1,0)+TblConstr[[#This Row],[Ch_Hill]]</f>
        <v>20</v>
      </c>
      <c r="K47" s="489">
        <f ca="1">OFFSET(TblConstr[[#This Row],[Swamp]],-1,0)+TblConstr[[#This Row],[Ch_Swamp]]</f>
        <v>20</v>
      </c>
      <c r="L47" s="239">
        <f ca="1">OFFSET(TblConstr[[#This Row],[Cavern]],-1,0)+TblConstr[[#This Row],[Ch_Cavern]]</f>
        <v>20</v>
      </c>
      <c r="M47" s="240">
        <f ca="1">OFFSET(TblConstr[[#This Row],[Water]],-1,0)+TblConstr[[#This Row],[Ch_Water]]</f>
        <v>20</v>
      </c>
      <c r="N47" s="479">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44344.791666666562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336290</v>
      </c>
      <c r="AL47" s="113">
        <f ca="1">TblProd[[#This Row],[Lumber]]</f>
        <v>44771</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11</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3" cm="1">
        <f t="array" aca="1" ref="BF47" ca="1">IF(TblConstr[[#This Row],[Hour]:[Hour]]&gt;12,OFFSET(TblConstr[[#This Row],[OM]],-12,0),0)+OFFSET(TblConstr[[#This Row],[Tot OM]],-1,0)-TblConstr[[#This Row],[Dest OM]]</f>
        <v>0</v>
      </c>
      <c r="BG47" s="483" cm="1">
        <f t="array" aca="1" ref="BG47" ca="1">IF(TblConstr[[#This Row],[Hour]:[Hour]]&gt;12,OFFSET(TblConstr[[#This Row],[GN]],-12,0),0)+OFFSET(TblConstr[[#This Row],[Tot GN]],-1,0)-TblConstr[[#This Row],[Dest GN]]</f>
        <v>0</v>
      </c>
      <c r="BH47" s="487" cm="1">
        <f t="array" aca="1" ref="BH47" ca="1">IF(TblConstr[[#This Row],[Hour]:[Hour]]&gt;12,OFFSET(TblConstr[[#This Row],[Fac]],-12,0),0)+OFFSET(TblConstr[[#This Row],[Tot Fac]],-1,0)-TblConstr[[#This Row],[Dest Fac]]</f>
        <v>0</v>
      </c>
      <c r="BI47" s="487" cm="1">
        <f t="array" aca="1" ref="BI47" ca="1">IF(TblConstr[[#This Row],[Hour]:[Hour]]&gt;12,OFFSET(TblConstr[[#This Row],[GT]],-12,0),0)+OFFSET(TblConstr[[#This Row],[Tot GT]],-1,0)-TblConstr[[#This Row],[Dest GT]]</f>
        <v>0</v>
      </c>
      <c r="BJ47" s="487" cm="1">
        <f t="array" aca="1" ref="BJ47" ca="1">IF(TblConstr[[#This Row],[Hour]:[Hour]]&gt;12,OFFSET(TblConstr[[#This Row],[Bar]],-12,0),0)+OFFSET(TblConstr[[#This Row],[Tot Bar]],-1,0)-TblConstr[[#This Row],[Dest Bar]]</f>
        <v>0</v>
      </c>
      <c r="BK47" s="487" cm="1">
        <f t="array" aca="1" ref="BK47" ca="1">IF(TblConstr[[#This Row],[Hour]:[Hour]]&gt;12,OFFSET(TblConstr[[#This Row],[Shr]],-12,0),0)+OFFSET(TblConstr[[#This Row],[Tot Shr]],-1,0)-TblConstr[[#This Row],[Dest Shr]]</f>
        <v>0</v>
      </c>
      <c r="BL47" s="491" cm="1">
        <f t="array" aca="1" ref="BL47" ca="1">IF(TblConstr[[#This Row],[Hour]:[Hour]]&gt;12,OFFSET(TblConstr[[#This Row],[Tow]],-12,0),0)+OFFSET(TblConstr[[#This Row],[Tot Tow]],-1,0)-TblConstr[[#This Row],[Dest Tow]]</f>
        <v>0</v>
      </c>
      <c r="BM47" s="491" cm="1">
        <f t="array" aca="1" ref="BM47" ca="1">IF(TblConstr[[#This Row],[Hour]:[Hour]]&gt;12,OFFSET(TblConstr[[#This Row],[Tem]],-12,0),0)+OFFSET(TblConstr[[#This Row],[Tot Tem]],-1,0)-TblConstr[[#This Row],[Dest Tem]]</f>
        <v>0</v>
      </c>
      <c r="BN47" s="491"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44344.791666666562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1">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99</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11</v>
      </c>
      <c r="DI47" s="49">
        <f t="shared" ca="1" si="0"/>
        <v>0</v>
      </c>
      <c r="DJ47" s="49">
        <f t="shared" ca="1" si="1"/>
        <v>0</v>
      </c>
    </row>
    <row r="48" spans="1:114" x14ac:dyDescent="0.2">
      <c r="A48" s="228">
        <f>TblRezone[[#This Row],[Hour]]</f>
        <v>45</v>
      </c>
      <c r="B48" s="229">
        <f ca="1">SUM(TblConstr[[#This Row],[Plain]:[Water]])</f>
        <v>159</v>
      </c>
      <c r="C48" s="230">
        <f ca="1">SUM(TblConstr[[#This Row],[Tot Hom]:[Tot Doc]])</f>
        <v>91</v>
      </c>
      <c r="D48" s="230">
        <f t="shared" si="11"/>
        <v>0</v>
      </c>
      <c r="E48" s="231"/>
      <c r="F48" s="74">
        <f ca="1">TblConstr[[#This Row],[Barren]]+TblConstr[[#This Row],[Buildings]]+TblConstr[[#This Row],[Incoming]]</f>
        <v>250</v>
      </c>
      <c r="G48" s="242">
        <f ca="1">OFFSET(TblConstr[[#This Row],[Plain]],-1,0)+TblConstr[[#This Row],[Ch_Plain]]</f>
        <v>39</v>
      </c>
      <c r="H48" s="236">
        <f ca="1">OFFSET(TblConstr[[#This Row],[Forest]],-1,0)+TblConstr[[#This Row],[Ch_Forest]]</f>
        <v>20</v>
      </c>
      <c r="I48" s="481">
        <f ca="1">OFFSET(TblConstr[[#This Row],[Mountain]],-1,0)+TblConstr[[#This Row],[Ch_Mountain]]</f>
        <v>20</v>
      </c>
      <c r="J48" s="485">
        <f ca="1">OFFSET(TblConstr[[#This Row],[Hill]],-1,0)+TblConstr[[#This Row],[Ch_Hill]]</f>
        <v>20</v>
      </c>
      <c r="K48" s="489">
        <f ca="1">OFFSET(TblConstr[[#This Row],[Swamp]],-1,0)+TblConstr[[#This Row],[Ch_Swamp]]</f>
        <v>20</v>
      </c>
      <c r="L48" s="239">
        <f ca="1">OFFSET(TblConstr[[#This Row],[Cavern]],-1,0)+TblConstr[[#This Row],[Ch_Cavern]]</f>
        <v>20</v>
      </c>
      <c r="M48" s="240">
        <f ca="1">OFFSET(TblConstr[[#This Row],[Water]],-1,0)+TblConstr[[#This Row],[Ch_Water]]</f>
        <v>20</v>
      </c>
      <c r="N48" s="479">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44344.833333333227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341789</v>
      </c>
      <c r="AL48" s="113">
        <f ca="1">TblProd[[#This Row],[Lumber]]</f>
        <v>45323</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11</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3" cm="1">
        <f t="array" aca="1" ref="BF48" ca="1">IF(TblConstr[[#This Row],[Hour]:[Hour]]&gt;12,OFFSET(TblConstr[[#This Row],[OM]],-12,0),0)+OFFSET(TblConstr[[#This Row],[Tot OM]],-1,0)-TblConstr[[#This Row],[Dest OM]]</f>
        <v>0</v>
      </c>
      <c r="BG48" s="483" cm="1">
        <f t="array" aca="1" ref="BG48" ca="1">IF(TblConstr[[#This Row],[Hour]:[Hour]]&gt;12,OFFSET(TblConstr[[#This Row],[GN]],-12,0),0)+OFFSET(TblConstr[[#This Row],[Tot GN]],-1,0)-TblConstr[[#This Row],[Dest GN]]</f>
        <v>0</v>
      </c>
      <c r="BH48" s="487" cm="1">
        <f t="array" aca="1" ref="BH48" ca="1">IF(TblConstr[[#This Row],[Hour]:[Hour]]&gt;12,OFFSET(TblConstr[[#This Row],[Fac]],-12,0),0)+OFFSET(TblConstr[[#This Row],[Tot Fac]],-1,0)-TblConstr[[#This Row],[Dest Fac]]</f>
        <v>0</v>
      </c>
      <c r="BI48" s="487" cm="1">
        <f t="array" aca="1" ref="BI48" ca="1">IF(TblConstr[[#This Row],[Hour]:[Hour]]&gt;12,OFFSET(TblConstr[[#This Row],[GT]],-12,0),0)+OFFSET(TblConstr[[#This Row],[Tot GT]],-1,0)-TblConstr[[#This Row],[Dest GT]]</f>
        <v>0</v>
      </c>
      <c r="BJ48" s="487" cm="1">
        <f t="array" aca="1" ref="BJ48" ca="1">IF(TblConstr[[#This Row],[Hour]:[Hour]]&gt;12,OFFSET(TblConstr[[#This Row],[Bar]],-12,0),0)+OFFSET(TblConstr[[#This Row],[Tot Bar]],-1,0)-TblConstr[[#This Row],[Dest Bar]]</f>
        <v>0</v>
      </c>
      <c r="BK48" s="487" cm="1">
        <f t="array" aca="1" ref="BK48" ca="1">IF(TblConstr[[#This Row],[Hour]:[Hour]]&gt;12,OFFSET(TblConstr[[#This Row],[Shr]],-12,0),0)+OFFSET(TblConstr[[#This Row],[Tot Shr]],-1,0)-TblConstr[[#This Row],[Dest Shr]]</f>
        <v>0</v>
      </c>
      <c r="BL48" s="491" cm="1">
        <f t="array" aca="1" ref="BL48" ca="1">IF(TblConstr[[#This Row],[Hour]:[Hour]]&gt;12,OFFSET(TblConstr[[#This Row],[Tow]],-12,0),0)+OFFSET(TblConstr[[#This Row],[Tot Tow]],-1,0)-TblConstr[[#This Row],[Dest Tow]]</f>
        <v>0</v>
      </c>
      <c r="BM48" s="491" cm="1">
        <f t="array" aca="1" ref="BM48" ca="1">IF(TblConstr[[#This Row],[Hour]:[Hour]]&gt;12,OFFSET(TblConstr[[#This Row],[Tem]],-12,0),0)+OFFSET(TblConstr[[#This Row],[Tot Tem]],-1,0)-TblConstr[[#This Row],[Dest Tem]]</f>
        <v>0</v>
      </c>
      <c r="BN48" s="491"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44344.833333333227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1">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99</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11</v>
      </c>
      <c r="DI48" s="49">
        <f t="shared" ca="1" si="0"/>
        <v>0</v>
      </c>
      <c r="DJ48" s="49">
        <f t="shared" ca="1" si="1"/>
        <v>0</v>
      </c>
    </row>
    <row r="49" spans="1:114" x14ac:dyDescent="0.2">
      <c r="A49" s="228">
        <f>TblRezone[[#This Row],[Hour]]</f>
        <v>46</v>
      </c>
      <c r="B49" s="229">
        <f ca="1">SUM(TblConstr[[#This Row],[Plain]:[Water]])</f>
        <v>159</v>
      </c>
      <c r="C49" s="230">
        <f ca="1">SUM(TblConstr[[#This Row],[Tot Hom]:[Tot Doc]])</f>
        <v>91</v>
      </c>
      <c r="D49" s="230">
        <f t="shared" si="11"/>
        <v>0</v>
      </c>
      <c r="E49" s="231"/>
      <c r="F49" s="74">
        <f ca="1">TblConstr[[#This Row],[Barren]]+TblConstr[[#This Row],[Buildings]]+TblConstr[[#This Row],[Incoming]]</f>
        <v>250</v>
      </c>
      <c r="G49" s="242">
        <f ca="1">OFFSET(TblConstr[[#This Row],[Plain]],-1,0)+TblConstr[[#This Row],[Ch_Plain]]</f>
        <v>39</v>
      </c>
      <c r="H49" s="236">
        <f ca="1">OFFSET(TblConstr[[#This Row],[Forest]],-1,0)+TblConstr[[#This Row],[Ch_Forest]]</f>
        <v>20</v>
      </c>
      <c r="I49" s="481">
        <f ca="1">OFFSET(TblConstr[[#This Row],[Mountain]],-1,0)+TblConstr[[#This Row],[Ch_Mountain]]</f>
        <v>20</v>
      </c>
      <c r="J49" s="485">
        <f ca="1">OFFSET(TblConstr[[#This Row],[Hill]],-1,0)+TblConstr[[#This Row],[Ch_Hill]]</f>
        <v>20</v>
      </c>
      <c r="K49" s="489">
        <f ca="1">OFFSET(TblConstr[[#This Row],[Swamp]],-1,0)+TblConstr[[#This Row],[Ch_Swamp]]</f>
        <v>20</v>
      </c>
      <c r="L49" s="239">
        <f ca="1">OFFSET(TblConstr[[#This Row],[Cavern]],-1,0)+TblConstr[[#This Row],[Ch_Cavern]]</f>
        <v>20</v>
      </c>
      <c r="M49" s="240">
        <f ca="1">OFFSET(TblConstr[[#This Row],[Water]],-1,0)+TblConstr[[#This Row],[Ch_Water]]</f>
        <v>20</v>
      </c>
      <c r="N49" s="479">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44344.874999999891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347288</v>
      </c>
      <c r="AL49" s="113">
        <f ca="1">TblProd[[#This Row],[Lumber]]</f>
        <v>45870</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11</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3" cm="1">
        <f t="array" aca="1" ref="BF49" ca="1">IF(TblConstr[[#This Row],[Hour]:[Hour]]&gt;12,OFFSET(TblConstr[[#This Row],[OM]],-12,0),0)+OFFSET(TblConstr[[#This Row],[Tot OM]],-1,0)-TblConstr[[#This Row],[Dest OM]]</f>
        <v>0</v>
      </c>
      <c r="BG49" s="483" cm="1">
        <f t="array" aca="1" ref="BG49" ca="1">IF(TblConstr[[#This Row],[Hour]:[Hour]]&gt;12,OFFSET(TblConstr[[#This Row],[GN]],-12,0),0)+OFFSET(TblConstr[[#This Row],[Tot GN]],-1,0)-TblConstr[[#This Row],[Dest GN]]</f>
        <v>0</v>
      </c>
      <c r="BH49" s="487" cm="1">
        <f t="array" aca="1" ref="BH49" ca="1">IF(TblConstr[[#This Row],[Hour]:[Hour]]&gt;12,OFFSET(TblConstr[[#This Row],[Fac]],-12,0),0)+OFFSET(TblConstr[[#This Row],[Tot Fac]],-1,0)-TblConstr[[#This Row],[Dest Fac]]</f>
        <v>0</v>
      </c>
      <c r="BI49" s="487" cm="1">
        <f t="array" aca="1" ref="BI49" ca="1">IF(TblConstr[[#This Row],[Hour]:[Hour]]&gt;12,OFFSET(TblConstr[[#This Row],[GT]],-12,0),0)+OFFSET(TblConstr[[#This Row],[Tot GT]],-1,0)-TblConstr[[#This Row],[Dest GT]]</f>
        <v>0</v>
      </c>
      <c r="BJ49" s="487" cm="1">
        <f t="array" aca="1" ref="BJ49" ca="1">IF(TblConstr[[#This Row],[Hour]:[Hour]]&gt;12,OFFSET(TblConstr[[#This Row],[Bar]],-12,0),0)+OFFSET(TblConstr[[#This Row],[Tot Bar]],-1,0)-TblConstr[[#This Row],[Dest Bar]]</f>
        <v>0</v>
      </c>
      <c r="BK49" s="487" cm="1">
        <f t="array" aca="1" ref="BK49" ca="1">IF(TblConstr[[#This Row],[Hour]:[Hour]]&gt;12,OFFSET(TblConstr[[#This Row],[Shr]],-12,0),0)+OFFSET(TblConstr[[#This Row],[Tot Shr]],-1,0)-TblConstr[[#This Row],[Dest Shr]]</f>
        <v>0</v>
      </c>
      <c r="BL49" s="491" cm="1">
        <f t="array" aca="1" ref="BL49" ca="1">IF(TblConstr[[#This Row],[Hour]:[Hour]]&gt;12,OFFSET(TblConstr[[#This Row],[Tow]],-12,0),0)+OFFSET(TblConstr[[#This Row],[Tot Tow]],-1,0)-TblConstr[[#This Row],[Dest Tow]]</f>
        <v>0</v>
      </c>
      <c r="BM49" s="491" cm="1">
        <f t="array" aca="1" ref="BM49" ca="1">IF(TblConstr[[#This Row],[Hour]:[Hour]]&gt;12,OFFSET(TblConstr[[#This Row],[Tem]],-12,0),0)+OFFSET(TblConstr[[#This Row],[Tot Tem]],-1,0)-TblConstr[[#This Row],[Dest Tem]]</f>
        <v>0</v>
      </c>
      <c r="BN49" s="491"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44344.874999999891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1">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99</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11</v>
      </c>
      <c r="DI49" s="49">
        <f t="shared" ca="1" si="0"/>
        <v>0</v>
      </c>
      <c r="DJ49" s="49">
        <f t="shared" ca="1" si="1"/>
        <v>0</v>
      </c>
    </row>
    <row r="50" spans="1:114" x14ac:dyDescent="0.2">
      <c r="A50" s="228">
        <f>TblRezone[[#This Row],[Hour]]</f>
        <v>47</v>
      </c>
      <c r="B50" s="229">
        <f ca="1">SUM(TblConstr[[#This Row],[Plain]:[Water]])</f>
        <v>159</v>
      </c>
      <c r="C50" s="230">
        <f ca="1">SUM(TblConstr[[#This Row],[Tot Hom]:[Tot Doc]])</f>
        <v>91</v>
      </c>
      <c r="D50" s="230">
        <f t="shared" si="11"/>
        <v>0</v>
      </c>
      <c r="E50" s="231"/>
      <c r="F50" s="74">
        <f ca="1">TblConstr[[#This Row],[Barren]]+TblConstr[[#This Row],[Buildings]]+TblConstr[[#This Row],[Incoming]]</f>
        <v>250</v>
      </c>
      <c r="G50" s="242">
        <f ca="1">OFFSET(TblConstr[[#This Row],[Plain]],-1,0)+TblConstr[[#This Row],[Ch_Plain]]</f>
        <v>39</v>
      </c>
      <c r="H50" s="236">
        <f ca="1">OFFSET(TblConstr[[#This Row],[Forest]],-1,0)+TblConstr[[#This Row],[Ch_Forest]]</f>
        <v>20</v>
      </c>
      <c r="I50" s="481">
        <f ca="1">OFFSET(TblConstr[[#This Row],[Mountain]],-1,0)+TblConstr[[#This Row],[Ch_Mountain]]</f>
        <v>20</v>
      </c>
      <c r="J50" s="485">
        <f ca="1">OFFSET(TblConstr[[#This Row],[Hill]],-1,0)+TblConstr[[#This Row],[Ch_Hill]]</f>
        <v>20</v>
      </c>
      <c r="K50" s="489">
        <f ca="1">OFFSET(TblConstr[[#This Row],[Swamp]],-1,0)+TblConstr[[#This Row],[Ch_Swamp]]</f>
        <v>20</v>
      </c>
      <c r="L50" s="239">
        <f ca="1">OFFSET(TblConstr[[#This Row],[Cavern]],-1,0)+TblConstr[[#This Row],[Ch_Cavern]]</f>
        <v>20</v>
      </c>
      <c r="M50" s="240">
        <f ca="1">OFFSET(TblConstr[[#This Row],[Water]],-1,0)+TblConstr[[#This Row],[Ch_Water]]</f>
        <v>20</v>
      </c>
      <c r="N50" s="479">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44344.916666666555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352787</v>
      </c>
      <c r="AL50" s="113">
        <f ca="1">TblProd[[#This Row],[Lumber]]</f>
        <v>46411</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11</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3" cm="1">
        <f t="array" aca="1" ref="BF50" ca="1">IF(TblConstr[[#This Row],[Hour]:[Hour]]&gt;12,OFFSET(TblConstr[[#This Row],[OM]],-12,0),0)+OFFSET(TblConstr[[#This Row],[Tot OM]],-1,0)-TblConstr[[#This Row],[Dest OM]]</f>
        <v>0</v>
      </c>
      <c r="BG50" s="483" cm="1">
        <f t="array" aca="1" ref="BG50" ca="1">IF(TblConstr[[#This Row],[Hour]:[Hour]]&gt;12,OFFSET(TblConstr[[#This Row],[GN]],-12,0),0)+OFFSET(TblConstr[[#This Row],[Tot GN]],-1,0)-TblConstr[[#This Row],[Dest GN]]</f>
        <v>0</v>
      </c>
      <c r="BH50" s="487" cm="1">
        <f t="array" aca="1" ref="BH50" ca="1">IF(TblConstr[[#This Row],[Hour]:[Hour]]&gt;12,OFFSET(TblConstr[[#This Row],[Fac]],-12,0),0)+OFFSET(TblConstr[[#This Row],[Tot Fac]],-1,0)-TblConstr[[#This Row],[Dest Fac]]</f>
        <v>0</v>
      </c>
      <c r="BI50" s="487" cm="1">
        <f t="array" aca="1" ref="BI50" ca="1">IF(TblConstr[[#This Row],[Hour]:[Hour]]&gt;12,OFFSET(TblConstr[[#This Row],[GT]],-12,0),0)+OFFSET(TblConstr[[#This Row],[Tot GT]],-1,0)-TblConstr[[#This Row],[Dest GT]]</f>
        <v>0</v>
      </c>
      <c r="BJ50" s="487" cm="1">
        <f t="array" aca="1" ref="BJ50" ca="1">IF(TblConstr[[#This Row],[Hour]:[Hour]]&gt;12,OFFSET(TblConstr[[#This Row],[Bar]],-12,0),0)+OFFSET(TblConstr[[#This Row],[Tot Bar]],-1,0)-TblConstr[[#This Row],[Dest Bar]]</f>
        <v>0</v>
      </c>
      <c r="BK50" s="487" cm="1">
        <f t="array" aca="1" ref="BK50" ca="1">IF(TblConstr[[#This Row],[Hour]:[Hour]]&gt;12,OFFSET(TblConstr[[#This Row],[Shr]],-12,0),0)+OFFSET(TblConstr[[#This Row],[Tot Shr]],-1,0)-TblConstr[[#This Row],[Dest Shr]]</f>
        <v>0</v>
      </c>
      <c r="BL50" s="491" cm="1">
        <f t="array" aca="1" ref="BL50" ca="1">IF(TblConstr[[#This Row],[Hour]:[Hour]]&gt;12,OFFSET(TblConstr[[#This Row],[Tow]],-12,0),0)+OFFSET(TblConstr[[#This Row],[Tot Tow]],-1,0)-TblConstr[[#This Row],[Dest Tow]]</f>
        <v>0</v>
      </c>
      <c r="BM50" s="491" cm="1">
        <f t="array" aca="1" ref="BM50" ca="1">IF(TblConstr[[#This Row],[Hour]:[Hour]]&gt;12,OFFSET(TblConstr[[#This Row],[Tem]],-12,0),0)+OFFSET(TblConstr[[#This Row],[Tot Tem]],-1,0)-TblConstr[[#This Row],[Dest Tem]]</f>
        <v>0</v>
      </c>
      <c r="BN50" s="491"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44344.916666666555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1">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99</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11</v>
      </c>
      <c r="DI50" s="49">
        <f t="shared" ca="1" si="0"/>
        <v>0</v>
      </c>
      <c r="DJ50" s="49">
        <f t="shared" ca="1" si="1"/>
        <v>0</v>
      </c>
    </row>
    <row r="51" spans="1:114" x14ac:dyDescent="0.2">
      <c r="A51" s="228">
        <f>TblRezone[[#This Row],[Hour]]</f>
        <v>48</v>
      </c>
      <c r="B51" s="229">
        <f ca="1">SUM(TblConstr[[#This Row],[Plain]:[Water]])</f>
        <v>159</v>
      </c>
      <c r="C51" s="230">
        <f ca="1">SUM(TblConstr[[#This Row],[Tot Hom]:[Tot Doc]])</f>
        <v>91</v>
      </c>
      <c r="D51" s="230">
        <f t="shared" si="11"/>
        <v>0</v>
      </c>
      <c r="E51" s="231"/>
      <c r="F51" s="74">
        <f ca="1">TblConstr[[#This Row],[Barren]]+TblConstr[[#This Row],[Buildings]]+TblConstr[[#This Row],[Incoming]]</f>
        <v>250</v>
      </c>
      <c r="G51" s="242">
        <f ca="1">OFFSET(TblConstr[[#This Row],[Plain]],-1,0)+TblConstr[[#This Row],[Ch_Plain]]</f>
        <v>39</v>
      </c>
      <c r="H51" s="236">
        <f ca="1">OFFSET(TblConstr[[#This Row],[Forest]],-1,0)+TblConstr[[#This Row],[Ch_Forest]]</f>
        <v>20</v>
      </c>
      <c r="I51" s="481">
        <f ca="1">OFFSET(TblConstr[[#This Row],[Mountain]],-1,0)+TblConstr[[#This Row],[Ch_Mountain]]</f>
        <v>20</v>
      </c>
      <c r="J51" s="485">
        <f ca="1">OFFSET(TblConstr[[#This Row],[Hill]],-1,0)+TblConstr[[#This Row],[Ch_Hill]]</f>
        <v>20</v>
      </c>
      <c r="K51" s="489">
        <f ca="1">OFFSET(TblConstr[[#This Row],[Swamp]],-1,0)+TblConstr[[#This Row],[Ch_Swamp]]</f>
        <v>20</v>
      </c>
      <c r="L51" s="239">
        <f ca="1">OFFSET(TblConstr[[#This Row],[Cavern]],-1,0)+TblConstr[[#This Row],[Ch_Cavern]]</f>
        <v>20</v>
      </c>
      <c r="M51" s="240">
        <f ca="1">OFFSET(TblConstr[[#This Row],[Water]],-1,0)+TblConstr[[#This Row],[Ch_Water]]</f>
        <v>20</v>
      </c>
      <c r="N51" s="479">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44344.958333333219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358286</v>
      </c>
      <c r="AL51" s="113">
        <f ca="1">TblProd[[#This Row],[Lumber]]</f>
        <v>46947</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11</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3" cm="1">
        <f t="array" aca="1" ref="BF51" ca="1">IF(TblConstr[[#This Row],[Hour]:[Hour]]&gt;12,OFFSET(TblConstr[[#This Row],[OM]],-12,0),0)+OFFSET(TblConstr[[#This Row],[Tot OM]],-1,0)-TblConstr[[#This Row],[Dest OM]]</f>
        <v>0</v>
      </c>
      <c r="BG51" s="483" cm="1">
        <f t="array" aca="1" ref="BG51" ca="1">IF(TblConstr[[#This Row],[Hour]:[Hour]]&gt;12,OFFSET(TblConstr[[#This Row],[GN]],-12,0),0)+OFFSET(TblConstr[[#This Row],[Tot GN]],-1,0)-TblConstr[[#This Row],[Dest GN]]</f>
        <v>0</v>
      </c>
      <c r="BH51" s="487" cm="1">
        <f t="array" aca="1" ref="BH51" ca="1">IF(TblConstr[[#This Row],[Hour]:[Hour]]&gt;12,OFFSET(TblConstr[[#This Row],[Fac]],-12,0),0)+OFFSET(TblConstr[[#This Row],[Tot Fac]],-1,0)-TblConstr[[#This Row],[Dest Fac]]</f>
        <v>0</v>
      </c>
      <c r="BI51" s="487" cm="1">
        <f t="array" aca="1" ref="BI51" ca="1">IF(TblConstr[[#This Row],[Hour]:[Hour]]&gt;12,OFFSET(TblConstr[[#This Row],[GT]],-12,0),0)+OFFSET(TblConstr[[#This Row],[Tot GT]],-1,0)-TblConstr[[#This Row],[Dest GT]]</f>
        <v>0</v>
      </c>
      <c r="BJ51" s="487" cm="1">
        <f t="array" aca="1" ref="BJ51" ca="1">IF(TblConstr[[#This Row],[Hour]:[Hour]]&gt;12,OFFSET(TblConstr[[#This Row],[Bar]],-12,0),0)+OFFSET(TblConstr[[#This Row],[Tot Bar]],-1,0)-TblConstr[[#This Row],[Dest Bar]]</f>
        <v>0</v>
      </c>
      <c r="BK51" s="487" cm="1">
        <f t="array" aca="1" ref="BK51" ca="1">IF(TblConstr[[#This Row],[Hour]:[Hour]]&gt;12,OFFSET(TblConstr[[#This Row],[Shr]],-12,0),0)+OFFSET(TblConstr[[#This Row],[Tot Shr]],-1,0)-TblConstr[[#This Row],[Dest Shr]]</f>
        <v>0</v>
      </c>
      <c r="BL51" s="491" cm="1">
        <f t="array" aca="1" ref="BL51" ca="1">IF(TblConstr[[#This Row],[Hour]:[Hour]]&gt;12,OFFSET(TblConstr[[#This Row],[Tow]],-12,0),0)+OFFSET(TblConstr[[#This Row],[Tot Tow]],-1,0)-TblConstr[[#This Row],[Dest Tow]]</f>
        <v>0</v>
      </c>
      <c r="BM51" s="491" cm="1">
        <f t="array" aca="1" ref="BM51" ca="1">IF(TblConstr[[#This Row],[Hour]:[Hour]]&gt;12,OFFSET(TblConstr[[#This Row],[Tem]],-12,0),0)+OFFSET(TblConstr[[#This Row],[Tot Tem]],-1,0)-TblConstr[[#This Row],[Dest Tem]]</f>
        <v>0</v>
      </c>
      <c r="BN51" s="491"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44344.958333333219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1">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99</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11</v>
      </c>
      <c r="DI51" s="49">
        <f t="shared" ca="1" si="0"/>
        <v>0</v>
      </c>
      <c r="DJ51" s="49">
        <f t="shared" ca="1" si="1"/>
        <v>0</v>
      </c>
    </row>
    <row r="52" spans="1:114" x14ac:dyDescent="0.2">
      <c r="A52" s="228">
        <f>TblRezone[[#This Row],[Hour]]</f>
        <v>49</v>
      </c>
      <c r="B52" s="229">
        <f ca="1">SUM(TblConstr[[#This Row],[Plain]:[Water]])</f>
        <v>159</v>
      </c>
      <c r="C52" s="230">
        <f ca="1">SUM(TblConstr[[#This Row],[Tot Hom]:[Tot Doc]])</f>
        <v>91</v>
      </c>
      <c r="D52" s="230">
        <f t="shared" si="11"/>
        <v>0</v>
      </c>
      <c r="E52" s="231"/>
      <c r="F52" s="74">
        <f ca="1">TblConstr[[#This Row],[Barren]]+TblConstr[[#This Row],[Buildings]]+TblConstr[[#This Row],[Incoming]]</f>
        <v>250</v>
      </c>
      <c r="G52" s="242">
        <f ca="1">OFFSET(TblConstr[[#This Row],[Plain]],-1,0)+TblConstr[[#This Row],[Ch_Plain]]</f>
        <v>39</v>
      </c>
      <c r="H52" s="236">
        <f ca="1">OFFSET(TblConstr[[#This Row],[Forest]],-1,0)+TblConstr[[#This Row],[Ch_Forest]]</f>
        <v>20</v>
      </c>
      <c r="I52" s="481">
        <f ca="1">OFFSET(TblConstr[[#This Row],[Mountain]],-1,0)+TblConstr[[#This Row],[Ch_Mountain]]</f>
        <v>20</v>
      </c>
      <c r="J52" s="485">
        <f ca="1">OFFSET(TblConstr[[#This Row],[Hill]],-1,0)+TblConstr[[#This Row],[Ch_Hill]]</f>
        <v>20</v>
      </c>
      <c r="K52" s="489">
        <f ca="1">OFFSET(TblConstr[[#This Row],[Swamp]],-1,0)+TblConstr[[#This Row],[Ch_Swamp]]</f>
        <v>20</v>
      </c>
      <c r="L52" s="239">
        <f ca="1">OFFSET(TblConstr[[#This Row],[Cavern]],-1,0)+TblConstr[[#This Row],[Ch_Cavern]]</f>
        <v>20</v>
      </c>
      <c r="M52" s="240">
        <f ca="1">OFFSET(TblConstr[[#This Row],[Water]],-1,0)+TblConstr[[#This Row],[Ch_Water]]</f>
        <v>20</v>
      </c>
      <c r="N52" s="479">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44344.999999999884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363785</v>
      </c>
      <c r="AL52" s="113">
        <f ca="1">TblProd[[#This Row],[Lumber]]</f>
        <v>47478</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11</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3" cm="1">
        <f t="array" aca="1" ref="BF52" ca="1">IF(TblConstr[[#This Row],[Hour]:[Hour]]&gt;12,OFFSET(TblConstr[[#This Row],[OM]],-12,0),0)+OFFSET(TblConstr[[#This Row],[Tot OM]],-1,0)-TblConstr[[#This Row],[Dest OM]]</f>
        <v>0</v>
      </c>
      <c r="BG52" s="483" cm="1">
        <f t="array" aca="1" ref="BG52" ca="1">IF(TblConstr[[#This Row],[Hour]:[Hour]]&gt;12,OFFSET(TblConstr[[#This Row],[GN]],-12,0),0)+OFFSET(TblConstr[[#This Row],[Tot GN]],-1,0)-TblConstr[[#This Row],[Dest GN]]</f>
        <v>0</v>
      </c>
      <c r="BH52" s="487" cm="1">
        <f t="array" aca="1" ref="BH52" ca="1">IF(TblConstr[[#This Row],[Hour]:[Hour]]&gt;12,OFFSET(TblConstr[[#This Row],[Fac]],-12,0),0)+OFFSET(TblConstr[[#This Row],[Tot Fac]],-1,0)-TblConstr[[#This Row],[Dest Fac]]</f>
        <v>0</v>
      </c>
      <c r="BI52" s="487" cm="1">
        <f t="array" aca="1" ref="BI52" ca="1">IF(TblConstr[[#This Row],[Hour]:[Hour]]&gt;12,OFFSET(TblConstr[[#This Row],[GT]],-12,0),0)+OFFSET(TblConstr[[#This Row],[Tot GT]],-1,0)-TblConstr[[#This Row],[Dest GT]]</f>
        <v>0</v>
      </c>
      <c r="BJ52" s="487" cm="1">
        <f t="array" aca="1" ref="BJ52" ca="1">IF(TblConstr[[#This Row],[Hour]:[Hour]]&gt;12,OFFSET(TblConstr[[#This Row],[Bar]],-12,0),0)+OFFSET(TblConstr[[#This Row],[Tot Bar]],-1,0)-TblConstr[[#This Row],[Dest Bar]]</f>
        <v>0</v>
      </c>
      <c r="BK52" s="487" cm="1">
        <f t="array" aca="1" ref="BK52" ca="1">IF(TblConstr[[#This Row],[Hour]:[Hour]]&gt;12,OFFSET(TblConstr[[#This Row],[Shr]],-12,0),0)+OFFSET(TblConstr[[#This Row],[Tot Shr]],-1,0)-TblConstr[[#This Row],[Dest Shr]]</f>
        <v>0</v>
      </c>
      <c r="BL52" s="491" cm="1">
        <f t="array" aca="1" ref="BL52" ca="1">IF(TblConstr[[#This Row],[Hour]:[Hour]]&gt;12,OFFSET(TblConstr[[#This Row],[Tow]],-12,0),0)+OFFSET(TblConstr[[#This Row],[Tot Tow]],-1,0)-TblConstr[[#This Row],[Dest Tow]]</f>
        <v>0</v>
      </c>
      <c r="BM52" s="491" cm="1">
        <f t="array" aca="1" ref="BM52" ca="1">IF(TblConstr[[#This Row],[Hour]:[Hour]]&gt;12,OFFSET(TblConstr[[#This Row],[Tem]],-12,0),0)+OFFSET(TblConstr[[#This Row],[Tot Tem]],-1,0)-TblConstr[[#This Row],[Dest Tem]]</f>
        <v>0</v>
      </c>
      <c r="BN52" s="491"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44344.999999999884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1">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99</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11</v>
      </c>
      <c r="DI52" s="49">
        <f t="shared" ca="1" si="0"/>
        <v>0</v>
      </c>
      <c r="DJ52" s="49">
        <f t="shared" ca="1" si="1"/>
        <v>0</v>
      </c>
    </row>
    <row r="53" spans="1:114" x14ac:dyDescent="0.2">
      <c r="A53" s="228">
        <f>TblRezone[[#This Row],[Hour]]</f>
        <v>50</v>
      </c>
      <c r="B53" s="229">
        <f ca="1">SUM(TblConstr[[#This Row],[Plain]:[Water]])</f>
        <v>159</v>
      </c>
      <c r="C53" s="230">
        <f ca="1">SUM(TblConstr[[#This Row],[Tot Hom]:[Tot Doc]])</f>
        <v>91</v>
      </c>
      <c r="D53" s="230">
        <f t="shared" si="11"/>
        <v>0</v>
      </c>
      <c r="E53" s="231"/>
      <c r="F53" s="74">
        <f ca="1">TblConstr[[#This Row],[Barren]]+TblConstr[[#This Row],[Buildings]]+TblConstr[[#This Row],[Incoming]]</f>
        <v>250</v>
      </c>
      <c r="G53" s="242">
        <f ca="1">OFFSET(TblConstr[[#This Row],[Plain]],-1,0)+TblConstr[[#This Row],[Ch_Plain]]</f>
        <v>39</v>
      </c>
      <c r="H53" s="236">
        <f ca="1">OFFSET(TblConstr[[#This Row],[Forest]],-1,0)+TblConstr[[#This Row],[Ch_Forest]]</f>
        <v>20</v>
      </c>
      <c r="I53" s="481">
        <f ca="1">OFFSET(TblConstr[[#This Row],[Mountain]],-1,0)+TblConstr[[#This Row],[Ch_Mountain]]</f>
        <v>20</v>
      </c>
      <c r="J53" s="485">
        <f ca="1">OFFSET(TblConstr[[#This Row],[Hill]],-1,0)+TblConstr[[#This Row],[Ch_Hill]]</f>
        <v>20</v>
      </c>
      <c r="K53" s="489">
        <f ca="1">OFFSET(TblConstr[[#This Row],[Swamp]],-1,0)+TblConstr[[#This Row],[Ch_Swamp]]</f>
        <v>20</v>
      </c>
      <c r="L53" s="239">
        <f ca="1">OFFSET(TblConstr[[#This Row],[Cavern]],-1,0)+TblConstr[[#This Row],[Ch_Cavern]]</f>
        <v>20</v>
      </c>
      <c r="M53" s="240">
        <f ca="1">OFFSET(TblConstr[[#This Row],[Water]],-1,0)+TblConstr[[#This Row],[Ch_Water]]</f>
        <v>20</v>
      </c>
      <c r="N53" s="479">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44345.041666666548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369284</v>
      </c>
      <c r="AL53" s="113">
        <f ca="1">TblProd[[#This Row],[Lumber]]</f>
        <v>48003</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11</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3" cm="1">
        <f t="array" aca="1" ref="BF53" ca="1">IF(TblConstr[[#This Row],[Hour]:[Hour]]&gt;12,OFFSET(TblConstr[[#This Row],[OM]],-12,0),0)+OFFSET(TblConstr[[#This Row],[Tot OM]],-1,0)-TblConstr[[#This Row],[Dest OM]]</f>
        <v>0</v>
      </c>
      <c r="BG53" s="483" cm="1">
        <f t="array" aca="1" ref="BG53" ca="1">IF(TblConstr[[#This Row],[Hour]:[Hour]]&gt;12,OFFSET(TblConstr[[#This Row],[GN]],-12,0),0)+OFFSET(TblConstr[[#This Row],[Tot GN]],-1,0)-TblConstr[[#This Row],[Dest GN]]</f>
        <v>0</v>
      </c>
      <c r="BH53" s="487" cm="1">
        <f t="array" aca="1" ref="BH53" ca="1">IF(TblConstr[[#This Row],[Hour]:[Hour]]&gt;12,OFFSET(TblConstr[[#This Row],[Fac]],-12,0),0)+OFFSET(TblConstr[[#This Row],[Tot Fac]],-1,0)-TblConstr[[#This Row],[Dest Fac]]</f>
        <v>0</v>
      </c>
      <c r="BI53" s="487" cm="1">
        <f t="array" aca="1" ref="BI53" ca="1">IF(TblConstr[[#This Row],[Hour]:[Hour]]&gt;12,OFFSET(TblConstr[[#This Row],[GT]],-12,0),0)+OFFSET(TblConstr[[#This Row],[Tot GT]],-1,0)-TblConstr[[#This Row],[Dest GT]]</f>
        <v>0</v>
      </c>
      <c r="BJ53" s="487" cm="1">
        <f t="array" aca="1" ref="BJ53" ca="1">IF(TblConstr[[#This Row],[Hour]:[Hour]]&gt;12,OFFSET(TblConstr[[#This Row],[Bar]],-12,0),0)+OFFSET(TblConstr[[#This Row],[Tot Bar]],-1,0)-TblConstr[[#This Row],[Dest Bar]]</f>
        <v>0</v>
      </c>
      <c r="BK53" s="487" cm="1">
        <f t="array" aca="1" ref="BK53" ca="1">IF(TblConstr[[#This Row],[Hour]:[Hour]]&gt;12,OFFSET(TblConstr[[#This Row],[Shr]],-12,0),0)+OFFSET(TblConstr[[#This Row],[Tot Shr]],-1,0)-TblConstr[[#This Row],[Dest Shr]]</f>
        <v>0</v>
      </c>
      <c r="BL53" s="491" cm="1">
        <f t="array" aca="1" ref="BL53" ca="1">IF(TblConstr[[#This Row],[Hour]:[Hour]]&gt;12,OFFSET(TblConstr[[#This Row],[Tow]],-12,0),0)+OFFSET(TblConstr[[#This Row],[Tot Tow]],-1,0)-TblConstr[[#This Row],[Dest Tow]]</f>
        <v>0</v>
      </c>
      <c r="BM53" s="491" cm="1">
        <f t="array" aca="1" ref="BM53" ca="1">IF(TblConstr[[#This Row],[Hour]:[Hour]]&gt;12,OFFSET(TblConstr[[#This Row],[Tem]],-12,0),0)+OFFSET(TblConstr[[#This Row],[Tot Tem]],-1,0)-TblConstr[[#This Row],[Dest Tem]]</f>
        <v>0</v>
      </c>
      <c r="BN53" s="491"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44345.041666666548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1">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99</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11</v>
      </c>
      <c r="DI53" s="49">
        <f t="shared" ca="1" si="0"/>
        <v>0</v>
      </c>
      <c r="DJ53" s="49">
        <f t="shared" ca="1" si="1"/>
        <v>0</v>
      </c>
    </row>
    <row r="54" spans="1:114" x14ac:dyDescent="0.2">
      <c r="A54" s="228">
        <f>TblRezone[[#This Row],[Hour]]</f>
        <v>51</v>
      </c>
      <c r="B54" s="229">
        <f ca="1">SUM(TblConstr[[#This Row],[Plain]:[Water]])</f>
        <v>159</v>
      </c>
      <c r="C54" s="230">
        <f ca="1">SUM(TblConstr[[#This Row],[Tot Hom]:[Tot Doc]])</f>
        <v>91</v>
      </c>
      <c r="D54" s="230">
        <f t="shared" si="11"/>
        <v>0</v>
      </c>
      <c r="E54" s="231"/>
      <c r="F54" s="74">
        <f ca="1">TblConstr[[#This Row],[Barren]]+TblConstr[[#This Row],[Buildings]]+TblConstr[[#This Row],[Incoming]]</f>
        <v>250</v>
      </c>
      <c r="G54" s="242">
        <f ca="1">OFFSET(TblConstr[[#This Row],[Plain]],-1,0)+TblConstr[[#This Row],[Ch_Plain]]</f>
        <v>39</v>
      </c>
      <c r="H54" s="236">
        <f ca="1">OFFSET(TblConstr[[#This Row],[Forest]],-1,0)+TblConstr[[#This Row],[Ch_Forest]]</f>
        <v>20</v>
      </c>
      <c r="I54" s="481">
        <f ca="1">OFFSET(TblConstr[[#This Row],[Mountain]],-1,0)+TblConstr[[#This Row],[Ch_Mountain]]</f>
        <v>20</v>
      </c>
      <c r="J54" s="485">
        <f ca="1">OFFSET(TblConstr[[#This Row],[Hill]],-1,0)+TblConstr[[#This Row],[Ch_Hill]]</f>
        <v>20</v>
      </c>
      <c r="K54" s="489">
        <f ca="1">OFFSET(TblConstr[[#This Row],[Swamp]],-1,0)+TblConstr[[#This Row],[Ch_Swamp]]</f>
        <v>20</v>
      </c>
      <c r="L54" s="239">
        <f ca="1">OFFSET(TblConstr[[#This Row],[Cavern]],-1,0)+TblConstr[[#This Row],[Ch_Cavern]]</f>
        <v>20</v>
      </c>
      <c r="M54" s="240">
        <f ca="1">OFFSET(TblConstr[[#This Row],[Water]],-1,0)+TblConstr[[#This Row],[Ch_Water]]</f>
        <v>20</v>
      </c>
      <c r="N54" s="479">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44345.083333333212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374783</v>
      </c>
      <c r="AL54" s="113">
        <f ca="1">TblProd[[#This Row],[Lumber]]</f>
        <v>48523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11</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3" cm="1">
        <f t="array" aca="1" ref="BF54" ca="1">IF(TblConstr[[#This Row],[Hour]:[Hour]]&gt;12,OFFSET(TblConstr[[#This Row],[OM]],-12,0),0)+OFFSET(TblConstr[[#This Row],[Tot OM]],-1,0)-TblConstr[[#This Row],[Dest OM]]</f>
        <v>0</v>
      </c>
      <c r="BG54" s="483" cm="1">
        <f t="array" aca="1" ref="BG54" ca="1">IF(TblConstr[[#This Row],[Hour]:[Hour]]&gt;12,OFFSET(TblConstr[[#This Row],[GN]],-12,0),0)+OFFSET(TblConstr[[#This Row],[Tot GN]],-1,0)-TblConstr[[#This Row],[Dest GN]]</f>
        <v>0</v>
      </c>
      <c r="BH54" s="487" cm="1">
        <f t="array" aca="1" ref="BH54" ca="1">IF(TblConstr[[#This Row],[Hour]:[Hour]]&gt;12,OFFSET(TblConstr[[#This Row],[Fac]],-12,0),0)+OFFSET(TblConstr[[#This Row],[Tot Fac]],-1,0)-TblConstr[[#This Row],[Dest Fac]]</f>
        <v>0</v>
      </c>
      <c r="BI54" s="487" cm="1">
        <f t="array" aca="1" ref="BI54" ca="1">IF(TblConstr[[#This Row],[Hour]:[Hour]]&gt;12,OFFSET(TblConstr[[#This Row],[GT]],-12,0),0)+OFFSET(TblConstr[[#This Row],[Tot GT]],-1,0)-TblConstr[[#This Row],[Dest GT]]</f>
        <v>0</v>
      </c>
      <c r="BJ54" s="487" cm="1">
        <f t="array" aca="1" ref="BJ54" ca="1">IF(TblConstr[[#This Row],[Hour]:[Hour]]&gt;12,OFFSET(TblConstr[[#This Row],[Bar]],-12,0),0)+OFFSET(TblConstr[[#This Row],[Tot Bar]],-1,0)-TblConstr[[#This Row],[Dest Bar]]</f>
        <v>0</v>
      </c>
      <c r="BK54" s="487" cm="1">
        <f t="array" aca="1" ref="BK54" ca="1">IF(TblConstr[[#This Row],[Hour]:[Hour]]&gt;12,OFFSET(TblConstr[[#This Row],[Shr]],-12,0),0)+OFFSET(TblConstr[[#This Row],[Tot Shr]],-1,0)-TblConstr[[#This Row],[Dest Shr]]</f>
        <v>0</v>
      </c>
      <c r="BL54" s="491" cm="1">
        <f t="array" aca="1" ref="BL54" ca="1">IF(TblConstr[[#This Row],[Hour]:[Hour]]&gt;12,OFFSET(TblConstr[[#This Row],[Tow]],-12,0),0)+OFFSET(TblConstr[[#This Row],[Tot Tow]],-1,0)-TblConstr[[#This Row],[Dest Tow]]</f>
        <v>0</v>
      </c>
      <c r="BM54" s="491" cm="1">
        <f t="array" aca="1" ref="BM54" ca="1">IF(TblConstr[[#This Row],[Hour]:[Hour]]&gt;12,OFFSET(TblConstr[[#This Row],[Tem]],-12,0),0)+OFFSET(TblConstr[[#This Row],[Tot Tem]],-1,0)-TblConstr[[#This Row],[Dest Tem]]</f>
        <v>0</v>
      </c>
      <c r="BN54" s="491"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44345.083333333212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1">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99</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11</v>
      </c>
      <c r="DI54" s="49">
        <f t="shared" ca="1" si="0"/>
        <v>0</v>
      </c>
      <c r="DJ54" s="49">
        <f t="shared" ca="1" si="1"/>
        <v>0</v>
      </c>
    </row>
    <row r="55" spans="1:114" x14ac:dyDescent="0.2">
      <c r="A55" s="228">
        <f>TblRezone[[#This Row],[Hour]]</f>
        <v>52</v>
      </c>
      <c r="B55" s="229">
        <f ca="1">SUM(TblConstr[[#This Row],[Plain]:[Water]])</f>
        <v>159</v>
      </c>
      <c r="C55" s="230">
        <f ca="1">SUM(TblConstr[[#This Row],[Tot Hom]:[Tot Doc]])</f>
        <v>91</v>
      </c>
      <c r="D55" s="230">
        <f t="shared" si="11"/>
        <v>0</v>
      </c>
      <c r="E55" s="231"/>
      <c r="F55" s="74">
        <f ca="1">TblConstr[[#This Row],[Barren]]+TblConstr[[#This Row],[Buildings]]+TblConstr[[#This Row],[Incoming]]</f>
        <v>250</v>
      </c>
      <c r="G55" s="242">
        <f ca="1">OFFSET(TblConstr[[#This Row],[Plain]],-1,0)+TblConstr[[#This Row],[Ch_Plain]]</f>
        <v>39</v>
      </c>
      <c r="H55" s="236">
        <f ca="1">OFFSET(TblConstr[[#This Row],[Forest]],-1,0)+TblConstr[[#This Row],[Ch_Forest]]</f>
        <v>20</v>
      </c>
      <c r="I55" s="481">
        <f ca="1">OFFSET(TblConstr[[#This Row],[Mountain]],-1,0)+TblConstr[[#This Row],[Ch_Mountain]]</f>
        <v>20</v>
      </c>
      <c r="J55" s="485">
        <f ca="1">OFFSET(TblConstr[[#This Row],[Hill]],-1,0)+TblConstr[[#This Row],[Ch_Hill]]</f>
        <v>20</v>
      </c>
      <c r="K55" s="489">
        <f ca="1">OFFSET(TblConstr[[#This Row],[Swamp]],-1,0)+TblConstr[[#This Row],[Ch_Swamp]]</f>
        <v>20</v>
      </c>
      <c r="L55" s="239">
        <f ca="1">OFFSET(TblConstr[[#This Row],[Cavern]],-1,0)+TblConstr[[#This Row],[Ch_Cavern]]</f>
        <v>20</v>
      </c>
      <c r="M55" s="240">
        <f ca="1">OFFSET(TblConstr[[#This Row],[Water]],-1,0)+TblConstr[[#This Row],[Ch_Water]]</f>
        <v>20</v>
      </c>
      <c r="N55" s="479">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44345.124999999876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380282</v>
      </c>
      <c r="AL55" s="113">
        <f ca="1">TblProd[[#This Row],[Lumber]]</f>
        <v>49038</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11</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3" cm="1">
        <f t="array" aca="1" ref="BF55" ca="1">IF(TblConstr[[#This Row],[Hour]:[Hour]]&gt;12,OFFSET(TblConstr[[#This Row],[OM]],-12,0),0)+OFFSET(TblConstr[[#This Row],[Tot OM]],-1,0)-TblConstr[[#This Row],[Dest OM]]</f>
        <v>0</v>
      </c>
      <c r="BG55" s="483" cm="1">
        <f t="array" aca="1" ref="BG55" ca="1">IF(TblConstr[[#This Row],[Hour]:[Hour]]&gt;12,OFFSET(TblConstr[[#This Row],[GN]],-12,0),0)+OFFSET(TblConstr[[#This Row],[Tot GN]],-1,0)-TblConstr[[#This Row],[Dest GN]]</f>
        <v>0</v>
      </c>
      <c r="BH55" s="487" cm="1">
        <f t="array" aca="1" ref="BH55" ca="1">IF(TblConstr[[#This Row],[Hour]:[Hour]]&gt;12,OFFSET(TblConstr[[#This Row],[Fac]],-12,0),0)+OFFSET(TblConstr[[#This Row],[Tot Fac]],-1,0)-TblConstr[[#This Row],[Dest Fac]]</f>
        <v>0</v>
      </c>
      <c r="BI55" s="487" cm="1">
        <f t="array" aca="1" ref="BI55" ca="1">IF(TblConstr[[#This Row],[Hour]:[Hour]]&gt;12,OFFSET(TblConstr[[#This Row],[GT]],-12,0),0)+OFFSET(TblConstr[[#This Row],[Tot GT]],-1,0)-TblConstr[[#This Row],[Dest GT]]</f>
        <v>0</v>
      </c>
      <c r="BJ55" s="487" cm="1">
        <f t="array" aca="1" ref="BJ55" ca="1">IF(TblConstr[[#This Row],[Hour]:[Hour]]&gt;12,OFFSET(TblConstr[[#This Row],[Bar]],-12,0),0)+OFFSET(TblConstr[[#This Row],[Tot Bar]],-1,0)-TblConstr[[#This Row],[Dest Bar]]</f>
        <v>0</v>
      </c>
      <c r="BK55" s="487" cm="1">
        <f t="array" aca="1" ref="BK55" ca="1">IF(TblConstr[[#This Row],[Hour]:[Hour]]&gt;12,OFFSET(TblConstr[[#This Row],[Shr]],-12,0),0)+OFFSET(TblConstr[[#This Row],[Tot Shr]],-1,0)-TblConstr[[#This Row],[Dest Shr]]</f>
        <v>0</v>
      </c>
      <c r="BL55" s="491" cm="1">
        <f t="array" aca="1" ref="BL55" ca="1">IF(TblConstr[[#This Row],[Hour]:[Hour]]&gt;12,OFFSET(TblConstr[[#This Row],[Tow]],-12,0),0)+OFFSET(TblConstr[[#This Row],[Tot Tow]],-1,0)-TblConstr[[#This Row],[Dest Tow]]</f>
        <v>0</v>
      </c>
      <c r="BM55" s="491" cm="1">
        <f t="array" aca="1" ref="BM55" ca="1">IF(TblConstr[[#This Row],[Hour]:[Hour]]&gt;12,OFFSET(TblConstr[[#This Row],[Tem]],-12,0),0)+OFFSET(TblConstr[[#This Row],[Tot Tem]],-1,0)-TblConstr[[#This Row],[Dest Tem]]</f>
        <v>0</v>
      </c>
      <c r="BN55" s="491"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44345.124999999876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1">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99</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11</v>
      </c>
      <c r="DI55" s="49">
        <f t="shared" ca="1" si="0"/>
        <v>0</v>
      </c>
      <c r="DJ55" s="49">
        <f t="shared" ca="1" si="1"/>
        <v>0</v>
      </c>
    </row>
    <row r="56" spans="1:114" x14ac:dyDescent="0.2">
      <c r="A56" s="228">
        <f>TblRezone[[#This Row],[Hour]]</f>
        <v>53</v>
      </c>
      <c r="B56" s="229">
        <f ca="1">SUM(TblConstr[[#This Row],[Plain]:[Water]])</f>
        <v>159</v>
      </c>
      <c r="C56" s="230">
        <f ca="1">SUM(TblConstr[[#This Row],[Tot Hom]:[Tot Doc]])</f>
        <v>91</v>
      </c>
      <c r="D56" s="230">
        <f t="shared" si="11"/>
        <v>0</v>
      </c>
      <c r="E56" s="231"/>
      <c r="F56" s="74">
        <f ca="1">TblConstr[[#This Row],[Barren]]+TblConstr[[#This Row],[Buildings]]+TblConstr[[#This Row],[Incoming]]</f>
        <v>250</v>
      </c>
      <c r="G56" s="242">
        <f ca="1">OFFSET(TblConstr[[#This Row],[Plain]],-1,0)+TblConstr[[#This Row],[Ch_Plain]]</f>
        <v>39</v>
      </c>
      <c r="H56" s="236">
        <f ca="1">OFFSET(TblConstr[[#This Row],[Forest]],-1,0)+TblConstr[[#This Row],[Ch_Forest]]</f>
        <v>20</v>
      </c>
      <c r="I56" s="481">
        <f ca="1">OFFSET(TblConstr[[#This Row],[Mountain]],-1,0)+TblConstr[[#This Row],[Ch_Mountain]]</f>
        <v>20</v>
      </c>
      <c r="J56" s="485">
        <f ca="1">OFFSET(TblConstr[[#This Row],[Hill]],-1,0)+TblConstr[[#This Row],[Ch_Hill]]</f>
        <v>20</v>
      </c>
      <c r="K56" s="489">
        <f ca="1">OFFSET(TblConstr[[#This Row],[Swamp]],-1,0)+TblConstr[[#This Row],[Ch_Swamp]]</f>
        <v>20</v>
      </c>
      <c r="L56" s="239">
        <f ca="1">OFFSET(TblConstr[[#This Row],[Cavern]],-1,0)+TblConstr[[#This Row],[Ch_Cavern]]</f>
        <v>20</v>
      </c>
      <c r="M56" s="240">
        <f ca="1">OFFSET(TblConstr[[#This Row],[Water]],-1,0)+TblConstr[[#This Row],[Ch_Water]]</f>
        <v>20</v>
      </c>
      <c r="N56" s="479">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44345.166666666541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385781</v>
      </c>
      <c r="AL56" s="113">
        <f ca="1">TblProd[[#This Row],[Lumber]]</f>
        <v>49548</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11</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3" cm="1">
        <f t="array" aca="1" ref="BF56" ca="1">IF(TblConstr[[#This Row],[Hour]:[Hour]]&gt;12,OFFSET(TblConstr[[#This Row],[OM]],-12,0),0)+OFFSET(TblConstr[[#This Row],[Tot OM]],-1,0)-TblConstr[[#This Row],[Dest OM]]</f>
        <v>0</v>
      </c>
      <c r="BG56" s="483" cm="1">
        <f t="array" aca="1" ref="BG56" ca="1">IF(TblConstr[[#This Row],[Hour]:[Hour]]&gt;12,OFFSET(TblConstr[[#This Row],[GN]],-12,0),0)+OFFSET(TblConstr[[#This Row],[Tot GN]],-1,0)-TblConstr[[#This Row],[Dest GN]]</f>
        <v>0</v>
      </c>
      <c r="BH56" s="487" cm="1">
        <f t="array" aca="1" ref="BH56" ca="1">IF(TblConstr[[#This Row],[Hour]:[Hour]]&gt;12,OFFSET(TblConstr[[#This Row],[Fac]],-12,0),0)+OFFSET(TblConstr[[#This Row],[Tot Fac]],-1,0)-TblConstr[[#This Row],[Dest Fac]]</f>
        <v>0</v>
      </c>
      <c r="BI56" s="487" cm="1">
        <f t="array" aca="1" ref="BI56" ca="1">IF(TblConstr[[#This Row],[Hour]:[Hour]]&gt;12,OFFSET(TblConstr[[#This Row],[GT]],-12,0),0)+OFFSET(TblConstr[[#This Row],[Tot GT]],-1,0)-TblConstr[[#This Row],[Dest GT]]</f>
        <v>0</v>
      </c>
      <c r="BJ56" s="487" cm="1">
        <f t="array" aca="1" ref="BJ56" ca="1">IF(TblConstr[[#This Row],[Hour]:[Hour]]&gt;12,OFFSET(TblConstr[[#This Row],[Bar]],-12,0),0)+OFFSET(TblConstr[[#This Row],[Tot Bar]],-1,0)-TblConstr[[#This Row],[Dest Bar]]</f>
        <v>0</v>
      </c>
      <c r="BK56" s="487" cm="1">
        <f t="array" aca="1" ref="BK56" ca="1">IF(TblConstr[[#This Row],[Hour]:[Hour]]&gt;12,OFFSET(TblConstr[[#This Row],[Shr]],-12,0),0)+OFFSET(TblConstr[[#This Row],[Tot Shr]],-1,0)-TblConstr[[#This Row],[Dest Shr]]</f>
        <v>0</v>
      </c>
      <c r="BL56" s="491" cm="1">
        <f t="array" aca="1" ref="BL56" ca="1">IF(TblConstr[[#This Row],[Hour]:[Hour]]&gt;12,OFFSET(TblConstr[[#This Row],[Tow]],-12,0),0)+OFFSET(TblConstr[[#This Row],[Tot Tow]],-1,0)-TblConstr[[#This Row],[Dest Tow]]</f>
        <v>0</v>
      </c>
      <c r="BM56" s="491" cm="1">
        <f t="array" aca="1" ref="BM56" ca="1">IF(TblConstr[[#This Row],[Hour]:[Hour]]&gt;12,OFFSET(TblConstr[[#This Row],[Tem]],-12,0),0)+OFFSET(TblConstr[[#This Row],[Tot Tem]],-1,0)-TblConstr[[#This Row],[Dest Tem]]</f>
        <v>0</v>
      </c>
      <c r="BN56" s="491"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44345.166666666541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1">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99</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11</v>
      </c>
      <c r="DI56" s="49">
        <f t="shared" ca="1" si="0"/>
        <v>0</v>
      </c>
      <c r="DJ56" s="49">
        <f t="shared" ca="1" si="1"/>
        <v>0</v>
      </c>
    </row>
    <row r="57" spans="1:114" x14ac:dyDescent="0.2">
      <c r="A57" s="228">
        <f>TblRezone[[#This Row],[Hour]]</f>
        <v>54</v>
      </c>
      <c r="B57" s="229">
        <f ca="1">SUM(TblConstr[[#This Row],[Plain]:[Water]])</f>
        <v>159</v>
      </c>
      <c r="C57" s="230">
        <f ca="1">SUM(TblConstr[[#This Row],[Tot Hom]:[Tot Doc]])</f>
        <v>91</v>
      </c>
      <c r="D57" s="230">
        <f t="shared" si="11"/>
        <v>0</v>
      </c>
      <c r="E57" s="231"/>
      <c r="F57" s="74">
        <f ca="1">TblConstr[[#This Row],[Barren]]+TblConstr[[#This Row],[Buildings]]+TblConstr[[#This Row],[Incoming]]</f>
        <v>250</v>
      </c>
      <c r="G57" s="242">
        <f ca="1">OFFSET(TblConstr[[#This Row],[Plain]],-1,0)+TblConstr[[#This Row],[Ch_Plain]]</f>
        <v>39</v>
      </c>
      <c r="H57" s="236">
        <f ca="1">OFFSET(TblConstr[[#This Row],[Forest]],-1,0)+TblConstr[[#This Row],[Ch_Forest]]</f>
        <v>20</v>
      </c>
      <c r="I57" s="481">
        <f ca="1">OFFSET(TblConstr[[#This Row],[Mountain]],-1,0)+TblConstr[[#This Row],[Ch_Mountain]]</f>
        <v>20</v>
      </c>
      <c r="J57" s="485">
        <f ca="1">OFFSET(TblConstr[[#This Row],[Hill]],-1,0)+TblConstr[[#This Row],[Ch_Hill]]</f>
        <v>20</v>
      </c>
      <c r="K57" s="489">
        <f ca="1">OFFSET(TblConstr[[#This Row],[Swamp]],-1,0)+TblConstr[[#This Row],[Ch_Swamp]]</f>
        <v>20</v>
      </c>
      <c r="L57" s="239">
        <f ca="1">OFFSET(TblConstr[[#This Row],[Cavern]],-1,0)+TblConstr[[#This Row],[Ch_Cavern]]</f>
        <v>20</v>
      </c>
      <c r="M57" s="240">
        <f ca="1">OFFSET(TblConstr[[#This Row],[Water]],-1,0)+TblConstr[[#This Row],[Ch_Water]]</f>
        <v>20</v>
      </c>
      <c r="N57" s="479">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44345.208333333205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391280</v>
      </c>
      <c r="AL57" s="113">
        <f ca="1">TblProd[[#This Row],[Lumber]]</f>
        <v>50053</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11</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3" cm="1">
        <f t="array" aca="1" ref="BF57" ca="1">IF(TblConstr[[#This Row],[Hour]:[Hour]]&gt;12,OFFSET(TblConstr[[#This Row],[OM]],-12,0),0)+OFFSET(TblConstr[[#This Row],[Tot OM]],-1,0)-TblConstr[[#This Row],[Dest OM]]</f>
        <v>0</v>
      </c>
      <c r="BG57" s="483" cm="1">
        <f t="array" aca="1" ref="BG57" ca="1">IF(TblConstr[[#This Row],[Hour]:[Hour]]&gt;12,OFFSET(TblConstr[[#This Row],[GN]],-12,0),0)+OFFSET(TblConstr[[#This Row],[Tot GN]],-1,0)-TblConstr[[#This Row],[Dest GN]]</f>
        <v>0</v>
      </c>
      <c r="BH57" s="487" cm="1">
        <f t="array" aca="1" ref="BH57" ca="1">IF(TblConstr[[#This Row],[Hour]:[Hour]]&gt;12,OFFSET(TblConstr[[#This Row],[Fac]],-12,0),0)+OFFSET(TblConstr[[#This Row],[Tot Fac]],-1,0)-TblConstr[[#This Row],[Dest Fac]]</f>
        <v>0</v>
      </c>
      <c r="BI57" s="487" cm="1">
        <f t="array" aca="1" ref="BI57" ca="1">IF(TblConstr[[#This Row],[Hour]:[Hour]]&gt;12,OFFSET(TblConstr[[#This Row],[GT]],-12,0),0)+OFFSET(TblConstr[[#This Row],[Tot GT]],-1,0)-TblConstr[[#This Row],[Dest GT]]</f>
        <v>0</v>
      </c>
      <c r="BJ57" s="487" cm="1">
        <f t="array" aca="1" ref="BJ57" ca="1">IF(TblConstr[[#This Row],[Hour]:[Hour]]&gt;12,OFFSET(TblConstr[[#This Row],[Bar]],-12,0),0)+OFFSET(TblConstr[[#This Row],[Tot Bar]],-1,0)-TblConstr[[#This Row],[Dest Bar]]</f>
        <v>0</v>
      </c>
      <c r="BK57" s="487" cm="1">
        <f t="array" aca="1" ref="BK57" ca="1">IF(TblConstr[[#This Row],[Hour]:[Hour]]&gt;12,OFFSET(TblConstr[[#This Row],[Shr]],-12,0),0)+OFFSET(TblConstr[[#This Row],[Tot Shr]],-1,0)-TblConstr[[#This Row],[Dest Shr]]</f>
        <v>0</v>
      </c>
      <c r="BL57" s="491" cm="1">
        <f t="array" aca="1" ref="BL57" ca="1">IF(TblConstr[[#This Row],[Hour]:[Hour]]&gt;12,OFFSET(TblConstr[[#This Row],[Tow]],-12,0),0)+OFFSET(TblConstr[[#This Row],[Tot Tow]],-1,0)-TblConstr[[#This Row],[Dest Tow]]</f>
        <v>0</v>
      </c>
      <c r="BM57" s="491" cm="1">
        <f t="array" aca="1" ref="BM57" ca="1">IF(TblConstr[[#This Row],[Hour]:[Hour]]&gt;12,OFFSET(TblConstr[[#This Row],[Tem]],-12,0),0)+OFFSET(TblConstr[[#This Row],[Tot Tem]],-1,0)-TblConstr[[#This Row],[Dest Tem]]</f>
        <v>0</v>
      </c>
      <c r="BN57" s="491"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44345.208333333205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1">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99</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11</v>
      </c>
      <c r="DI57" s="49">
        <f t="shared" ca="1" si="0"/>
        <v>0</v>
      </c>
      <c r="DJ57" s="49">
        <f t="shared" ca="1" si="1"/>
        <v>0</v>
      </c>
    </row>
    <row r="58" spans="1:114" x14ac:dyDescent="0.2">
      <c r="A58" s="228">
        <f>TblRezone[[#This Row],[Hour]]</f>
        <v>55</v>
      </c>
      <c r="B58" s="229">
        <f ca="1">SUM(TblConstr[[#This Row],[Plain]:[Water]])</f>
        <v>159</v>
      </c>
      <c r="C58" s="230">
        <f ca="1">SUM(TblConstr[[#This Row],[Tot Hom]:[Tot Doc]])</f>
        <v>91</v>
      </c>
      <c r="D58" s="230">
        <f t="shared" si="11"/>
        <v>0</v>
      </c>
      <c r="E58" s="231"/>
      <c r="F58" s="74">
        <f ca="1">TblConstr[[#This Row],[Barren]]+TblConstr[[#This Row],[Buildings]]+TblConstr[[#This Row],[Incoming]]</f>
        <v>250</v>
      </c>
      <c r="G58" s="242">
        <f ca="1">OFFSET(TblConstr[[#This Row],[Plain]],-1,0)+TblConstr[[#This Row],[Ch_Plain]]</f>
        <v>39</v>
      </c>
      <c r="H58" s="236">
        <f ca="1">OFFSET(TblConstr[[#This Row],[Forest]],-1,0)+TblConstr[[#This Row],[Ch_Forest]]</f>
        <v>20</v>
      </c>
      <c r="I58" s="481">
        <f ca="1">OFFSET(TblConstr[[#This Row],[Mountain]],-1,0)+TblConstr[[#This Row],[Ch_Mountain]]</f>
        <v>20</v>
      </c>
      <c r="J58" s="485">
        <f ca="1">OFFSET(TblConstr[[#This Row],[Hill]],-1,0)+TblConstr[[#This Row],[Ch_Hill]]</f>
        <v>20</v>
      </c>
      <c r="K58" s="489">
        <f ca="1">OFFSET(TblConstr[[#This Row],[Swamp]],-1,0)+TblConstr[[#This Row],[Ch_Swamp]]</f>
        <v>20</v>
      </c>
      <c r="L58" s="239">
        <f ca="1">OFFSET(TblConstr[[#This Row],[Cavern]],-1,0)+TblConstr[[#This Row],[Ch_Cavern]]</f>
        <v>20</v>
      </c>
      <c r="M58" s="240">
        <f ca="1">OFFSET(TblConstr[[#This Row],[Water]],-1,0)+TblConstr[[#This Row],[Ch_Water]]</f>
        <v>20</v>
      </c>
      <c r="N58" s="479">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44345.249999999869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396779</v>
      </c>
      <c r="AL58" s="113">
        <f ca="1">TblProd[[#This Row],[Lumber]]</f>
        <v>50552</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11</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3" cm="1">
        <f t="array" aca="1" ref="BF58" ca="1">IF(TblConstr[[#This Row],[Hour]:[Hour]]&gt;12,OFFSET(TblConstr[[#This Row],[OM]],-12,0),0)+OFFSET(TblConstr[[#This Row],[Tot OM]],-1,0)-TblConstr[[#This Row],[Dest OM]]</f>
        <v>0</v>
      </c>
      <c r="BG58" s="483" cm="1">
        <f t="array" aca="1" ref="BG58" ca="1">IF(TblConstr[[#This Row],[Hour]:[Hour]]&gt;12,OFFSET(TblConstr[[#This Row],[GN]],-12,0),0)+OFFSET(TblConstr[[#This Row],[Tot GN]],-1,0)-TblConstr[[#This Row],[Dest GN]]</f>
        <v>0</v>
      </c>
      <c r="BH58" s="487" cm="1">
        <f t="array" aca="1" ref="BH58" ca="1">IF(TblConstr[[#This Row],[Hour]:[Hour]]&gt;12,OFFSET(TblConstr[[#This Row],[Fac]],-12,0),0)+OFFSET(TblConstr[[#This Row],[Tot Fac]],-1,0)-TblConstr[[#This Row],[Dest Fac]]</f>
        <v>0</v>
      </c>
      <c r="BI58" s="487" cm="1">
        <f t="array" aca="1" ref="BI58" ca="1">IF(TblConstr[[#This Row],[Hour]:[Hour]]&gt;12,OFFSET(TblConstr[[#This Row],[GT]],-12,0),0)+OFFSET(TblConstr[[#This Row],[Tot GT]],-1,0)-TblConstr[[#This Row],[Dest GT]]</f>
        <v>0</v>
      </c>
      <c r="BJ58" s="487" cm="1">
        <f t="array" aca="1" ref="BJ58" ca="1">IF(TblConstr[[#This Row],[Hour]:[Hour]]&gt;12,OFFSET(TblConstr[[#This Row],[Bar]],-12,0),0)+OFFSET(TblConstr[[#This Row],[Tot Bar]],-1,0)-TblConstr[[#This Row],[Dest Bar]]</f>
        <v>0</v>
      </c>
      <c r="BK58" s="487" cm="1">
        <f t="array" aca="1" ref="BK58" ca="1">IF(TblConstr[[#This Row],[Hour]:[Hour]]&gt;12,OFFSET(TblConstr[[#This Row],[Shr]],-12,0),0)+OFFSET(TblConstr[[#This Row],[Tot Shr]],-1,0)-TblConstr[[#This Row],[Dest Shr]]</f>
        <v>0</v>
      </c>
      <c r="BL58" s="491" cm="1">
        <f t="array" aca="1" ref="BL58" ca="1">IF(TblConstr[[#This Row],[Hour]:[Hour]]&gt;12,OFFSET(TblConstr[[#This Row],[Tow]],-12,0),0)+OFFSET(TblConstr[[#This Row],[Tot Tow]],-1,0)-TblConstr[[#This Row],[Dest Tow]]</f>
        <v>0</v>
      </c>
      <c r="BM58" s="491" cm="1">
        <f t="array" aca="1" ref="BM58" ca="1">IF(TblConstr[[#This Row],[Hour]:[Hour]]&gt;12,OFFSET(TblConstr[[#This Row],[Tem]],-12,0),0)+OFFSET(TblConstr[[#This Row],[Tot Tem]],-1,0)-TblConstr[[#This Row],[Dest Tem]]</f>
        <v>0</v>
      </c>
      <c r="BN58" s="491"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44345.249999999869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1">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99</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11</v>
      </c>
      <c r="DI58" s="49">
        <f t="shared" ca="1" si="0"/>
        <v>0</v>
      </c>
      <c r="DJ58" s="49">
        <f t="shared" ca="1" si="1"/>
        <v>0</v>
      </c>
    </row>
    <row r="59" spans="1:114" x14ac:dyDescent="0.2">
      <c r="A59" s="228">
        <f>TblRezone[[#This Row],[Hour]]</f>
        <v>56</v>
      </c>
      <c r="B59" s="229">
        <f ca="1">SUM(TblConstr[[#This Row],[Plain]:[Water]])</f>
        <v>159</v>
      </c>
      <c r="C59" s="230">
        <f ca="1">SUM(TblConstr[[#This Row],[Tot Hom]:[Tot Doc]])</f>
        <v>91</v>
      </c>
      <c r="D59" s="230">
        <f t="shared" si="11"/>
        <v>0</v>
      </c>
      <c r="E59" s="231"/>
      <c r="F59" s="74">
        <f ca="1">TblConstr[[#This Row],[Barren]]+TblConstr[[#This Row],[Buildings]]+TblConstr[[#This Row],[Incoming]]</f>
        <v>250</v>
      </c>
      <c r="G59" s="242">
        <f ca="1">OFFSET(TblConstr[[#This Row],[Plain]],-1,0)+TblConstr[[#This Row],[Ch_Plain]]</f>
        <v>39</v>
      </c>
      <c r="H59" s="236">
        <f ca="1">OFFSET(TblConstr[[#This Row],[Forest]],-1,0)+TblConstr[[#This Row],[Ch_Forest]]</f>
        <v>20</v>
      </c>
      <c r="I59" s="481">
        <f ca="1">OFFSET(TblConstr[[#This Row],[Mountain]],-1,0)+TblConstr[[#This Row],[Ch_Mountain]]</f>
        <v>20</v>
      </c>
      <c r="J59" s="485">
        <f ca="1">OFFSET(TblConstr[[#This Row],[Hill]],-1,0)+TblConstr[[#This Row],[Ch_Hill]]</f>
        <v>20</v>
      </c>
      <c r="K59" s="489">
        <f ca="1">OFFSET(TblConstr[[#This Row],[Swamp]],-1,0)+TblConstr[[#This Row],[Ch_Swamp]]</f>
        <v>20</v>
      </c>
      <c r="L59" s="239">
        <f ca="1">OFFSET(TblConstr[[#This Row],[Cavern]],-1,0)+TblConstr[[#This Row],[Ch_Cavern]]</f>
        <v>20</v>
      </c>
      <c r="M59" s="240">
        <f ca="1">OFFSET(TblConstr[[#This Row],[Water]],-1,0)+TblConstr[[#This Row],[Ch_Water]]</f>
        <v>20</v>
      </c>
      <c r="N59" s="479">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44345.291666666533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402278</v>
      </c>
      <c r="AL59" s="113">
        <f ca="1">TblProd[[#This Row],[Lumber]]</f>
        <v>51046</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11</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3" cm="1">
        <f t="array" aca="1" ref="BF59" ca="1">IF(TblConstr[[#This Row],[Hour]:[Hour]]&gt;12,OFFSET(TblConstr[[#This Row],[OM]],-12,0),0)+OFFSET(TblConstr[[#This Row],[Tot OM]],-1,0)-TblConstr[[#This Row],[Dest OM]]</f>
        <v>0</v>
      </c>
      <c r="BG59" s="483" cm="1">
        <f t="array" aca="1" ref="BG59" ca="1">IF(TblConstr[[#This Row],[Hour]:[Hour]]&gt;12,OFFSET(TblConstr[[#This Row],[GN]],-12,0),0)+OFFSET(TblConstr[[#This Row],[Tot GN]],-1,0)-TblConstr[[#This Row],[Dest GN]]</f>
        <v>0</v>
      </c>
      <c r="BH59" s="487" cm="1">
        <f t="array" aca="1" ref="BH59" ca="1">IF(TblConstr[[#This Row],[Hour]:[Hour]]&gt;12,OFFSET(TblConstr[[#This Row],[Fac]],-12,0),0)+OFFSET(TblConstr[[#This Row],[Tot Fac]],-1,0)-TblConstr[[#This Row],[Dest Fac]]</f>
        <v>0</v>
      </c>
      <c r="BI59" s="487" cm="1">
        <f t="array" aca="1" ref="BI59" ca="1">IF(TblConstr[[#This Row],[Hour]:[Hour]]&gt;12,OFFSET(TblConstr[[#This Row],[GT]],-12,0),0)+OFFSET(TblConstr[[#This Row],[Tot GT]],-1,0)-TblConstr[[#This Row],[Dest GT]]</f>
        <v>0</v>
      </c>
      <c r="BJ59" s="487" cm="1">
        <f t="array" aca="1" ref="BJ59" ca="1">IF(TblConstr[[#This Row],[Hour]:[Hour]]&gt;12,OFFSET(TblConstr[[#This Row],[Bar]],-12,0),0)+OFFSET(TblConstr[[#This Row],[Tot Bar]],-1,0)-TblConstr[[#This Row],[Dest Bar]]</f>
        <v>0</v>
      </c>
      <c r="BK59" s="487" cm="1">
        <f t="array" aca="1" ref="BK59" ca="1">IF(TblConstr[[#This Row],[Hour]:[Hour]]&gt;12,OFFSET(TblConstr[[#This Row],[Shr]],-12,0),0)+OFFSET(TblConstr[[#This Row],[Tot Shr]],-1,0)-TblConstr[[#This Row],[Dest Shr]]</f>
        <v>0</v>
      </c>
      <c r="BL59" s="491" cm="1">
        <f t="array" aca="1" ref="BL59" ca="1">IF(TblConstr[[#This Row],[Hour]:[Hour]]&gt;12,OFFSET(TblConstr[[#This Row],[Tow]],-12,0),0)+OFFSET(TblConstr[[#This Row],[Tot Tow]],-1,0)-TblConstr[[#This Row],[Dest Tow]]</f>
        <v>0</v>
      </c>
      <c r="BM59" s="491" cm="1">
        <f t="array" aca="1" ref="BM59" ca="1">IF(TblConstr[[#This Row],[Hour]:[Hour]]&gt;12,OFFSET(TblConstr[[#This Row],[Tem]],-12,0),0)+OFFSET(TblConstr[[#This Row],[Tot Tem]],-1,0)-TblConstr[[#This Row],[Dest Tem]]</f>
        <v>0</v>
      </c>
      <c r="BN59" s="491"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44345.291666666533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1">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99</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11</v>
      </c>
      <c r="DI59" s="49">
        <f t="shared" ca="1" si="0"/>
        <v>0</v>
      </c>
      <c r="DJ59" s="49">
        <f t="shared" ca="1" si="1"/>
        <v>0</v>
      </c>
    </row>
    <row r="60" spans="1:114" x14ac:dyDescent="0.2">
      <c r="A60" s="228">
        <f>TblRezone[[#This Row],[Hour]]</f>
        <v>57</v>
      </c>
      <c r="B60" s="229">
        <f ca="1">SUM(TblConstr[[#This Row],[Plain]:[Water]])</f>
        <v>159</v>
      </c>
      <c r="C60" s="230">
        <f ca="1">SUM(TblConstr[[#This Row],[Tot Hom]:[Tot Doc]])</f>
        <v>91</v>
      </c>
      <c r="D60" s="230">
        <f t="shared" si="11"/>
        <v>0</v>
      </c>
      <c r="E60" s="231"/>
      <c r="F60" s="74">
        <f ca="1">TblConstr[[#This Row],[Barren]]+TblConstr[[#This Row],[Buildings]]+TblConstr[[#This Row],[Incoming]]</f>
        <v>250</v>
      </c>
      <c r="G60" s="242">
        <f ca="1">OFFSET(TblConstr[[#This Row],[Plain]],-1,0)+TblConstr[[#This Row],[Ch_Plain]]</f>
        <v>39</v>
      </c>
      <c r="H60" s="236">
        <f ca="1">OFFSET(TblConstr[[#This Row],[Forest]],-1,0)+TblConstr[[#This Row],[Ch_Forest]]</f>
        <v>20</v>
      </c>
      <c r="I60" s="481">
        <f ca="1">OFFSET(TblConstr[[#This Row],[Mountain]],-1,0)+TblConstr[[#This Row],[Ch_Mountain]]</f>
        <v>20</v>
      </c>
      <c r="J60" s="485">
        <f ca="1">OFFSET(TblConstr[[#This Row],[Hill]],-1,0)+TblConstr[[#This Row],[Ch_Hill]]</f>
        <v>20</v>
      </c>
      <c r="K60" s="489">
        <f ca="1">OFFSET(TblConstr[[#This Row],[Swamp]],-1,0)+TblConstr[[#This Row],[Ch_Swamp]]</f>
        <v>20</v>
      </c>
      <c r="L60" s="239">
        <f ca="1">OFFSET(TblConstr[[#This Row],[Cavern]],-1,0)+TblConstr[[#This Row],[Ch_Cavern]]</f>
        <v>20</v>
      </c>
      <c r="M60" s="240">
        <f ca="1">OFFSET(TblConstr[[#This Row],[Water]],-1,0)+TblConstr[[#This Row],[Ch_Water]]</f>
        <v>20</v>
      </c>
      <c r="N60" s="479">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44345.333333333198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407777</v>
      </c>
      <c r="AL60" s="113">
        <f ca="1">TblProd[[#This Row],[Lumber]]</f>
        <v>51536</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11</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3" cm="1">
        <f t="array" aca="1" ref="BF60" ca="1">IF(TblConstr[[#This Row],[Hour]:[Hour]]&gt;12,OFFSET(TblConstr[[#This Row],[OM]],-12,0),0)+OFFSET(TblConstr[[#This Row],[Tot OM]],-1,0)-TblConstr[[#This Row],[Dest OM]]</f>
        <v>0</v>
      </c>
      <c r="BG60" s="483" cm="1">
        <f t="array" aca="1" ref="BG60" ca="1">IF(TblConstr[[#This Row],[Hour]:[Hour]]&gt;12,OFFSET(TblConstr[[#This Row],[GN]],-12,0),0)+OFFSET(TblConstr[[#This Row],[Tot GN]],-1,0)-TblConstr[[#This Row],[Dest GN]]</f>
        <v>0</v>
      </c>
      <c r="BH60" s="487" cm="1">
        <f t="array" aca="1" ref="BH60" ca="1">IF(TblConstr[[#This Row],[Hour]:[Hour]]&gt;12,OFFSET(TblConstr[[#This Row],[Fac]],-12,0),0)+OFFSET(TblConstr[[#This Row],[Tot Fac]],-1,0)-TblConstr[[#This Row],[Dest Fac]]</f>
        <v>0</v>
      </c>
      <c r="BI60" s="487" cm="1">
        <f t="array" aca="1" ref="BI60" ca="1">IF(TblConstr[[#This Row],[Hour]:[Hour]]&gt;12,OFFSET(TblConstr[[#This Row],[GT]],-12,0),0)+OFFSET(TblConstr[[#This Row],[Tot GT]],-1,0)-TblConstr[[#This Row],[Dest GT]]</f>
        <v>0</v>
      </c>
      <c r="BJ60" s="487" cm="1">
        <f t="array" aca="1" ref="BJ60" ca="1">IF(TblConstr[[#This Row],[Hour]:[Hour]]&gt;12,OFFSET(TblConstr[[#This Row],[Bar]],-12,0),0)+OFFSET(TblConstr[[#This Row],[Tot Bar]],-1,0)-TblConstr[[#This Row],[Dest Bar]]</f>
        <v>0</v>
      </c>
      <c r="BK60" s="487" cm="1">
        <f t="array" aca="1" ref="BK60" ca="1">IF(TblConstr[[#This Row],[Hour]:[Hour]]&gt;12,OFFSET(TblConstr[[#This Row],[Shr]],-12,0),0)+OFFSET(TblConstr[[#This Row],[Tot Shr]],-1,0)-TblConstr[[#This Row],[Dest Shr]]</f>
        <v>0</v>
      </c>
      <c r="BL60" s="491" cm="1">
        <f t="array" aca="1" ref="BL60" ca="1">IF(TblConstr[[#This Row],[Hour]:[Hour]]&gt;12,OFFSET(TblConstr[[#This Row],[Tow]],-12,0),0)+OFFSET(TblConstr[[#This Row],[Tot Tow]],-1,0)-TblConstr[[#This Row],[Dest Tow]]</f>
        <v>0</v>
      </c>
      <c r="BM60" s="491" cm="1">
        <f t="array" aca="1" ref="BM60" ca="1">IF(TblConstr[[#This Row],[Hour]:[Hour]]&gt;12,OFFSET(TblConstr[[#This Row],[Tem]],-12,0),0)+OFFSET(TblConstr[[#This Row],[Tot Tem]],-1,0)-TblConstr[[#This Row],[Dest Tem]]</f>
        <v>0</v>
      </c>
      <c r="BN60" s="491"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44345.333333333198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1">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99</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11</v>
      </c>
      <c r="DI60" s="49">
        <f t="shared" ca="1" si="0"/>
        <v>0</v>
      </c>
      <c r="DJ60" s="49">
        <f t="shared" ca="1" si="1"/>
        <v>0</v>
      </c>
    </row>
    <row r="61" spans="1:114" x14ac:dyDescent="0.2">
      <c r="A61" s="228">
        <f>TblRezone[[#This Row],[Hour]]</f>
        <v>58</v>
      </c>
      <c r="B61" s="229">
        <f ca="1">SUM(TblConstr[[#This Row],[Plain]:[Water]])</f>
        <v>159</v>
      </c>
      <c r="C61" s="230">
        <f ca="1">SUM(TblConstr[[#This Row],[Tot Hom]:[Tot Doc]])</f>
        <v>91</v>
      </c>
      <c r="D61" s="230">
        <f t="shared" si="11"/>
        <v>0</v>
      </c>
      <c r="E61" s="231"/>
      <c r="F61" s="74">
        <f ca="1">TblConstr[[#This Row],[Barren]]+TblConstr[[#This Row],[Buildings]]+TblConstr[[#This Row],[Incoming]]</f>
        <v>250</v>
      </c>
      <c r="G61" s="242">
        <f ca="1">OFFSET(TblConstr[[#This Row],[Plain]],-1,0)+TblConstr[[#This Row],[Ch_Plain]]</f>
        <v>39</v>
      </c>
      <c r="H61" s="236">
        <f ca="1">OFFSET(TblConstr[[#This Row],[Forest]],-1,0)+TblConstr[[#This Row],[Ch_Forest]]</f>
        <v>20</v>
      </c>
      <c r="I61" s="481">
        <f ca="1">OFFSET(TblConstr[[#This Row],[Mountain]],-1,0)+TblConstr[[#This Row],[Ch_Mountain]]</f>
        <v>20</v>
      </c>
      <c r="J61" s="485">
        <f ca="1">OFFSET(TblConstr[[#This Row],[Hill]],-1,0)+TblConstr[[#This Row],[Ch_Hill]]</f>
        <v>20</v>
      </c>
      <c r="K61" s="489">
        <f ca="1">OFFSET(TblConstr[[#This Row],[Swamp]],-1,0)+TblConstr[[#This Row],[Ch_Swamp]]</f>
        <v>20</v>
      </c>
      <c r="L61" s="239">
        <f ca="1">OFFSET(TblConstr[[#This Row],[Cavern]],-1,0)+TblConstr[[#This Row],[Ch_Cavern]]</f>
        <v>20</v>
      </c>
      <c r="M61" s="240">
        <f ca="1">OFFSET(TblConstr[[#This Row],[Water]],-1,0)+TblConstr[[#This Row],[Ch_Water]]</f>
        <v>20</v>
      </c>
      <c r="N61" s="479">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44345.374999999862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413276</v>
      </c>
      <c r="AL61" s="113">
        <f ca="1">TblProd[[#This Row],[Lumber]]</f>
        <v>52021</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11</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3" cm="1">
        <f t="array" aca="1" ref="BF61" ca="1">IF(TblConstr[[#This Row],[Hour]:[Hour]]&gt;12,OFFSET(TblConstr[[#This Row],[OM]],-12,0),0)+OFFSET(TblConstr[[#This Row],[Tot OM]],-1,0)-TblConstr[[#This Row],[Dest OM]]</f>
        <v>0</v>
      </c>
      <c r="BG61" s="483" cm="1">
        <f t="array" aca="1" ref="BG61" ca="1">IF(TblConstr[[#This Row],[Hour]:[Hour]]&gt;12,OFFSET(TblConstr[[#This Row],[GN]],-12,0),0)+OFFSET(TblConstr[[#This Row],[Tot GN]],-1,0)-TblConstr[[#This Row],[Dest GN]]</f>
        <v>0</v>
      </c>
      <c r="BH61" s="487" cm="1">
        <f t="array" aca="1" ref="BH61" ca="1">IF(TblConstr[[#This Row],[Hour]:[Hour]]&gt;12,OFFSET(TblConstr[[#This Row],[Fac]],-12,0),0)+OFFSET(TblConstr[[#This Row],[Tot Fac]],-1,0)-TblConstr[[#This Row],[Dest Fac]]</f>
        <v>0</v>
      </c>
      <c r="BI61" s="487" cm="1">
        <f t="array" aca="1" ref="BI61" ca="1">IF(TblConstr[[#This Row],[Hour]:[Hour]]&gt;12,OFFSET(TblConstr[[#This Row],[GT]],-12,0),0)+OFFSET(TblConstr[[#This Row],[Tot GT]],-1,0)-TblConstr[[#This Row],[Dest GT]]</f>
        <v>0</v>
      </c>
      <c r="BJ61" s="487" cm="1">
        <f t="array" aca="1" ref="BJ61" ca="1">IF(TblConstr[[#This Row],[Hour]:[Hour]]&gt;12,OFFSET(TblConstr[[#This Row],[Bar]],-12,0),0)+OFFSET(TblConstr[[#This Row],[Tot Bar]],-1,0)-TblConstr[[#This Row],[Dest Bar]]</f>
        <v>0</v>
      </c>
      <c r="BK61" s="487" cm="1">
        <f t="array" aca="1" ref="BK61" ca="1">IF(TblConstr[[#This Row],[Hour]:[Hour]]&gt;12,OFFSET(TblConstr[[#This Row],[Shr]],-12,0),0)+OFFSET(TblConstr[[#This Row],[Tot Shr]],-1,0)-TblConstr[[#This Row],[Dest Shr]]</f>
        <v>0</v>
      </c>
      <c r="BL61" s="491" cm="1">
        <f t="array" aca="1" ref="BL61" ca="1">IF(TblConstr[[#This Row],[Hour]:[Hour]]&gt;12,OFFSET(TblConstr[[#This Row],[Tow]],-12,0),0)+OFFSET(TblConstr[[#This Row],[Tot Tow]],-1,0)-TblConstr[[#This Row],[Dest Tow]]</f>
        <v>0</v>
      </c>
      <c r="BM61" s="491" cm="1">
        <f t="array" aca="1" ref="BM61" ca="1">IF(TblConstr[[#This Row],[Hour]:[Hour]]&gt;12,OFFSET(TblConstr[[#This Row],[Tem]],-12,0),0)+OFFSET(TblConstr[[#This Row],[Tot Tem]],-1,0)-TblConstr[[#This Row],[Dest Tem]]</f>
        <v>0</v>
      </c>
      <c r="BN61" s="491"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44345.374999999862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1">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99</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11</v>
      </c>
      <c r="DI61" s="49">
        <f t="shared" ca="1" si="0"/>
        <v>0</v>
      </c>
      <c r="DJ61" s="49">
        <f t="shared" ca="1" si="1"/>
        <v>0</v>
      </c>
    </row>
    <row r="62" spans="1:114" x14ac:dyDescent="0.2">
      <c r="A62" s="228">
        <f>TblRezone[[#This Row],[Hour]]</f>
        <v>59</v>
      </c>
      <c r="B62" s="229">
        <f ca="1">SUM(TblConstr[[#This Row],[Plain]:[Water]])</f>
        <v>159</v>
      </c>
      <c r="C62" s="230">
        <f ca="1">SUM(TblConstr[[#This Row],[Tot Hom]:[Tot Doc]])</f>
        <v>91</v>
      </c>
      <c r="D62" s="230">
        <f t="shared" si="11"/>
        <v>0</v>
      </c>
      <c r="E62" s="231"/>
      <c r="F62" s="74">
        <f ca="1">TblConstr[[#This Row],[Barren]]+TblConstr[[#This Row],[Buildings]]+TblConstr[[#This Row],[Incoming]]</f>
        <v>250</v>
      </c>
      <c r="G62" s="242">
        <f ca="1">OFFSET(TblConstr[[#This Row],[Plain]],-1,0)+TblConstr[[#This Row],[Ch_Plain]]</f>
        <v>39</v>
      </c>
      <c r="H62" s="236">
        <f ca="1">OFFSET(TblConstr[[#This Row],[Forest]],-1,0)+TblConstr[[#This Row],[Ch_Forest]]</f>
        <v>20</v>
      </c>
      <c r="I62" s="481">
        <f ca="1">OFFSET(TblConstr[[#This Row],[Mountain]],-1,0)+TblConstr[[#This Row],[Ch_Mountain]]</f>
        <v>20</v>
      </c>
      <c r="J62" s="485">
        <f ca="1">OFFSET(TblConstr[[#This Row],[Hill]],-1,0)+TblConstr[[#This Row],[Ch_Hill]]</f>
        <v>20</v>
      </c>
      <c r="K62" s="489">
        <f ca="1">OFFSET(TblConstr[[#This Row],[Swamp]],-1,0)+TblConstr[[#This Row],[Ch_Swamp]]</f>
        <v>20</v>
      </c>
      <c r="L62" s="239">
        <f ca="1">OFFSET(TblConstr[[#This Row],[Cavern]],-1,0)+TblConstr[[#This Row],[Ch_Cavern]]</f>
        <v>20</v>
      </c>
      <c r="M62" s="240">
        <f ca="1">OFFSET(TblConstr[[#This Row],[Water]],-1,0)+TblConstr[[#This Row],[Ch_Water]]</f>
        <v>20</v>
      </c>
      <c r="N62" s="479">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44345.416666666526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418775</v>
      </c>
      <c r="AL62" s="113">
        <f ca="1">TblProd[[#This Row],[Lumber]]</f>
        <v>52501</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11</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3" cm="1">
        <f t="array" aca="1" ref="BF62" ca="1">IF(TblConstr[[#This Row],[Hour]:[Hour]]&gt;12,OFFSET(TblConstr[[#This Row],[OM]],-12,0),0)+OFFSET(TblConstr[[#This Row],[Tot OM]],-1,0)-TblConstr[[#This Row],[Dest OM]]</f>
        <v>0</v>
      </c>
      <c r="BG62" s="483" cm="1">
        <f t="array" aca="1" ref="BG62" ca="1">IF(TblConstr[[#This Row],[Hour]:[Hour]]&gt;12,OFFSET(TblConstr[[#This Row],[GN]],-12,0),0)+OFFSET(TblConstr[[#This Row],[Tot GN]],-1,0)-TblConstr[[#This Row],[Dest GN]]</f>
        <v>0</v>
      </c>
      <c r="BH62" s="487" cm="1">
        <f t="array" aca="1" ref="BH62" ca="1">IF(TblConstr[[#This Row],[Hour]:[Hour]]&gt;12,OFFSET(TblConstr[[#This Row],[Fac]],-12,0),0)+OFFSET(TblConstr[[#This Row],[Tot Fac]],-1,0)-TblConstr[[#This Row],[Dest Fac]]</f>
        <v>0</v>
      </c>
      <c r="BI62" s="487" cm="1">
        <f t="array" aca="1" ref="BI62" ca="1">IF(TblConstr[[#This Row],[Hour]:[Hour]]&gt;12,OFFSET(TblConstr[[#This Row],[GT]],-12,0),0)+OFFSET(TblConstr[[#This Row],[Tot GT]],-1,0)-TblConstr[[#This Row],[Dest GT]]</f>
        <v>0</v>
      </c>
      <c r="BJ62" s="487" cm="1">
        <f t="array" aca="1" ref="BJ62" ca="1">IF(TblConstr[[#This Row],[Hour]:[Hour]]&gt;12,OFFSET(TblConstr[[#This Row],[Bar]],-12,0),0)+OFFSET(TblConstr[[#This Row],[Tot Bar]],-1,0)-TblConstr[[#This Row],[Dest Bar]]</f>
        <v>0</v>
      </c>
      <c r="BK62" s="487" cm="1">
        <f t="array" aca="1" ref="BK62" ca="1">IF(TblConstr[[#This Row],[Hour]:[Hour]]&gt;12,OFFSET(TblConstr[[#This Row],[Shr]],-12,0),0)+OFFSET(TblConstr[[#This Row],[Tot Shr]],-1,0)-TblConstr[[#This Row],[Dest Shr]]</f>
        <v>0</v>
      </c>
      <c r="BL62" s="491" cm="1">
        <f t="array" aca="1" ref="BL62" ca="1">IF(TblConstr[[#This Row],[Hour]:[Hour]]&gt;12,OFFSET(TblConstr[[#This Row],[Tow]],-12,0),0)+OFFSET(TblConstr[[#This Row],[Tot Tow]],-1,0)-TblConstr[[#This Row],[Dest Tow]]</f>
        <v>0</v>
      </c>
      <c r="BM62" s="491" cm="1">
        <f t="array" aca="1" ref="BM62" ca="1">IF(TblConstr[[#This Row],[Hour]:[Hour]]&gt;12,OFFSET(TblConstr[[#This Row],[Tem]],-12,0),0)+OFFSET(TblConstr[[#This Row],[Tot Tem]],-1,0)-TblConstr[[#This Row],[Dest Tem]]</f>
        <v>0</v>
      </c>
      <c r="BN62" s="491"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44345.416666666526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1">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99</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11</v>
      </c>
      <c r="DI62" s="49">
        <f t="shared" ca="1" si="0"/>
        <v>0</v>
      </c>
      <c r="DJ62" s="49">
        <f t="shared" ca="1" si="1"/>
        <v>0</v>
      </c>
    </row>
    <row r="63" spans="1:114" x14ac:dyDescent="0.2">
      <c r="A63" s="228">
        <f>TblRezone[[#This Row],[Hour]]</f>
        <v>60</v>
      </c>
      <c r="B63" s="229">
        <f ca="1">SUM(TblConstr[[#This Row],[Plain]:[Water]])</f>
        <v>159</v>
      </c>
      <c r="C63" s="230">
        <f ca="1">SUM(TblConstr[[#This Row],[Tot Hom]:[Tot Doc]])</f>
        <v>91</v>
      </c>
      <c r="D63" s="230">
        <f t="shared" si="11"/>
        <v>0</v>
      </c>
      <c r="E63" s="231"/>
      <c r="F63" s="74">
        <f ca="1">TblConstr[[#This Row],[Barren]]+TblConstr[[#This Row],[Buildings]]+TblConstr[[#This Row],[Incoming]]</f>
        <v>250</v>
      </c>
      <c r="G63" s="242">
        <f ca="1">OFFSET(TblConstr[[#This Row],[Plain]],-1,0)+TblConstr[[#This Row],[Ch_Plain]]</f>
        <v>39</v>
      </c>
      <c r="H63" s="236">
        <f ca="1">OFFSET(TblConstr[[#This Row],[Forest]],-1,0)+TblConstr[[#This Row],[Ch_Forest]]</f>
        <v>20</v>
      </c>
      <c r="I63" s="481">
        <f ca="1">OFFSET(TblConstr[[#This Row],[Mountain]],-1,0)+TblConstr[[#This Row],[Ch_Mountain]]</f>
        <v>20</v>
      </c>
      <c r="J63" s="485">
        <f ca="1">OFFSET(TblConstr[[#This Row],[Hill]],-1,0)+TblConstr[[#This Row],[Ch_Hill]]</f>
        <v>20</v>
      </c>
      <c r="K63" s="489">
        <f ca="1">OFFSET(TblConstr[[#This Row],[Swamp]],-1,0)+TblConstr[[#This Row],[Ch_Swamp]]</f>
        <v>20</v>
      </c>
      <c r="L63" s="239">
        <f ca="1">OFFSET(TblConstr[[#This Row],[Cavern]],-1,0)+TblConstr[[#This Row],[Ch_Cavern]]</f>
        <v>20</v>
      </c>
      <c r="M63" s="240">
        <f ca="1">OFFSET(TblConstr[[#This Row],[Water]],-1,0)+TblConstr[[#This Row],[Ch_Water]]</f>
        <v>20</v>
      </c>
      <c r="N63" s="479">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44345.45833333319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424274</v>
      </c>
      <c r="AL63" s="113">
        <f ca="1">TblProd[[#This Row],[Lumber]]</f>
        <v>52976</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11</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3" cm="1">
        <f t="array" aca="1" ref="BF63" ca="1">IF(TblConstr[[#This Row],[Hour]:[Hour]]&gt;12,OFFSET(TblConstr[[#This Row],[OM]],-12,0),0)+OFFSET(TblConstr[[#This Row],[Tot OM]],-1,0)-TblConstr[[#This Row],[Dest OM]]</f>
        <v>0</v>
      </c>
      <c r="BG63" s="483" cm="1">
        <f t="array" aca="1" ref="BG63" ca="1">IF(TblConstr[[#This Row],[Hour]:[Hour]]&gt;12,OFFSET(TblConstr[[#This Row],[GN]],-12,0),0)+OFFSET(TblConstr[[#This Row],[Tot GN]],-1,0)-TblConstr[[#This Row],[Dest GN]]</f>
        <v>0</v>
      </c>
      <c r="BH63" s="487" cm="1">
        <f t="array" aca="1" ref="BH63" ca="1">IF(TblConstr[[#This Row],[Hour]:[Hour]]&gt;12,OFFSET(TblConstr[[#This Row],[Fac]],-12,0),0)+OFFSET(TblConstr[[#This Row],[Tot Fac]],-1,0)-TblConstr[[#This Row],[Dest Fac]]</f>
        <v>0</v>
      </c>
      <c r="BI63" s="487" cm="1">
        <f t="array" aca="1" ref="BI63" ca="1">IF(TblConstr[[#This Row],[Hour]:[Hour]]&gt;12,OFFSET(TblConstr[[#This Row],[GT]],-12,0),0)+OFFSET(TblConstr[[#This Row],[Tot GT]],-1,0)-TblConstr[[#This Row],[Dest GT]]</f>
        <v>0</v>
      </c>
      <c r="BJ63" s="487" cm="1">
        <f t="array" aca="1" ref="BJ63" ca="1">IF(TblConstr[[#This Row],[Hour]:[Hour]]&gt;12,OFFSET(TblConstr[[#This Row],[Bar]],-12,0),0)+OFFSET(TblConstr[[#This Row],[Tot Bar]],-1,0)-TblConstr[[#This Row],[Dest Bar]]</f>
        <v>0</v>
      </c>
      <c r="BK63" s="487" cm="1">
        <f t="array" aca="1" ref="BK63" ca="1">IF(TblConstr[[#This Row],[Hour]:[Hour]]&gt;12,OFFSET(TblConstr[[#This Row],[Shr]],-12,0),0)+OFFSET(TblConstr[[#This Row],[Tot Shr]],-1,0)-TblConstr[[#This Row],[Dest Shr]]</f>
        <v>0</v>
      </c>
      <c r="BL63" s="491" cm="1">
        <f t="array" aca="1" ref="BL63" ca="1">IF(TblConstr[[#This Row],[Hour]:[Hour]]&gt;12,OFFSET(TblConstr[[#This Row],[Tow]],-12,0),0)+OFFSET(TblConstr[[#This Row],[Tot Tow]],-1,0)-TblConstr[[#This Row],[Dest Tow]]</f>
        <v>0</v>
      </c>
      <c r="BM63" s="491" cm="1">
        <f t="array" aca="1" ref="BM63" ca="1">IF(TblConstr[[#This Row],[Hour]:[Hour]]&gt;12,OFFSET(TblConstr[[#This Row],[Tem]],-12,0),0)+OFFSET(TblConstr[[#This Row],[Tot Tem]],-1,0)-TblConstr[[#This Row],[Dest Tem]]</f>
        <v>0</v>
      </c>
      <c r="BN63" s="491"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44345.45833333319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1">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99</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11</v>
      </c>
      <c r="DI63" s="49">
        <f t="shared" ca="1" si="0"/>
        <v>0</v>
      </c>
      <c r="DJ63" s="49">
        <f t="shared" ca="1" si="1"/>
        <v>0</v>
      </c>
    </row>
    <row r="64" spans="1:114" x14ac:dyDescent="0.2">
      <c r="A64" s="228">
        <f>TblRezone[[#This Row],[Hour]]</f>
        <v>61</v>
      </c>
      <c r="B64" s="229">
        <f ca="1">SUM(TblConstr[[#This Row],[Plain]:[Water]])</f>
        <v>159</v>
      </c>
      <c r="C64" s="230">
        <f ca="1">SUM(TblConstr[[#This Row],[Tot Hom]:[Tot Doc]])</f>
        <v>91</v>
      </c>
      <c r="D64" s="230">
        <f t="shared" si="11"/>
        <v>0</v>
      </c>
      <c r="E64" s="231"/>
      <c r="F64" s="74">
        <f ca="1">TblConstr[[#This Row],[Barren]]+TblConstr[[#This Row],[Buildings]]+TblConstr[[#This Row],[Incoming]]</f>
        <v>250</v>
      </c>
      <c r="G64" s="242">
        <f ca="1">OFFSET(TblConstr[[#This Row],[Plain]],-1,0)+TblConstr[[#This Row],[Ch_Plain]]</f>
        <v>39</v>
      </c>
      <c r="H64" s="236">
        <f ca="1">OFFSET(TblConstr[[#This Row],[Forest]],-1,0)+TblConstr[[#This Row],[Ch_Forest]]</f>
        <v>20</v>
      </c>
      <c r="I64" s="481">
        <f ca="1">OFFSET(TblConstr[[#This Row],[Mountain]],-1,0)+TblConstr[[#This Row],[Ch_Mountain]]</f>
        <v>20</v>
      </c>
      <c r="J64" s="485">
        <f ca="1">OFFSET(TblConstr[[#This Row],[Hill]],-1,0)+TblConstr[[#This Row],[Ch_Hill]]</f>
        <v>20</v>
      </c>
      <c r="K64" s="489">
        <f ca="1">OFFSET(TblConstr[[#This Row],[Swamp]],-1,0)+TblConstr[[#This Row],[Ch_Swamp]]</f>
        <v>20</v>
      </c>
      <c r="L64" s="239">
        <f ca="1">OFFSET(TblConstr[[#This Row],[Cavern]],-1,0)+TblConstr[[#This Row],[Ch_Cavern]]</f>
        <v>20</v>
      </c>
      <c r="M64" s="240">
        <f ca="1">OFFSET(TblConstr[[#This Row],[Water]],-1,0)+TblConstr[[#This Row],[Ch_Water]]</f>
        <v>20</v>
      </c>
      <c r="N64" s="479">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44345.499999999854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429773</v>
      </c>
      <c r="AL64" s="113">
        <f ca="1">TblProd[[#This Row],[Lumber]]</f>
        <v>53446</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11</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3" cm="1">
        <f t="array" aca="1" ref="BF64" ca="1">IF(TblConstr[[#This Row],[Hour]:[Hour]]&gt;12,OFFSET(TblConstr[[#This Row],[OM]],-12,0),0)+OFFSET(TblConstr[[#This Row],[Tot OM]],-1,0)-TblConstr[[#This Row],[Dest OM]]</f>
        <v>0</v>
      </c>
      <c r="BG64" s="483" cm="1">
        <f t="array" aca="1" ref="BG64" ca="1">IF(TblConstr[[#This Row],[Hour]:[Hour]]&gt;12,OFFSET(TblConstr[[#This Row],[GN]],-12,0),0)+OFFSET(TblConstr[[#This Row],[Tot GN]],-1,0)-TblConstr[[#This Row],[Dest GN]]</f>
        <v>0</v>
      </c>
      <c r="BH64" s="487" cm="1">
        <f t="array" aca="1" ref="BH64" ca="1">IF(TblConstr[[#This Row],[Hour]:[Hour]]&gt;12,OFFSET(TblConstr[[#This Row],[Fac]],-12,0),0)+OFFSET(TblConstr[[#This Row],[Tot Fac]],-1,0)-TblConstr[[#This Row],[Dest Fac]]</f>
        <v>0</v>
      </c>
      <c r="BI64" s="487" cm="1">
        <f t="array" aca="1" ref="BI64" ca="1">IF(TblConstr[[#This Row],[Hour]:[Hour]]&gt;12,OFFSET(TblConstr[[#This Row],[GT]],-12,0),0)+OFFSET(TblConstr[[#This Row],[Tot GT]],-1,0)-TblConstr[[#This Row],[Dest GT]]</f>
        <v>0</v>
      </c>
      <c r="BJ64" s="487" cm="1">
        <f t="array" aca="1" ref="BJ64" ca="1">IF(TblConstr[[#This Row],[Hour]:[Hour]]&gt;12,OFFSET(TblConstr[[#This Row],[Bar]],-12,0),0)+OFFSET(TblConstr[[#This Row],[Tot Bar]],-1,0)-TblConstr[[#This Row],[Dest Bar]]</f>
        <v>0</v>
      </c>
      <c r="BK64" s="487" cm="1">
        <f t="array" aca="1" ref="BK64" ca="1">IF(TblConstr[[#This Row],[Hour]:[Hour]]&gt;12,OFFSET(TblConstr[[#This Row],[Shr]],-12,0),0)+OFFSET(TblConstr[[#This Row],[Tot Shr]],-1,0)-TblConstr[[#This Row],[Dest Shr]]</f>
        <v>0</v>
      </c>
      <c r="BL64" s="491" cm="1">
        <f t="array" aca="1" ref="BL64" ca="1">IF(TblConstr[[#This Row],[Hour]:[Hour]]&gt;12,OFFSET(TblConstr[[#This Row],[Tow]],-12,0),0)+OFFSET(TblConstr[[#This Row],[Tot Tow]],-1,0)-TblConstr[[#This Row],[Dest Tow]]</f>
        <v>0</v>
      </c>
      <c r="BM64" s="491" cm="1">
        <f t="array" aca="1" ref="BM64" ca="1">IF(TblConstr[[#This Row],[Hour]:[Hour]]&gt;12,OFFSET(TblConstr[[#This Row],[Tem]],-12,0),0)+OFFSET(TblConstr[[#This Row],[Tot Tem]],-1,0)-TblConstr[[#This Row],[Dest Tem]]</f>
        <v>0</v>
      </c>
      <c r="BN64" s="491"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44345.499999999854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1">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99</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11</v>
      </c>
      <c r="DI64" s="49">
        <f t="shared" ca="1" si="0"/>
        <v>0</v>
      </c>
      <c r="DJ64" s="49">
        <f t="shared" ca="1" si="1"/>
        <v>0</v>
      </c>
    </row>
    <row r="65" spans="1:114" x14ac:dyDescent="0.2">
      <c r="A65" s="228">
        <f>TblRezone[[#This Row],[Hour]]</f>
        <v>62</v>
      </c>
      <c r="B65" s="229">
        <f ca="1">SUM(TblConstr[[#This Row],[Plain]:[Water]])</f>
        <v>159</v>
      </c>
      <c r="C65" s="230">
        <f ca="1">SUM(TblConstr[[#This Row],[Tot Hom]:[Tot Doc]])</f>
        <v>91</v>
      </c>
      <c r="D65" s="230">
        <f t="shared" si="11"/>
        <v>0</v>
      </c>
      <c r="E65" s="231"/>
      <c r="F65" s="74">
        <f ca="1">TblConstr[[#This Row],[Barren]]+TblConstr[[#This Row],[Buildings]]+TblConstr[[#This Row],[Incoming]]</f>
        <v>250</v>
      </c>
      <c r="G65" s="242">
        <f ca="1">OFFSET(TblConstr[[#This Row],[Plain]],-1,0)+TblConstr[[#This Row],[Ch_Plain]]</f>
        <v>39</v>
      </c>
      <c r="H65" s="236">
        <f ca="1">OFFSET(TblConstr[[#This Row],[Forest]],-1,0)+TblConstr[[#This Row],[Ch_Forest]]</f>
        <v>20</v>
      </c>
      <c r="I65" s="481">
        <f ca="1">OFFSET(TblConstr[[#This Row],[Mountain]],-1,0)+TblConstr[[#This Row],[Ch_Mountain]]</f>
        <v>20</v>
      </c>
      <c r="J65" s="485">
        <f ca="1">OFFSET(TblConstr[[#This Row],[Hill]],-1,0)+TblConstr[[#This Row],[Ch_Hill]]</f>
        <v>20</v>
      </c>
      <c r="K65" s="489">
        <f ca="1">OFFSET(TblConstr[[#This Row],[Swamp]],-1,0)+TblConstr[[#This Row],[Ch_Swamp]]</f>
        <v>20</v>
      </c>
      <c r="L65" s="239">
        <f ca="1">OFFSET(TblConstr[[#This Row],[Cavern]],-1,0)+TblConstr[[#This Row],[Ch_Cavern]]</f>
        <v>20</v>
      </c>
      <c r="M65" s="240">
        <f ca="1">OFFSET(TblConstr[[#This Row],[Water]],-1,0)+TblConstr[[#This Row],[Ch_Water]]</f>
        <v>20</v>
      </c>
      <c r="N65" s="479">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44345.541666666519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435272</v>
      </c>
      <c r="AL65" s="113">
        <f ca="1">TblProd[[#This Row],[Lumber]]</f>
        <v>53912</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11</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3" cm="1">
        <f t="array" aca="1" ref="BF65" ca="1">IF(TblConstr[[#This Row],[Hour]:[Hour]]&gt;12,OFFSET(TblConstr[[#This Row],[OM]],-12,0),0)+OFFSET(TblConstr[[#This Row],[Tot OM]],-1,0)-TblConstr[[#This Row],[Dest OM]]</f>
        <v>0</v>
      </c>
      <c r="BG65" s="483" cm="1">
        <f t="array" aca="1" ref="BG65" ca="1">IF(TblConstr[[#This Row],[Hour]:[Hour]]&gt;12,OFFSET(TblConstr[[#This Row],[GN]],-12,0),0)+OFFSET(TblConstr[[#This Row],[Tot GN]],-1,0)-TblConstr[[#This Row],[Dest GN]]</f>
        <v>0</v>
      </c>
      <c r="BH65" s="487" cm="1">
        <f t="array" aca="1" ref="BH65" ca="1">IF(TblConstr[[#This Row],[Hour]:[Hour]]&gt;12,OFFSET(TblConstr[[#This Row],[Fac]],-12,0),0)+OFFSET(TblConstr[[#This Row],[Tot Fac]],-1,0)-TblConstr[[#This Row],[Dest Fac]]</f>
        <v>0</v>
      </c>
      <c r="BI65" s="487" cm="1">
        <f t="array" aca="1" ref="BI65" ca="1">IF(TblConstr[[#This Row],[Hour]:[Hour]]&gt;12,OFFSET(TblConstr[[#This Row],[GT]],-12,0),0)+OFFSET(TblConstr[[#This Row],[Tot GT]],-1,0)-TblConstr[[#This Row],[Dest GT]]</f>
        <v>0</v>
      </c>
      <c r="BJ65" s="487" cm="1">
        <f t="array" aca="1" ref="BJ65" ca="1">IF(TblConstr[[#This Row],[Hour]:[Hour]]&gt;12,OFFSET(TblConstr[[#This Row],[Bar]],-12,0),0)+OFFSET(TblConstr[[#This Row],[Tot Bar]],-1,0)-TblConstr[[#This Row],[Dest Bar]]</f>
        <v>0</v>
      </c>
      <c r="BK65" s="487" cm="1">
        <f t="array" aca="1" ref="BK65" ca="1">IF(TblConstr[[#This Row],[Hour]:[Hour]]&gt;12,OFFSET(TblConstr[[#This Row],[Shr]],-12,0),0)+OFFSET(TblConstr[[#This Row],[Tot Shr]],-1,0)-TblConstr[[#This Row],[Dest Shr]]</f>
        <v>0</v>
      </c>
      <c r="BL65" s="491" cm="1">
        <f t="array" aca="1" ref="BL65" ca="1">IF(TblConstr[[#This Row],[Hour]:[Hour]]&gt;12,OFFSET(TblConstr[[#This Row],[Tow]],-12,0),0)+OFFSET(TblConstr[[#This Row],[Tot Tow]],-1,0)-TblConstr[[#This Row],[Dest Tow]]</f>
        <v>0</v>
      </c>
      <c r="BM65" s="491" cm="1">
        <f t="array" aca="1" ref="BM65" ca="1">IF(TblConstr[[#This Row],[Hour]:[Hour]]&gt;12,OFFSET(TblConstr[[#This Row],[Tem]],-12,0),0)+OFFSET(TblConstr[[#This Row],[Tot Tem]],-1,0)-TblConstr[[#This Row],[Dest Tem]]</f>
        <v>0</v>
      </c>
      <c r="BN65" s="491"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44345.541666666519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1">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99</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11</v>
      </c>
      <c r="DI65" s="49">
        <f t="shared" ca="1" si="0"/>
        <v>0</v>
      </c>
      <c r="DJ65" s="49">
        <f t="shared" ca="1" si="1"/>
        <v>0</v>
      </c>
    </row>
    <row r="66" spans="1:114" x14ac:dyDescent="0.2">
      <c r="A66" s="228">
        <f>TblRezone[[#This Row],[Hour]]</f>
        <v>63</v>
      </c>
      <c r="B66" s="229">
        <f ca="1">SUM(TblConstr[[#This Row],[Plain]:[Water]])</f>
        <v>159</v>
      </c>
      <c r="C66" s="230">
        <f ca="1">SUM(TblConstr[[#This Row],[Tot Hom]:[Tot Doc]])</f>
        <v>91</v>
      </c>
      <c r="D66" s="230">
        <f t="shared" si="11"/>
        <v>0</v>
      </c>
      <c r="E66" s="231"/>
      <c r="F66" s="74">
        <f ca="1">TblConstr[[#This Row],[Barren]]+TblConstr[[#This Row],[Buildings]]+TblConstr[[#This Row],[Incoming]]</f>
        <v>250</v>
      </c>
      <c r="G66" s="242">
        <f ca="1">OFFSET(TblConstr[[#This Row],[Plain]],-1,0)+TblConstr[[#This Row],[Ch_Plain]]</f>
        <v>39</v>
      </c>
      <c r="H66" s="236">
        <f ca="1">OFFSET(TblConstr[[#This Row],[Forest]],-1,0)+TblConstr[[#This Row],[Ch_Forest]]</f>
        <v>20</v>
      </c>
      <c r="I66" s="481">
        <f ca="1">OFFSET(TblConstr[[#This Row],[Mountain]],-1,0)+TblConstr[[#This Row],[Ch_Mountain]]</f>
        <v>20</v>
      </c>
      <c r="J66" s="485">
        <f ca="1">OFFSET(TblConstr[[#This Row],[Hill]],-1,0)+TblConstr[[#This Row],[Ch_Hill]]</f>
        <v>20</v>
      </c>
      <c r="K66" s="489">
        <f ca="1">OFFSET(TblConstr[[#This Row],[Swamp]],-1,0)+TblConstr[[#This Row],[Ch_Swamp]]</f>
        <v>20</v>
      </c>
      <c r="L66" s="239">
        <f ca="1">OFFSET(TblConstr[[#This Row],[Cavern]],-1,0)+TblConstr[[#This Row],[Ch_Cavern]]</f>
        <v>20</v>
      </c>
      <c r="M66" s="240">
        <f ca="1">OFFSET(TblConstr[[#This Row],[Water]],-1,0)+TblConstr[[#This Row],[Ch_Water]]</f>
        <v>20</v>
      </c>
      <c r="N66" s="479">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44345.583333333183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440771</v>
      </c>
      <c r="AL66" s="113">
        <f ca="1">TblProd[[#This Row],[Lumber]]</f>
        <v>54373</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11</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3" cm="1">
        <f t="array" aca="1" ref="BF66" ca="1">IF(TblConstr[[#This Row],[Hour]:[Hour]]&gt;12,OFFSET(TblConstr[[#This Row],[OM]],-12,0),0)+OFFSET(TblConstr[[#This Row],[Tot OM]],-1,0)-TblConstr[[#This Row],[Dest OM]]</f>
        <v>0</v>
      </c>
      <c r="BG66" s="483" cm="1">
        <f t="array" aca="1" ref="BG66" ca="1">IF(TblConstr[[#This Row],[Hour]:[Hour]]&gt;12,OFFSET(TblConstr[[#This Row],[GN]],-12,0),0)+OFFSET(TblConstr[[#This Row],[Tot GN]],-1,0)-TblConstr[[#This Row],[Dest GN]]</f>
        <v>0</v>
      </c>
      <c r="BH66" s="487" cm="1">
        <f t="array" aca="1" ref="BH66" ca="1">IF(TblConstr[[#This Row],[Hour]:[Hour]]&gt;12,OFFSET(TblConstr[[#This Row],[Fac]],-12,0),0)+OFFSET(TblConstr[[#This Row],[Tot Fac]],-1,0)-TblConstr[[#This Row],[Dest Fac]]</f>
        <v>0</v>
      </c>
      <c r="BI66" s="487" cm="1">
        <f t="array" aca="1" ref="BI66" ca="1">IF(TblConstr[[#This Row],[Hour]:[Hour]]&gt;12,OFFSET(TblConstr[[#This Row],[GT]],-12,0),0)+OFFSET(TblConstr[[#This Row],[Tot GT]],-1,0)-TblConstr[[#This Row],[Dest GT]]</f>
        <v>0</v>
      </c>
      <c r="BJ66" s="487" cm="1">
        <f t="array" aca="1" ref="BJ66" ca="1">IF(TblConstr[[#This Row],[Hour]:[Hour]]&gt;12,OFFSET(TblConstr[[#This Row],[Bar]],-12,0),0)+OFFSET(TblConstr[[#This Row],[Tot Bar]],-1,0)-TblConstr[[#This Row],[Dest Bar]]</f>
        <v>0</v>
      </c>
      <c r="BK66" s="487" cm="1">
        <f t="array" aca="1" ref="BK66" ca="1">IF(TblConstr[[#This Row],[Hour]:[Hour]]&gt;12,OFFSET(TblConstr[[#This Row],[Shr]],-12,0),0)+OFFSET(TblConstr[[#This Row],[Tot Shr]],-1,0)-TblConstr[[#This Row],[Dest Shr]]</f>
        <v>0</v>
      </c>
      <c r="BL66" s="491" cm="1">
        <f t="array" aca="1" ref="BL66" ca="1">IF(TblConstr[[#This Row],[Hour]:[Hour]]&gt;12,OFFSET(TblConstr[[#This Row],[Tow]],-12,0),0)+OFFSET(TblConstr[[#This Row],[Tot Tow]],-1,0)-TblConstr[[#This Row],[Dest Tow]]</f>
        <v>0</v>
      </c>
      <c r="BM66" s="491" cm="1">
        <f t="array" aca="1" ref="BM66" ca="1">IF(TblConstr[[#This Row],[Hour]:[Hour]]&gt;12,OFFSET(TblConstr[[#This Row],[Tem]],-12,0),0)+OFFSET(TblConstr[[#This Row],[Tot Tem]],-1,0)-TblConstr[[#This Row],[Dest Tem]]</f>
        <v>0</v>
      </c>
      <c r="BN66" s="491"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44345.583333333183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1">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99</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11</v>
      </c>
      <c r="DI66" s="49">
        <f t="shared" ca="1" si="0"/>
        <v>0</v>
      </c>
      <c r="DJ66" s="49">
        <f t="shared" ca="1" si="1"/>
        <v>0</v>
      </c>
    </row>
    <row r="67" spans="1:114" x14ac:dyDescent="0.2">
      <c r="A67" s="228">
        <f>TblRezone[[#This Row],[Hour]]</f>
        <v>64</v>
      </c>
      <c r="B67" s="229">
        <f ca="1">SUM(TblConstr[[#This Row],[Plain]:[Water]])</f>
        <v>159</v>
      </c>
      <c r="C67" s="230">
        <f ca="1">SUM(TblConstr[[#This Row],[Tot Hom]:[Tot Doc]])</f>
        <v>91</v>
      </c>
      <c r="D67" s="230">
        <f t="shared" si="11"/>
        <v>0</v>
      </c>
      <c r="E67" s="231"/>
      <c r="F67" s="74">
        <f ca="1">TblConstr[[#This Row],[Barren]]+TblConstr[[#This Row],[Buildings]]+TblConstr[[#This Row],[Incoming]]</f>
        <v>250</v>
      </c>
      <c r="G67" s="242">
        <f ca="1">OFFSET(TblConstr[[#This Row],[Plain]],-1,0)+TblConstr[[#This Row],[Ch_Plain]]</f>
        <v>39</v>
      </c>
      <c r="H67" s="236">
        <f ca="1">OFFSET(TblConstr[[#This Row],[Forest]],-1,0)+TblConstr[[#This Row],[Ch_Forest]]</f>
        <v>20</v>
      </c>
      <c r="I67" s="481">
        <f ca="1">OFFSET(TblConstr[[#This Row],[Mountain]],-1,0)+TblConstr[[#This Row],[Ch_Mountain]]</f>
        <v>20</v>
      </c>
      <c r="J67" s="485">
        <f ca="1">OFFSET(TblConstr[[#This Row],[Hill]],-1,0)+TblConstr[[#This Row],[Ch_Hill]]</f>
        <v>20</v>
      </c>
      <c r="K67" s="489">
        <f ca="1">OFFSET(TblConstr[[#This Row],[Swamp]],-1,0)+TblConstr[[#This Row],[Ch_Swamp]]</f>
        <v>20</v>
      </c>
      <c r="L67" s="239">
        <f ca="1">OFFSET(TblConstr[[#This Row],[Cavern]],-1,0)+TblConstr[[#This Row],[Ch_Cavern]]</f>
        <v>20</v>
      </c>
      <c r="M67" s="240">
        <f ca="1">OFFSET(TblConstr[[#This Row],[Water]],-1,0)+TblConstr[[#This Row],[Ch_Water]]</f>
        <v>20</v>
      </c>
      <c r="N67" s="479">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44345.624999999847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446270</v>
      </c>
      <c r="AL67" s="113">
        <f ca="1">TblProd[[#This Row],[Lumber]]</f>
        <v>54829</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11</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3" cm="1">
        <f t="array" aca="1" ref="BF67" ca="1">IF(TblConstr[[#This Row],[Hour]:[Hour]]&gt;12,OFFSET(TblConstr[[#This Row],[OM]],-12,0),0)+OFFSET(TblConstr[[#This Row],[Tot OM]],-1,0)-TblConstr[[#This Row],[Dest OM]]</f>
        <v>0</v>
      </c>
      <c r="BG67" s="483" cm="1">
        <f t="array" aca="1" ref="BG67" ca="1">IF(TblConstr[[#This Row],[Hour]:[Hour]]&gt;12,OFFSET(TblConstr[[#This Row],[GN]],-12,0),0)+OFFSET(TblConstr[[#This Row],[Tot GN]],-1,0)-TblConstr[[#This Row],[Dest GN]]</f>
        <v>0</v>
      </c>
      <c r="BH67" s="487" cm="1">
        <f t="array" aca="1" ref="BH67" ca="1">IF(TblConstr[[#This Row],[Hour]:[Hour]]&gt;12,OFFSET(TblConstr[[#This Row],[Fac]],-12,0),0)+OFFSET(TblConstr[[#This Row],[Tot Fac]],-1,0)-TblConstr[[#This Row],[Dest Fac]]</f>
        <v>0</v>
      </c>
      <c r="BI67" s="487" cm="1">
        <f t="array" aca="1" ref="BI67" ca="1">IF(TblConstr[[#This Row],[Hour]:[Hour]]&gt;12,OFFSET(TblConstr[[#This Row],[GT]],-12,0),0)+OFFSET(TblConstr[[#This Row],[Tot GT]],-1,0)-TblConstr[[#This Row],[Dest GT]]</f>
        <v>0</v>
      </c>
      <c r="BJ67" s="487" cm="1">
        <f t="array" aca="1" ref="BJ67" ca="1">IF(TblConstr[[#This Row],[Hour]:[Hour]]&gt;12,OFFSET(TblConstr[[#This Row],[Bar]],-12,0),0)+OFFSET(TblConstr[[#This Row],[Tot Bar]],-1,0)-TblConstr[[#This Row],[Dest Bar]]</f>
        <v>0</v>
      </c>
      <c r="BK67" s="487" cm="1">
        <f t="array" aca="1" ref="BK67" ca="1">IF(TblConstr[[#This Row],[Hour]:[Hour]]&gt;12,OFFSET(TblConstr[[#This Row],[Shr]],-12,0),0)+OFFSET(TblConstr[[#This Row],[Tot Shr]],-1,0)-TblConstr[[#This Row],[Dest Shr]]</f>
        <v>0</v>
      </c>
      <c r="BL67" s="491" cm="1">
        <f t="array" aca="1" ref="BL67" ca="1">IF(TblConstr[[#This Row],[Hour]:[Hour]]&gt;12,OFFSET(TblConstr[[#This Row],[Tow]],-12,0),0)+OFFSET(TblConstr[[#This Row],[Tot Tow]],-1,0)-TblConstr[[#This Row],[Dest Tow]]</f>
        <v>0</v>
      </c>
      <c r="BM67" s="491" cm="1">
        <f t="array" aca="1" ref="BM67" ca="1">IF(TblConstr[[#This Row],[Hour]:[Hour]]&gt;12,OFFSET(TblConstr[[#This Row],[Tem]],-12,0),0)+OFFSET(TblConstr[[#This Row],[Tot Tem]],-1,0)-TblConstr[[#This Row],[Dest Tem]]</f>
        <v>0</v>
      </c>
      <c r="BN67" s="491"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44345.624999999847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1">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99</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11</v>
      </c>
      <c r="DI67" s="49">
        <f t="shared" ca="1" si="0"/>
        <v>0</v>
      </c>
      <c r="DJ67" s="49">
        <f t="shared" ca="1" si="1"/>
        <v>0</v>
      </c>
    </row>
    <row r="68" spans="1:114" x14ac:dyDescent="0.2">
      <c r="A68" s="228">
        <f>TblRezone[[#This Row],[Hour]]</f>
        <v>65</v>
      </c>
      <c r="B68" s="229">
        <f ca="1">SUM(TblConstr[[#This Row],[Plain]:[Water]])</f>
        <v>159</v>
      </c>
      <c r="C68" s="230">
        <f ca="1">SUM(TblConstr[[#This Row],[Tot Hom]:[Tot Doc]])</f>
        <v>91</v>
      </c>
      <c r="D68" s="230">
        <f t="shared" si="11"/>
        <v>0</v>
      </c>
      <c r="E68" s="231"/>
      <c r="F68" s="74">
        <f ca="1">TblConstr[[#This Row],[Barren]]+TblConstr[[#This Row],[Buildings]]+TblConstr[[#This Row],[Incoming]]</f>
        <v>250</v>
      </c>
      <c r="G68" s="242">
        <f ca="1">OFFSET(TblConstr[[#This Row],[Plain]],-1,0)+TblConstr[[#This Row],[Ch_Plain]]</f>
        <v>39</v>
      </c>
      <c r="H68" s="236">
        <f ca="1">OFFSET(TblConstr[[#This Row],[Forest]],-1,0)+TblConstr[[#This Row],[Ch_Forest]]</f>
        <v>20</v>
      </c>
      <c r="I68" s="481">
        <f ca="1">OFFSET(TblConstr[[#This Row],[Mountain]],-1,0)+TblConstr[[#This Row],[Ch_Mountain]]</f>
        <v>20</v>
      </c>
      <c r="J68" s="485">
        <f ca="1">OFFSET(TblConstr[[#This Row],[Hill]],-1,0)+TblConstr[[#This Row],[Ch_Hill]]</f>
        <v>20</v>
      </c>
      <c r="K68" s="489">
        <f ca="1">OFFSET(TblConstr[[#This Row],[Swamp]],-1,0)+TblConstr[[#This Row],[Ch_Swamp]]</f>
        <v>20</v>
      </c>
      <c r="L68" s="239">
        <f ca="1">OFFSET(TblConstr[[#This Row],[Cavern]],-1,0)+TblConstr[[#This Row],[Ch_Cavern]]</f>
        <v>20</v>
      </c>
      <c r="M68" s="240">
        <f ca="1">OFFSET(TblConstr[[#This Row],[Water]],-1,0)+TblConstr[[#This Row],[Ch_Water]]</f>
        <v>20</v>
      </c>
      <c r="N68" s="479">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44345.666666666511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451769</v>
      </c>
      <c r="AL68" s="113">
        <f ca="1">TblProd[[#This Row],[Lumber]]</f>
        <v>55281</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11</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3" cm="1">
        <f t="array" aca="1" ref="BF68" ca="1">IF(TblConstr[[#This Row],[Hour]:[Hour]]&gt;12,OFFSET(TblConstr[[#This Row],[OM]],-12,0),0)+OFFSET(TblConstr[[#This Row],[Tot OM]],-1,0)-TblConstr[[#This Row],[Dest OM]]</f>
        <v>0</v>
      </c>
      <c r="BG68" s="483" cm="1">
        <f t="array" aca="1" ref="BG68" ca="1">IF(TblConstr[[#This Row],[Hour]:[Hour]]&gt;12,OFFSET(TblConstr[[#This Row],[GN]],-12,0),0)+OFFSET(TblConstr[[#This Row],[Tot GN]],-1,0)-TblConstr[[#This Row],[Dest GN]]</f>
        <v>0</v>
      </c>
      <c r="BH68" s="487" cm="1">
        <f t="array" aca="1" ref="BH68" ca="1">IF(TblConstr[[#This Row],[Hour]:[Hour]]&gt;12,OFFSET(TblConstr[[#This Row],[Fac]],-12,0),0)+OFFSET(TblConstr[[#This Row],[Tot Fac]],-1,0)-TblConstr[[#This Row],[Dest Fac]]</f>
        <v>0</v>
      </c>
      <c r="BI68" s="487" cm="1">
        <f t="array" aca="1" ref="BI68" ca="1">IF(TblConstr[[#This Row],[Hour]:[Hour]]&gt;12,OFFSET(TblConstr[[#This Row],[GT]],-12,0),0)+OFFSET(TblConstr[[#This Row],[Tot GT]],-1,0)-TblConstr[[#This Row],[Dest GT]]</f>
        <v>0</v>
      </c>
      <c r="BJ68" s="487" cm="1">
        <f t="array" aca="1" ref="BJ68" ca="1">IF(TblConstr[[#This Row],[Hour]:[Hour]]&gt;12,OFFSET(TblConstr[[#This Row],[Bar]],-12,0),0)+OFFSET(TblConstr[[#This Row],[Tot Bar]],-1,0)-TblConstr[[#This Row],[Dest Bar]]</f>
        <v>0</v>
      </c>
      <c r="BK68" s="487" cm="1">
        <f t="array" aca="1" ref="BK68" ca="1">IF(TblConstr[[#This Row],[Hour]:[Hour]]&gt;12,OFFSET(TblConstr[[#This Row],[Shr]],-12,0),0)+OFFSET(TblConstr[[#This Row],[Tot Shr]],-1,0)-TblConstr[[#This Row],[Dest Shr]]</f>
        <v>0</v>
      </c>
      <c r="BL68" s="491" cm="1">
        <f t="array" aca="1" ref="BL68" ca="1">IF(TblConstr[[#This Row],[Hour]:[Hour]]&gt;12,OFFSET(TblConstr[[#This Row],[Tow]],-12,0),0)+OFFSET(TblConstr[[#This Row],[Tot Tow]],-1,0)-TblConstr[[#This Row],[Dest Tow]]</f>
        <v>0</v>
      </c>
      <c r="BM68" s="491" cm="1">
        <f t="array" aca="1" ref="BM68" ca="1">IF(TblConstr[[#This Row],[Hour]:[Hour]]&gt;12,OFFSET(TblConstr[[#This Row],[Tem]],-12,0),0)+OFFSET(TblConstr[[#This Row],[Tot Tem]],-1,0)-TblConstr[[#This Row],[Dest Tem]]</f>
        <v>0</v>
      </c>
      <c r="BN68" s="491"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44345.666666666511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1">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99</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11</v>
      </c>
      <c r="DI68" s="49">
        <f t="shared" ca="1" si="0"/>
        <v>0</v>
      </c>
      <c r="DJ68" s="49">
        <f t="shared" ca="1" si="1"/>
        <v>0</v>
      </c>
    </row>
    <row r="69" spans="1:114" x14ac:dyDescent="0.2">
      <c r="A69" s="228">
        <f>TblRezone[[#This Row],[Hour]]</f>
        <v>66</v>
      </c>
      <c r="B69" s="229">
        <f ca="1">SUM(TblConstr[[#This Row],[Plain]:[Water]])</f>
        <v>159</v>
      </c>
      <c r="C69" s="230">
        <f ca="1">SUM(TblConstr[[#This Row],[Tot Hom]:[Tot Doc]])</f>
        <v>91</v>
      </c>
      <c r="D69" s="230">
        <f t="shared" si="11"/>
        <v>0</v>
      </c>
      <c r="E69" s="231"/>
      <c r="F69" s="74">
        <f ca="1">TblConstr[[#This Row],[Barren]]+TblConstr[[#This Row],[Buildings]]+TblConstr[[#This Row],[Incoming]]</f>
        <v>250</v>
      </c>
      <c r="G69" s="242">
        <f ca="1">OFFSET(TblConstr[[#This Row],[Plain]],-1,0)+TblConstr[[#This Row],[Ch_Plain]]</f>
        <v>39</v>
      </c>
      <c r="H69" s="236">
        <f ca="1">OFFSET(TblConstr[[#This Row],[Forest]],-1,0)+TblConstr[[#This Row],[Ch_Forest]]</f>
        <v>20</v>
      </c>
      <c r="I69" s="481">
        <f ca="1">OFFSET(TblConstr[[#This Row],[Mountain]],-1,0)+TblConstr[[#This Row],[Ch_Mountain]]</f>
        <v>20</v>
      </c>
      <c r="J69" s="485">
        <f ca="1">OFFSET(TblConstr[[#This Row],[Hill]],-1,0)+TblConstr[[#This Row],[Ch_Hill]]</f>
        <v>20</v>
      </c>
      <c r="K69" s="489">
        <f ca="1">OFFSET(TblConstr[[#This Row],[Swamp]],-1,0)+TblConstr[[#This Row],[Ch_Swamp]]</f>
        <v>20</v>
      </c>
      <c r="L69" s="239">
        <f ca="1">OFFSET(TblConstr[[#This Row],[Cavern]],-1,0)+TblConstr[[#This Row],[Ch_Cavern]]</f>
        <v>20</v>
      </c>
      <c r="M69" s="240">
        <f ca="1">OFFSET(TblConstr[[#This Row],[Water]],-1,0)+TblConstr[[#This Row],[Ch_Water]]</f>
        <v>20</v>
      </c>
      <c r="N69" s="479">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44345.708333333176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457268</v>
      </c>
      <c r="AL69" s="113">
        <f ca="1">TblProd[[#This Row],[Lumber]]</f>
        <v>55728</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11</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3" cm="1">
        <f t="array" aca="1" ref="BF69" ca="1">IF(TblConstr[[#This Row],[Hour]:[Hour]]&gt;12,OFFSET(TblConstr[[#This Row],[OM]],-12,0),0)+OFFSET(TblConstr[[#This Row],[Tot OM]],-1,0)-TblConstr[[#This Row],[Dest OM]]</f>
        <v>0</v>
      </c>
      <c r="BG69" s="483" cm="1">
        <f t="array" aca="1" ref="BG69" ca="1">IF(TblConstr[[#This Row],[Hour]:[Hour]]&gt;12,OFFSET(TblConstr[[#This Row],[GN]],-12,0),0)+OFFSET(TblConstr[[#This Row],[Tot GN]],-1,0)-TblConstr[[#This Row],[Dest GN]]</f>
        <v>0</v>
      </c>
      <c r="BH69" s="487" cm="1">
        <f t="array" aca="1" ref="BH69" ca="1">IF(TblConstr[[#This Row],[Hour]:[Hour]]&gt;12,OFFSET(TblConstr[[#This Row],[Fac]],-12,0),0)+OFFSET(TblConstr[[#This Row],[Tot Fac]],-1,0)-TblConstr[[#This Row],[Dest Fac]]</f>
        <v>0</v>
      </c>
      <c r="BI69" s="487" cm="1">
        <f t="array" aca="1" ref="BI69" ca="1">IF(TblConstr[[#This Row],[Hour]:[Hour]]&gt;12,OFFSET(TblConstr[[#This Row],[GT]],-12,0),0)+OFFSET(TblConstr[[#This Row],[Tot GT]],-1,0)-TblConstr[[#This Row],[Dest GT]]</f>
        <v>0</v>
      </c>
      <c r="BJ69" s="487" cm="1">
        <f t="array" aca="1" ref="BJ69" ca="1">IF(TblConstr[[#This Row],[Hour]:[Hour]]&gt;12,OFFSET(TblConstr[[#This Row],[Bar]],-12,0),0)+OFFSET(TblConstr[[#This Row],[Tot Bar]],-1,0)-TblConstr[[#This Row],[Dest Bar]]</f>
        <v>0</v>
      </c>
      <c r="BK69" s="487" cm="1">
        <f t="array" aca="1" ref="BK69" ca="1">IF(TblConstr[[#This Row],[Hour]:[Hour]]&gt;12,OFFSET(TblConstr[[#This Row],[Shr]],-12,0),0)+OFFSET(TblConstr[[#This Row],[Tot Shr]],-1,0)-TblConstr[[#This Row],[Dest Shr]]</f>
        <v>0</v>
      </c>
      <c r="BL69" s="491" cm="1">
        <f t="array" aca="1" ref="BL69" ca="1">IF(TblConstr[[#This Row],[Hour]:[Hour]]&gt;12,OFFSET(TblConstr[[#This Row],[Tow]],-12,0),0)+OFFSET(TblConstr[[#This Row],[Tot Tow]],-1,0)-TblConstr[[#This Row],[Dest Tow]]</f>
        <v>0</v>
      </c>
      <c r="BM69" s="491" cm="1">
        <f t="array" aca="1" ref="BM69" ca="1">IF(TblConstr[[#This Row],[Hour]:[Hour]]&gt;12,OFFSET(TblConstr[[#This Row],[Tem]],-12,0),0)+OFFSET(TblConstr[[#This Row],[Tot Tem]],-1,0)-TblConstr[[#This Row],[Dest Tem]]</f>
        <v>0</v>
      </c>
      <c r="BN69" s="491"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44345.708333333176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1">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99</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11</v>
      </c>
      <c r="DI69" s="49">
        <f t="shared" ca="1" si="0"/>
        <v>0</v>
      </c>
      <c r="DJ69" s="49">
        <f t="shared" ca="1" si="1"/>
        <v>0</v>
      </c>
    </row>
    <row r="70" spans="1:114" x14ac:dyDescent="0.2">
      <c r="A70" s="228">
        <f>TblRezone[[#This Row],[Hour]]</f>
        <v>67</v>
      </c>
      <c r="B70" s="229">
        <f ca="1">SUM(TblConstr[[#This Row],[Plain]:[Water]])</f>
        <v>159</v>
      </c>
      <c r="C70" s="230">
        <f ca="1">SUM(TblConstr[[#This Row],[Tot Hom]:[Tot Doc]])</f>
        <v>91</v>
      </c>
      <c r="D70" s="230">
        <f t="shared" si="11"/>
        <v>0</v>
      </c>
      <c r="E70" s="231"/>
      <c r="F70" s="74">
        <f ca="1">TblConstr[[#This Row],[Barren]]+TblConstr[[#This Row],[Buildings]]+TblConstr[[#This Row],[Incoming]]</f>
        <v>250</v>
      </c>
      <c r="G70" s="242">
        <f ca="1">OFFSET(TblConstr[[#This Row],[Plain]],-1,0)+TblConstr[[#This Row],[Ch_Plain]]</f>
        <v>39</v>
      </c>
      <c r="H70" s="236">
        <f ca="1">OFFSET(TblConstr[[#This Row],[Forest]],-1,0)+TblConstr[[#This Row],[Ch_Forest]]</f>
        <v>20</v>
      </c>
      <c r="I70" s="481">
        <f ca="1">OFFSET(TblConstr[[#This Row],[Mountain]],-1,0)+TblConstr[[#This Row],[Ch_Mountain]]</f>
        <v>20</v>
      </c>
      <c r="J70" s="485">
        <f ca="1">OFFSET(TblConstr[[#This Row],[Hill]],-1,0)+TblConstr[[#This Row],[Ch_Hill]]</f>
        <v>20</v>
      </c>
      <c r="K70" s="489">
        <f ca="1">OFFSET(TblConstr[[#This Row],[Swamp]],-1,0)+TblConstr[[#This Row],[Ch_Swamp]]</f>
        <v>20</v>
      </c>
      <c r="L70" s="239">
        <f ca="1">OFFSET(TblConstr[[#This Row],[Cavern]],-1,0)+TblConstr[[#This Row],[Ch_Cavern]]</f>
        <v>20</v>
      </c>
      <c r="M70" s="240">
        <f ca="1">OFFSET(TblConstr[[#This Row],[Water]],-1,0)+TblConstr[[#This Row],[Ch_Water]]</f>
        <v>20</v>
      </c>
      <c r="N70" s="479">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44345.74999999984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462767</v>
      </c>
      <c r="AL70" s="113">
        <f ca="1">TblProd[[#This Row],[Lumber]]</f>
        <v>56171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11</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3" cm="1">
        <f t="array" aca="1" ref="BF70" ca="1">IF(TblConstr[[#This Row],[Hour]:[Hour]]&gt;12,OFFSET(TblConstr[[#This Row],[OM]],-12,0),0)+OFFSET(TblConstr[[#This Row],[Tot OM]],-1,0)-TblConstr[[#This Row],[Dest OM]]</f>
        <v>0</v>
      </c>
      <c r="BG70" s="483" cm="1">
        <f t="array" aca="1" ref="BG70" ca="1">IF(TblConstr[[#This Row],[Hour]:[Hour]]&gt;12,OFFSET(TblConstr[[#This Row],[GN]],-12,0),0)+OFFSET(TblConstr[[#This Row],[Tot GN]],-1,0)-TblConstr[[#This Row],[Dest GN]]</f>
        <v>0</v>
      </c>
      <c r="BH70" s="487" cm="1">
        <f t="array" aca="1" ref="BH70" ca="1">IF(TblConstr[[#This Row],[Hour]:[Hour]]&gt;12,OFFSET(TblConstr[[#This Row],[Fac]],-12,0),0)+OFFSET(TblConstr[[#This Row],[Tot Fac]],-1,0)-TblConstr[[#This Row],[Dest Fac]]</f>
        <v>0</v>
      </c>
      <c r="BI70" s="487" cm="1">
        <f t="array" aca="1" ref="BI70" ca="1">IF(TblConstr[[#This Row],[Hour]:[Hour]]&gt;12,OFFSET(TblConstr[[#This Row],[GT]],-12,0),0)+OFFSET(TblConstr[[#This Row],[Tot GT]],-1,0)-TblConstr[[#This Row],[Dest GT]]</f>
        <v>0</v>
      </c>
      <c r="BJ70" s="487" cm="1">
        <f t="array" aca="1" ref="BJ70" ca="1">IF(TblConstr[[#This Row],[Hour]:[Hour]]&gt;12,OFFSET(TblConstr[[#This Row],[Bar]],-12,0),0)+OFFSET(TblConstr[[#This Row],[Tot Bar]],-1,0)-TblConstr[[#This Row],[Dest Bar]]</f>
        <v>0</v>
      </c>
      <c r="BK70" s="487" cm="1">
        <f t="array" aca="1" ref="BK70" ca="1">IF(TblConstr[[#This Row],[Hour]:[Hour]]&gt;12,OFFSET(TblConstr[[#This Row],[Shr]],-12,0),0)+OFFSET(TblConstr[[#This Row],[Tot Shr]],-1,0)-TblConstr[[#This Row],[Dest Shr]]</f>
        <v>0</v>
      </c>
      <c r="BL70" s="491" cm="1">
        <f t="array" aca="1" ref="BL70" ca="1">IF(TblConstr[[#This Row],[Hour]:[Hour]]&gt;12,OFFSET(TblConstr[[#This Row],[Tow]],-12,0),0)+OFFSET(TblConstr[[#This Row],[Tot Tow]],-1,0)-TblConstr[[#This Row],[Dest Tow]]</f>
        <v>0</v>
      </c>
      <c r="BM70" s="491" cm="1">
        <f t="array" aca="1" ref="BM70" ca="1">IF(TblConstr[[#This Row],[Hour]:[Hour]]&gt;12,OFFSET(TblConstr[[#This Row],[Tem]],-12,0),0)+OFFSET(TblConstr[[#This Row],[Tot Tem]],-1,0)-TblConstr[[#This Row],[Dest Tem]]</f>
        <v>0</v>
      </c>
      <c r="BN70" s="491"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44345.74999999984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1">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99</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11</v>
      </c>
      <c r="DI70" s="49">
        <f t="shared" ref="DI70:DI133" ca="1" si="19">MAX(BA70-BA69,0)</f>
        <v>0</v>
      </c>
      <c r="DJ70" s="49">
        <f t="shared" ref="DJ70:DJ133" ca="1" si="20">MAX(BQ70-BQ69,0)</f>
        <v>0</v>
      </c>
    </row>
    <row r="71" spans="1:114" x14ac:dyDescent="0.2">
      <c r="A71" s="228">
        <f>TblRezone[[#This Row],[Hour]]</f>
        <v>68</v>
      </c>
      <c r="B71" s="229">
        <f ca="1">SUM(TblConstr[[#This Row],[Plain]:[Water]])</f>
        <v>159</v>
      </c>
      <c r="C71" s="230">
        <f ca="1">SUM(TblConstr[[#This Row],[Tot Hom]:[Tot Doc]])</f>
        <v>91</v>
      </c>
      <c r="D71" s="230">
        <f t="shared" si="11"/>
        <v>0</v>
      </c>
      <c r="E71" s="231"/>
      <c r="F71" s="74">
        <f ca="1">TblConstr[[#This Row],[Barren]]+TblConstr[[#This Row],[Buildings]]+TblConstr[[#This Row],[Incoming]]</f>
        <v>250</v>
      </c>
      <c r="G71" s="242">
        <f ca="1">OFFSET(TblConstr[[#This Row],[Plain]],-1,0)+TblConstr[[#This Row],[Ch_Plain]]</f>
        <v>39</v>
      </c>
      <c r="H71" s="236">
        <f ca="1">OFFSET(TblConstr[[#This Row],[Forest]],-1,0)+TblConstr[[#This Row],[Ch_Forest]]</f>
        <v>20</v>
      </c>
      <c r="I71" s="481">
        <f ca="1">OFFSET(TblConstr[[#This Row],[Mountain]],-1,0)+TblConstr[[#This Row],[Ch_Mountain]]</f>
        <v>20</v>
      </c>
      <c r="J71" s="485">
        <f ca="1">OFFSET(TblConstr[[#This Row],[Hill]],-1,0)+TblConstr[[#This Row],[Ch_Hill]]</f>
        <v>20</v>
      </c>
      <c r="K71" s="489">
        <f ca="1">OFFSET(TblConstr[[#This Row],[Swamp]],-1,0)+TblConstr[[#This Row],[Ch_Swamp]]</f>
        <v>20</v>
      </c>
      <c r="L71" s="239">
        <f ca="1">OFFSET(TblConstr[[#This Row],[Cavern]],-1,0)+TblConstr[[#This Row],[Ch_Cavern]]</f>
        <v>20</v>
      </c>
      <c r="M71" s="240">
        <f ca="1">OFFSET(TblConstr[[#This Row],[Water]],-1,0)+TblConstr[[#This Row],[Ch_Water]]</f>
        <v>20</v>
      </c>
      <c r="N71" s="479">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44345.791666666504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468266</v>
      </c>
      <c r="AL71" s="113">
        <f ca="1">TblProd[[#This Row],[Lumber]]</f>
        <v>56609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11</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3" cm="1">
        <f t="array" aca="1" ref="BF71" ca="1">IF(TblConstr[[#This Row],[Hour]:[Hour]]&gt;12,OFFSET(TblConstr[[#This Row],[OM]],-12,0),0)+OFFSET(TblConstr[[#This Row],[Tot OM]],-1,0)-TblConstr[[#This Row],[Dest OM]]</f>
        <v>0</v>
      </c>
      <c r="BG71" s="483" cm="1">
        <f t="array" aca="1" ref="BG71" ca="1">IF(TblConstr[[#This Row],[Hour]:[Hour]]&gt;12,OFFSET(TblConstr[[#This Row],[GN]],-12,0),0)+OFFSET(TblConstr[[#This Row],[Tot GN]],-1,0)-TblConstr[[#This Row],[Dest GN]]</f>
        <v>0</v>
      </c>
      <c r="BH71" s="487" cm="1">
        <f t="array" aca="1" ref="BH71" ca="1">IF(TblConstr[[#This Row],[Hour]:[Hour]]&gt;12,OFFSET(TblConstr[[#This Row],[Fac]],-12,0),0)+OFFSET(TblConstr[[#This Row],[Tot Fac]],-1,0)-TblConstr[[#This Row],[Dest Fac]]</f>
        <v>0</v>
      </c>
      <c r="BI71" s="487" cm="1">
        <f t="array" aca="1" ref="BI71" ca="1">IF(TblConstr[[#This Row],[Hour]:[Hour]]&gt;12,OFFSET(TblConstr[[#This Row],[GT]],-12,0),0)+OFFSET(TblConstr[[#This Row],[Tot GT]],-1,0)-TblConstr[[#This Row],[Dest GT]]</f>
        <v>0</v>
      </c>
      <c r="BJ71" s="487" cm="1">
        <f t="array" aca="1" ref="BJ71" ca="1">IF(TblConstr[[#This Row],[Hour]:[Hour]]&gt;12,OFFSET(TblConstr[[#This Row],[Bar]],-12,0),0)+OFFSET(TblConstr[[#This Row],[Tot Bar]],-1,0)-TblConstr[[#This Row],[Dest Bar]]</f>
        <v>0</v>
      </c>
      <c r="BK71" s="487" cm="1">
        <f t="array" aca="1" ref="BK71" ca="1">IF(TblConstr[[#This Row],[Hour]:[Hour]]&gt;12,OFFSET(TblConstr[[#This Row],[Shr]],-12,0),0)+OFFSET(TblConstr[[#This Row],[Tot Shr]],-1,0)-TblConstr[[#This Row],[Dest Shr]]</f>
        <v>0</v>
      </c>
      <c r="BL71" s="491" cm="1">
        <f t="array" aca="1" ref="BL71" ca="1">IF(TblConstr[[#This Row],[Hour]:[Hour]]&gt;12,OFFSET(TblConstr[[#This Row],[Tow]],-12,0),0)+OFFSET(TblConstr[[#This Row],[Tot Tow]],-1,0)-TblConstr[[#This Row],[Dest Tow]]</f>
        <v>0</v>
      </c>
      <c r="BM71" s="491" cm="1">
        <f t="array" aca="1" ref="BM71" ca="1">IF(TblConstr[[#This Row],[Hour]:[Hour]]&gt;12,OFFSET(TblConstr[[#This Row],[Tem]],-12,0),0)+OFFSET(TblConstr[[#This Row],[Tot Tem]],-1,0)-TblConstr[[#This Row],[Dest Tem]]</f>
        <v>0</v>
      </c>
      <c r="BN71" s="491"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44345.791666666504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1">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99</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11</v>
      </c>
      <c r="DI71" s="49">
        <f t="shared" ca="1" si="19"/>
        <v>0</v>
      </c>
      <c r="DJ71" s="49">
        <f t="shared" ca="1" si="20"/>
        <v>0</v>
      </c>
    </row>
    <row r="72" spans="1:114" x14ac:dyDescent="0.2">
      <c r="A72" s="228">
        <f>TblRezone[[#This Row],[Hour]]</f>
        <v>69</v>
      </c>
      <c r="B72" s="229">
        <f ca="1">SUM(TblConstr[[#This Row],[Plain]:[Water]])</f>
        <v>159</v>
      </c>
      <c r="C72" s="230">
        <f ca="1">SUM(TblConstr[[#This Row],[Tot Hom]:[Tot Doc]])</f>
        <v>91</v>
      </c>
      <c r="D72" s="230">
        <f t="shared" si="11"/>
        <v>0</v>
      </c>
      <c r="E72" s="231"/>
      <c r="F72" s="74">
        <f ca="1">TblConstr[[#This Row],[Barren]]+TblConstr[[#This Row],[Buildings]]+TblConstr[[#This Row],[Incoming]]</f>
        <v>250</v>
      </c>
      <c r="G72" s="242">
        <f ca="1">OFFSET(TblConstr[[#This Row],[Plain]],-1,0)+TblConstr[[#This Row],[Ch_Plain]]</f>
        <v>39</v>
      </c>
      <c r="H72" s="236">
        <f ca="1">OFFSET(TblConstr[[#This Row],[Forest]],-1,0)+TblConstr[[#This Row],[Ch_Forest]]</f>
        <v>20</v>
      </c>
      <c r="I72" s="481">
        <f ca="1">OFFSET(TblConstr[[#This Row],[Mountain]],-1,0)+TblConstr[[#This Row],[Ch_Mountain]]</f>
        <v>20</v>
      </c>
      <c r="J72" s="485">
        <f ca="1">OFFSET(TblConstr[[#This Row],[Hill]],-1,0)+TblConstr[[#This Row],[Ch_Hill]]</f>
        <v>20</v>
      </c>
      <c r="K72" s="489">
        <f ca="1">OFFSET(TblConstr[[#This Row],[Swamp]],-1,0)+TblConstr[[#This Row],[Ch_Swamp]]</f>
        <v>20</v>
      </c>
      <c r="L72" s="239">
        <f ca="1">OFFSET(TblConstr[[#This Row],[Cavern]],-1,0)+TblConstr[[#This Row],[Ch_Cavern]]</f>
        <v>20</v>
      </c>
      <c r="M72" s="240">
        <f ca="1">OFFSET(TblConstr[[#This Row],[Water]],-1,0)+TblConstr[[#This Row],[Ch_Water]]</f>
        <v>20</v>
      </c>
      <c r="N72" s="479">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44345.833333333168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473765</v>
      </c>
      <c r="AL72" s="113">
        <f ca="1">TblProd[[#This Row],[Lumber]]</f>
        <v>57043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11</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3" cm="1">
        <f t="array" aca="1" ref="BF72" ca="1">IF(TblConstr[[#This Row],[Hour]:[Hour]]&gt;12,OFFSET(TblConstr[[#This Row],[OM]],-12,0),0)+OFFSET(TblConstr[[#This Row],[Tot OM]],-1,0)-TblConstr[[#This Row],[Dest OM]]</f>
        <v>0</v>
      </c>
      <c r="BG72" s="483" cm="1">
        <f t="array" aca="1" ref="BG72" ca="1">IF(TblConstr[[#This Row],[Hour]:[Hour]]&gt;12,OFFSET(TblConstr[[#This Row],[GN]],-12,0),0)+OFFSET(TblConstr[[#This Row],[Tot GN]],-1,0)-TblConstr[[#This Row],[Dest GN]]</f>
        <v>0</v>
      </c>
      <c r="BH72" s="487" cm="1">
        <f t="array" aca="1" ref="BH72" ca="1">IF(TblConstr[[#This Row],[Hour]:[Hour]]&gt;12,OFFSET(TblConstr[[#This Row],[Fac]],-12,0),0)+OFFSET(TblConstr[[#This Row],[Tot Fac]],-1,0)-TblConstr[[#This Row],[Dest Fac]]</f>
        <v>0</v>
      </c>
      <c r="BI72" s="487" cm="1">
        <f t="array" aca="1" ref="BI72" ca="1">IF(TblConstr[[#This Row],[Hour]:[Hour]]&gt;12,OFFSET(TblConstr[[#This Row],[GT]],-12,0),0)+OFFSET(TblConstr[[#This Row],[Tot GT]],-1,0)-TblConstr[[#This Row],[Dest GT]]</f>
        <v>0</v>
      </c>
      <c r="BJ72" s="487" cm="1">
        <f t="array" aca="1" ref="BJ72" ca="1">IF(TblConstr[[#This Row],[Hour]:[Hour]]&gt;12,OFFSET(TblConstr[[#This Row],[Bar]],-12,0),0)+OFFSET(TblConstr[[#This Row],[Tot Bar]],-1,0)-TblConstr[[#This Row],[Dest Bar]]</f>
        <v>0</v>
      </c>
      <c r="BK72" s="487" cm="1">
        <f t="array" aca="1" ref="BK72" ca="1">IF(TblConstr[[#This Row],[Hour]:[Hour]]&gt;12,OFFSET(TblConstr[[#This Row],[Shr]],-12,0),0)+OFFSET(TblConstr[[#This Row],[Tot Shr]],-1,0)-TblConstr[[#This Row],[Dest Shr]]</f>
        <v>0</v>
      </c>
      <c r="BL72" s="491" cm="1">
        <f t="array" aca="1" ref="BL72" ca="1">IF(TblConstr[[#This Row],[Hour]:[Hour]]&gt;12,OFFSET(TblConstr[[#This Row],[Tow]],-12,0),0)+OFFSET(TblConstr[[#This Row],[Tot Tow]],-1,0)-TblConstr[[#This Row],[Dest Tow]]</f>
        <v>0</v>
      </c>
      <c r="BM72" s="491" cm="1">
        <f t="array" aca="1" ref="BM72" ca="1">IF(TblConstr[[#This Row],[Hour]:[Hour]]&gt;12,OFFSET(TblConstr[[#This Row],[Tem]],-12,0),0)+OFFSET(TblConstr[[#This Row],[Tot Tem]],-1,0)-TblConstr[[#This Row],[Dest Tem]]</f>
        <v>0</v>
      </c>
      <c r="BN72" s="491"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44345.833333333168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1">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99</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11</v>
      </c>
      <c r="DI72" s="49">
        <f t="shared" ca="1" si="19"/>
        <v>0</v>
      </c>
      <c r="DJ72" s="49">
        <f t="shared" ca="1" si="20"/>
        <v>0</v>
      </c>
    </row>
    <row r="73" spans="1:114" x14ac:dyDescent="0.2">
      <c r="A73" s="228">
        <f>TblRezone[[#This Row],[Hour]]</f>
        <v>70</v>
      </c>
      <c r="B73" s="229">
        <f ca="1">SUM(TblConstr[[#This Row],[Plain]:[Water]])</f>
        <v>159</v>
      </c>
      <c r="C73" s="230">
        <f ca="1">SUM(TblConstr[[#This Row],[Tot Hom]:[Tot Doc]])</f>
        <v>91</v>
      </c>
      <c r="D73" s="230">
        <f t="shared" si="11"/>
        <v>0</v>
      </c>
      <c r="E73" s="231"/>
      <c r="F73" s="74">
        <f ca="1">TblConstr[[#This Row],[Barren]]+TblConstr[[#This Row],[Buildings]]+TblConstr[[#This Row],[Incoming]]</f>
        <v>250</v>
      </c>
      <c r="G73" s="242">
        <f ca="1">OFFSET(TblConstr[[#This Row],[Plain]],-1,0)+TblConstr[[#This Row],[Ch_Plain]]</f>
        <v>39</v>
      </c>
      <c r="H73" s="236">
        <f ca="1">OFFSET(TblConstr[[#This Row],[Forest]],-1,0)+TblConstr[[#This Row],[Ch_Forest]]</f>
        <v>20</v>
      </c>
      <c r="I73" s="481">
        <f ca="1">OFFSET(TblConstr[[#This Row],[Mountain]],-1,0)+TblConstr[[#This Row],[Ch_Mountain]]</f>
        <v>20</v>
      </c>
      <c r="J73" s="485">
        <f ca="1">OFFSET(TblConstr[[#This Row],[Hill]],-1,0)+TblConstr[[#This Row],[Ch_Hill]]</f>
        <v>20</v>
      </c>
      <c r="K73" s="489">
        <f ca="1">OFFSET(TblConstr[[#This Row],[Swamp]],-1,0)+TblConstr[[#This Row],[Ch_Swamp]]</f>
        <v>20</v>
      </c>
      <c r="L73" s="239">
        <f ca="1">OFFSET(TblConstr[[#This Row],[Cavern]],-1,0)+TblConstr[[#This Row],[Ch_Cavern]]</f>
        <v>20</v>
      </c>
      <c r="M73" s="240">
        <f ca="1">OFFSET(TblConstr[[#This Row],[Water]],-1,0)+TblConstr[[#This Row],[Ch_Water]]</f>
        <v>20</v>
      </c>
      <c r="N73" s="479">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44345.874999999833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479264</v>
      </c>
      <c r="AL73" s="113">
        <f ca="1">TblProd[[#This Row],[Lumber]]</f>
        <v>57473</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11</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3" cm="1">
        <f t="array" aca="1" ref="BF73" ca="1">IF(TblConstr[[#This Row],[Hour]:[Hour]]&gt;12,OFFSET(TblConstr[[#This Row],[OM]],-12,0),0)+OFFSET(TblConstr[[#This Row],[Tot OM]],-1,0)-TblConstr[[#This Row],[Dest OM]]</f>
        <v>0</v>
      </c>
      <c r="BG73" s="483" cm="1">
        <f t="array" aca="1" ref="BG73" ca="1">IF(TblConstr[[#This Row],[Hour]:[Hour]]&gt;12,OFFSET(TblConstr[[#This Row],[GN]],-12,0),0)+OFFSET(TblConstr[[#This Row],[Tot GN]],-1,0)-TblConstr[[#This Row],[Dest GN]]</f>
        <v>0</v>
      </c>
      <c r="BH73" s="487" cm="1">
        <f t="array" aca="1" ref="BH73" ca="1">IF(TblConstr[[#This Row],[Hour]:[Hour]]&gt;12,OFFSET(TblConstr[[#This Row],[Fac]],-12,0),0)+OFFSET(TblConstr[[#This Row],[Tot Fac]],-1,0)-TblConstr[[#This Row],[Dest Fac]]</f>
        <v>0</v>
      </c>
      <c r="BI73" s="487" cm="1">
        <f t="array" aca="1" ref="BI73" ca="1">IF(TblConstr[[#This Row],[Hour]:[Hour]]&gt;12,OFFSET(TblConstr[[#This Row],[GT]],-12,0),0)+OFFSET(TblConstr[[#This Row],[Tot GT]],-1,0)-TblConstr[[#This Row],[Dest GT]]</f>
        <v>0</v>
      </c>
      <c r="BJ73" s="487" cm="1">
        <f t="array" aca="1" ref="BJ73" ca="1">IF(TblConstr[[#This Row],[Hour]:[Hour]]&gt;12,OFFSET(TblConstr[[#This Row],[Bar]],-12,0),0)+OFFSET(TblConstr[[#This Row],[Tot Bar]],-1,0)-TblConstr[[#This Row],[Dest Bar]]</f>
        <v>0</v>
      </c>
      <c r="BK73" s="487" cm="1">
        <f t="array" aca="1" ref="BK73" ca="1">IF(TblConstr[[#This Row],[Hour]:[Hour]]&gt;12,OFFSET(TblConstr[[#This Row],[Shr]],-12,0),0)+OFFSET(TblConstr[[#This Row],[Tot Shr]],-1,0)-TblConstr[[#This Row],[Dest Shr]]</f>
        <v>0</v>
      </c>
      <c r="BL73" s="491" cm="1">
        <f t="array" aca="1" ref="BL73" ca="1">IF(TblConstr[[#This Row],[Hour]:[Hour]]&gt;12,OFFSET(TblConstr[[#This Row],[Tow]],-12,0),0)+OFFSET(TblConstr[[#This Row],[Tot Tow]],-1,0)-TblConstr[[#This Row],[Dest Tow]]</f>
        <v>0</v>
      </c>
      <c r="BM73" s="491" cm="1">
        <f t="array" aca="1" ref="BM73" ca="1">IF(TblConstr[[#This Row],[Hour]:[Hour]]&gt;12,OFFSET(TblConstr[[#This Row],[Tem]],-12,0),0)+OFFSET(TblConstr[[#This Row],[Tot Tem]],-1,0)-TblConstr[[#This Row],[Dest Tem]]</f>
        <v>0</v>
      </c>
      <c r="BN73" s="491"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44345.874999999833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1">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99</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11</v>
      </c>
      <c r="DI73" s="49">
        <f t="shared" ca="1" si="19"/>
        <v>0</v>
      </c>
      <c r="DJ73" s="49">
        <f t="shared" ca="1" si="20"/>
        <v>0</v>
      </c>
    </row>
    <row r="74" spans="1:114" x14ac:dyDescent="0.2">
      <c r="A74" s="228">
        <f>TblRezone[[#This Row],[Hour]]</f>
        <v>71</v>
      </c>
      <c r="B74" s="229">
        <f ca="1">SUM(TblConstr[[#This Row],[Plain]:[Water]])</f>
        <v>159</v>
      </c>
      <c r="C74" s="230">
        <f ca="1">SUM(TblConstr[[#This Row],[Tot Hom]:[Tot Doc]])</f>
        <v>91</v>
      </c>
      <c r="D74" s="230">
        <f t="shared" si="11"/>
        <v>0</v>
      </c>
      <c r="E74" s="231"/>
      <c r="F74" s="74">
        <f ca="1">TblConstr[[#This Row],[Barren]]+TblConstr[[#This Row],[Buildings]]+TblConstr[[#This Row],[Incoming]]</f>
        <v>250</v>
      </c>
      <c r="G74" s="242">
        <f ca="1">OFFSET(TblConstr[[#This Row],[Plain]],-1,0)+TblConstr[[#This Row],[Ch_Plain]]</f>
        <v>39</v>
      </c>
      <c r="H74" s="236">
        <f ca="1">OFFSET(TblConstr[[#This Row],[Forest]],-1,0)+TblConstr[[#This Row],[Ch_Forest]]</f>
        <v>20</v>
      </c>
      <c r="I74" s="481">
        <f ca="1">OFFSET(TblConstr[[#This Row],[Mountain]],-1,0)+TblConstr[[#This Row],[Ch_Mountain]]</f>
        <v>20</v>
      </c>
      <c r="J74" s="485">
        <f ca="1">OFFSET(TblConstr[[#This Row],[Hill]],-1,0)+TblConstr[[#This Row],[Ch_Hill]]</f>
        <v>20</v>
      </c>
      <c r="K74" s="489">
        <f ca="1">OFFSET(TblConstr[[#This Row],[Swamp]],-1,0)+TblConstr[[#This Row],[Ch_Swamp]]</f>
        <v>20</v>
      </c>
      <c r="L74" s="239">
        <f ca="1">OFFSET(TblConstr[[#This Row],[Cavern]],-1,0)+TblConstr[[#This Row],[Ch_Cavern]]</f>
        <v>20</v>
      </c>
      <c r="M74" s="240">
        <f ca="1">OFFSET(TblConstr[[#This Row],[Water]],-1,0)+TblConstr[[#This Row],[Ch_Water]]</f>
        <v>20</v>
      </c>
      <c r="N74" s="479">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44345.916666666497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484763</v>
      </c>
      <c r="AL74" s="113">
        <f ca="1">TblProd[[#This Row],[Lumber]]</f>
        <v>57898</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11</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3" cm="1">
        <f t="array" aca="1" ref="BF74" ca="1">IF(TblConstr[[#This Row],[Hour]:[Hour]]&gt;12,OFFSET(TblConstr[[#This Row],[OM]],-12,0),0)+OFFSET(TblConstr[[#This Row],[Tot OM]],-1,0)-TblConstr[[#This Row],[Dest OM]]</f>
        <v>0</v>
      </c>
      <c r="BG74" s="483" cm="1">
        <f t="array" aca="1" ref="BG74" ca="1">IF(TblConstr[[#This Row],[Hour]:[Hour]]&gt;12,OFFSET(TblConstr[[#This Row],[GN]],-12,0),0)+OFFSET(TblConstr[[#This Row],[Tot GN]],-1,0)-TblConstr[[#This Row],[Dest GN]]</f>
        <v>0</v>
      </c>
      <c r="BH74" s="487" cm="1">
        <f t="array" aca="1" ref="BH74" ca="1">IF(TblConstr[[#This Row],[Hour]:[Hour]]&gt;12,OFFSET(TblConstr[[#This Row],[Fac]],-12,0),0)+OFFSET(TblConstr[[#This Row],[Tot Fac]],-1,0)-TblConstr[[#This Row],[Dest Fac]]</f>
        <v>0</v>
      </c>
      <c r="BI74" s="487" cm="1">
        <f t="array" aca="1" ref="BI74" ca="1">IF(TblConstr[[#This Row],[Hour]:[Hour]]&gt;12,OFFSET(TblConstr[[#This Row],[GT]],-12,0),0)+OFFSET(TblConstr[[#This Row],[Tot GT]],-1,0)-TblConstr[[#This Row],[Dest GT]]</f>
        <v>0</v>
      </c>
      <c r="BJ74" s="487" cm="1">
        <f t="array" aca="1" ref="BJ74" ca="1">IF(TblConstr[[#This Row],[Hour]:[Hour]]&gt;12,OFFSET(TblConstr[[#This Row],[Bar]],-12,0),0)+OFFSET(TblConstr[[#This Row],[Tot Bar]],-1,0)-TblConstr[[#This Row],[Dest Bar]]</f>
        <v>0</v>
      </c>
      <c r="BK74" s="487" cm="1">
        <f t="array" aca="1" ref="BK74" ca="1">IF(TblConstr[[#This Row],[Hour]:[Hour]]&gt;12,OFFSET(TblConstr[[#This Row],[Shr]],-12,0),0)+OFFSET(TblConstr[[#This Row],[Tot Shr]],-1,0)-TblConstr[[#This Row],[Dest Shr]]</f>
        <v>0</v>
      </c>
      <c r="BL74" s="491" cm="1">
        <f t="array" aca="1" ref="BL74" ca="1">IF(TblConstr[[#This Row],[Hour]:[Hour]]&gt;12,OFFSET(TblConstr[[#This Row],[Tow]],-12,0),0)+OFFSET(TblConstr[[#This Row],[Tot Tow]],-1,0)-TblConstr[[#This Row],[Dest Tow]]</f>
        <v>0</v>
      </c>
      <c r="BM74" s="491" cm="1">
        <f t="array" aca="1" ref="BM74" ca="1">IF(TblConstr[[#This Row],[Hour]:[Hour]]&gt;12,OFFSET(TblConstr[[#This Row],[Tem]],-12,0),0)+OFFSET(TblConstr[[#This Row],[Tot Tem]],-1,0)-TblConstr[[#This Row],[Dest Tem]]</f>
        <v>0</v>
      </c>
      <c r="BN74" s="491"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44345.916666666497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1">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99</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11</v>
      </c>
      <c r="DI74" s="49">
        <f t="shared" ca="1" si="19"/>
        <v>0</v>
      </c>
      <c r="DJ74" s="49">
        <f t="shared" ca="1" si="20"/>
        <v>0</v>
      </c>
    </row>
    <row r="75" spans="1:114" x14ac:dyDescent="0.2">
      <c r="A75" s="228">
        <f>TblRezone[[#This Row],[Hour]]</f>
        <v>72</v>
      </c>
      <c r="B75" s="229">
        <f ca="1">SUM(TblConstr[[#This Row],[Plain]:[Water]])</f>
        <v>159</v>
      </c>
      <c r="C75" s="230">
        <f ca="1">SUM(TblConstr[[#This Row],[Tot Hom]:[Tot Doc]])</f>
        <v>91</v>
      </c>
      <c r="D75" s="230">
        <f t="shared" si="11"/>
        <v>0</v>
      </c>
      <c r="E75" s="231"/>
      <c r="F75" s="74">
        <f ca="1">TblConstr[[#This Row],[Barren]]+TblConstr[[#This Row],[Buildings]]+TblConstr[[#This Row],[Incoming]]</f>
        <v>250</v>
      </c>
      <c r="G75" s="242">
        <f ca="1">OFFSET(TblConstr[[#This Row],[Plain]],-1,0)+TblConstr[[#This Row],[Ch_Plain]]</f>
        <v>39</v>
      </c>
      <c r="H75" s="236">
        <f ca="1">OFFSET(TblConstr[[#This Row],[Forest]],-1,0)+TblConstr[[#This Row],[Ch_Forest]]</f>
        <v>20</v>
      </c>
      <c r="I75" s="481">
        <f ca="1">OFFSET(TblConstr[[#This Row],[Mountain]],-1,0)+TblConstr[[#This Row],[Ch_Mountain]]</f>
        <v>20</v>
      </c>
      <c r="J75" s="485">
        <f ca="1">OFFSET(TblConstr[[#This Row],[Hill]],-1,0)+TblConstr[[#This Row],[Ch_Hill]]</f>
        <v>20</v>
      </c>
      <c r="K75" s="489">
        <f ca="1">OFFSET(TblConstr[[#This Row],[Swamp]],-1,0)+TblConstr[[#This Row],[Ch_Swamp]]</f>
        <v>20</v>
      </c>
      <c r="L75" s="239">
        <f ca="1">OFFSET(TblConstr[[#This Row],[Cavern]],-1,0)+TblConstr[[#This Row],[Ch_Cavern]]</f>
        <v>20</v>
      </c>
      <c r="M75" s="240">
        <f ca="1">OFFSET(TblConstr[[#This Row],[Water]],-1,0)+TblConstr[[#This Row],[Ch_Water]]</f>
        <v>20</v>
      </c>
      <c r="N75" s="479">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44345.958333333161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490262</v>
      </c>
      <c r="AL75" s="113">
        <f ca="1">TblProd[[#This Row],[Lumber]]</f>
        <v>58319</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11</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3" cm="1">
        <f t="array" aca="1" ref="BF75" ca="1">IF(TblConstr[[#This Row],[Hour]:[Hour]]&gt;12,OFFSET(TblConstr[[#This Row],[OM]],-12,0),0)+OFFSET(TblConstr[[#This Row],[Tot OM]],-1,0)-TblConstr[[#This Row],[Dest OM]]</f>
        <v>0</v>
      </c>
      <c r="BG75" s="483" cm="1">
        <f t="array" aca="1" ref="BG75" ca="1">IF(TblConstr[[#This Row],[Hour]:[Hour]]&gt;12,OFFSET(TblConstr[[#This Row],[GN]],-12,0),0)+OFFSET(TblConstr[[#This Row],[Tot GN]],-1,0)-TblConstr[[#This Row],[Dest GN]]</f>
        <v>0</v>
      </c>
      <c r="BH75" s="487" cm="1">
        <f t="array" aca="1" ref="BH75" ca="1">IF(TblConstr[[#This Row],[Hour]:[Hour]]&gt;12,OFFSET(TblConstr[[#This Row],[Fac]],-12,0),0)+OFFSET(TblConstr[[#This Row],[Tot Fac]],-1,0)-TblConstr[[#This Row],[Dest Fac]]</f>
        <v>0</v>
      </c>
      <c r="BI75" s="487" cm="1">
        <f t="array" aca="1" ref="BI75" ca="1">IF(TblConstr[[#This Row],[Hour]:[Hour]]&gt;12,OFFSET(TblConstr[[#This Row],[GT]],-12,0),0)+OFFSET(TblConstr[[#This Row],[Tot GT]],-1,0)-TblConstr[[#This Row],[Dest GT]]</f>
        <v>0</v>
      </c>
      <c r="BJ75" s="487" cm="1">
        <f t="array" aca="1" ref="BJ75" ca="1">IF(TblConstr[[#This Row],[Hour]:[Hour]]&gt;12,OFFSET(TblConstr[[#This Row],[Bar]],-12,0),0)+OFFSET(TblConstr[[#This Row],[Tot Bar]],-1,0)-TblConstr[[#This Row],[Dest Bar]]</f>
        <v>0</v>
      </c>
      <c r="BK75" s="487" cm="1">
        <f t="array" aca="1" ref="BK75" ca="1">IF(TblConstr[[#This Row],[Hour]:[Hour]]&gt;12,OFFSET(TblConstr[[#This Row],[Shr]],-12,0),0)+OFFSET(TblConstr[[#This Row],[Tot Shr]],-1,0)-TblConstr[[#This Row],[Dest Shr]]</f>
        <v>0</v>
      </c>
      <c r="BL75" s="491" cm="1">
        <f t="array" aca="1" ref="BL75" ca="1">IF(TblConstr[[#This Row],[Hour]:[Hour]]&gt;12,OFFSET(TblConstr[[#This Row],[Tow]],-12,0),0)+OFFSET(TblConstr[[#This Row],[Tot Tow]],-1,0)-TblConstr[[#This Row],[Dest Tow]]</f>
        <v>0</v>
      </c>
      <c r="BM75" s="491" cm="1">
        <f t="array" aca="1" ref="BM75" ca="1">IF(TblConstr[[#This Row],[Hour]:[Hour]]&gt;12,OFFSET(TblConstr[[#This Row],[Tem]],-12,0),0)+OFFSET(TblConstr[[#This Row],[Tot Tem]],-1,0)-TblConstr[[#This Row],[Dest Tem]]</f>
        <v>0</v>
      </c>
      <c r="BN75" s="491"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44345.958333333161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1">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99</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11</v>
      </c>
      <c r="DI75" s="49">
        <f t="shared" ca="1" si="19"/>
        <v>0</v>
      </c>
      <c r="DJ75" s="49">
        <f t="shared" ca="1" si="20"/>
        <v>0</v>
      </c>
    </row>
    <row r="76" spans="1:114" x14ac:dyDescent="0.2">
      <c r="A76" s="248">
        <f>TblRezone[[#This Row],[Hour]]</f>
        <v>73</v>
      </c>
      <c r="B76" s="249">
        <f ca="1">SUM(TblConstr[[#This Row],[Plain]:[Water]])</f>
        <v>159</v>
      </c>
      <c r="C76" s="250">
        <f ca="1">SUM(TblConstr[[#This Row],[Tot Hom]:[Tot Doc]])</f>
        <v>91</v>
      </c>
      <c r="D76" s="250">
        <f t="shared" ref="D76:D131" si="21">SUM(O65:AG76)</f>
        <v>0</v>
      </c>
      <c r="E76" s="251"/>
      <c r="F76" s="252">
        <f ca="1">TblConstr[[#This Row],[Barren]]+TblConstr[[#This Row],[Buildings]]+TblConstr[[#This Row],[Incoming]]</f>
        <v>250</v>
      </c>
      <c r="G76" s="253">
        <f ca="1">OFFSET(TblConstr[[#This Row],[Plain]],-1,0)+TblConstr[[#This Row],[Ch_Plain]]</f>
        <v>39</v>
      </c>
      <c r="H76" s="254">
        <f ca="1">OFFSET(TblConstr[[#This Row],[Forest]],-1,0)+TblConstr[[#This Row],[Ch_Forest]]</f>
        <v>20</v>
      </c>
      <c r="I76" s="482">
        <f ca="1">OFFSET(TblConstr[[#This Row],[Mountain]],-1,0)+TblConstr[[#This Row],[Ch_Mountain]]</f>
        <v>20</v>
      </c>
      <c r="J76" s="486">
        <f ca="1">OFFSET(TblConstr[[#This Row],[Hill]],-1,0)+TblConstr[[#This Row],[Ch_Hill]]</f>
        <v>20</v>
      </c>
      <c r="K76" s="490">
        <f ca="1">OFFSET(TblConstr[[#This Row],[Swamp]],-1,0)+TblConstr[[#This Row],[Ch_Swamp]]</f>
        <v>20</v>
      </c>
      <c r="L76" s="257">
        <f ca="1">OFFSET(TblConstr[[#This Row],[Cavern]],-1,0)+TblConstr[[#This Row],[Ch_Cavern]]</f>
        <v>20</v>
      </c>
      <c r="M76" s="258">
        <f ca="1">OFFSET(TblConstr[[#This Row],[Water]],-1,0)+TblConstr[[#This Row],[Ch_Water]]</f>
        <v>20</v>
      </c>
      <c r="N76" s="480">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44345.999999999825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495761</v>
      </c>
      <c r="AL76" s="262">
        <f ca="1">TblProd[[#This Row],[Lumber]]</f>
        <v>58736</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11</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4" cm="1">
        <f t="array" aca="1" ref="BF76" ca="1">IF(TblConstr[[#This Row],[Hour]:[Hour]]&gt;12,OFFSET(TblConstr[[#This Row],[OM]],-12,0),0)+OFFSET(TblConstr[[#This Row],[Tot OM]],-1,0)-TblConstr[[#This Row],[Dest OM]]</f>
        <v>0</v>
      </c>
      <c r="BG76" s="483" cm="1">
        <f t="array" aca="1" ref="BG76" ca="1">IF(TblConstr[[#This Row],[Hour]:[Hour]]&gt;12,OFFSET(TblConstr[[#This Row],[GN]],-12,0),0)+OFFSET(TblConstr[[#This Row],[Tot GN]],-1,0)-TblConstr[[#This Row],[Dest GN]]</f>
        <v>0</v>
      </c>
      <c r="BH76" s="488" cm="1">
        <f t="array" aca="1" ref="BH76" ca="1">IF(TblConstr[[#This Row],[Hour]:[Hour]]&gt;12,OFFSET(TblConstr[[#This Row],[Fac]],-12,0),0)+OFFSET(TblConstr[[#This Row],[Tot Fac]],-1,0)-TblConstr[[#This Row],[Dest Fac]]</f>
        <v>0</v>
      </c>
      <c r="BI76" s="488" cm="1">
        <f t="array" aca="1" ref="BI76" ca="1">IF(TblConstr[[#This Row],[Hour]:[Hour]]&gt;12,OFFSET(TblConstr[[#This Row],[GT]],-12,0),0)+OFFSET(TblConstr[[#This Row],[Tot GT]],-1,0)-TblConstr[[#This Row],[Dest GT]]</f>
        <v>0</v>
      </c>
      <c r="BJ76" s="488" cm="1">
        <f t="array" aca="1" ref="BJ76" ca="1">IF(TblConstr[[#This Row],[Hour]:[Hour]]&gt;12,OFFSET(TblConstr[[#This Row],[Bar]],-12,0),0)+OFFSET(TblConstr[[#This Row],[Tot Bar]],-1,0)-TblConstr[[#This Row],[Dest Bar]]</f>
        <v>0</v>
      </c>
      <c r="BK76" s="488" cm="1">
        <f t="array" aca="1" ref="BK76" ca="1">IF(TblConstr[[#This Row],[Hour]:[Hour]]&gt;12,OFFSET(TblConstr[[#This Row],[Shr]],-12,0),0)+OFFSET(TblConstr[[#This Row],[Tot Shr]],-1,0)-TblConstr[[#This Row],[Dest Shr]]</f>
        <v>0</v>
      </c>
      <c r="BL76" s="492" cm="1">
        <f t="array" aca="1" ref="BL76" ca="1">IF(TblConstr[[#This Row],[Hour]:[Hour]]&gt;12,OFFSET(TblConstr[[#This Row],[Tow]],-12,0),0)+OFFSET(TblConstr[[#This Row],[Tot Tow]],-1,0)-TblConstr[[#This Row],[Dest Tow]]</f>
        <v>0</v>
      </c>
      <c r="BM76" s="492" cm="1">
        <f t="array" aca="1" ref="BM76" ca="1">IF(TblConstr[[#This Row],[Hour]:[Hour]]&gt;12,OFFSET(TblConstr[[#This Row],[Tem]],-12,0),0)+OFFSET(TblConstr[[#This Row],[Tot Tem]],-1,0)-TblConstr[[#This Row],[Dest Tem]]</f>
        <v>0</v>
      </c>
      <c r="BN76" s="492"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44345.999999999825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2">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99</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11</v>
      </c>
      <c r="DI76" s="263">
        <f t="shared" ca="1" si="19"/>
        <v>0</v>
      </c>
      <c r="DJ76" s="263">
        <f t="shared" ca="1" si="20"/>
        <v>0</v>
      </c>
    </row>
    <row r="77" spans="1:114" x14ac:dyDescent="0.2">
      <c r="A77" s="228">
        <f>TblRezone[[#This Row],[Hour]]</f>
        <v>74</v>
      </c>
      <c r="B77" s="229">
        <f ca="1">SUM(TblConstr[[#This Row],[Plain]:[Water]])</f>
        <v>159</v>
      </c>
      <c r="C77" s="230">
        <f ca="1">SUM(TblConstr[[#This Row],[Tot Hom]:[Tot Doc]])</f>
        <v>91</v>
      </c>
      <c r="D77" s="230">
        <f t="shared" si="21"/>
        <v>0</v>
      </c>
      <c r="E77" s="231"/>
      <c r="F77" s="74">
        <f ca="1">TblConstr[[#This Row],[Barren]]+TblConstr[[#This Row],[Buildings]]+TblConstr[[#This Row],[Incoming]]</f>
        <v>250</v>
      </c>
      <c r="G77" s="242">
        <f ca="1">OFFSET(TblConstr[[#This Row],[Plain]],-1,0)+TblConstr[[#This Row],[Ch_Plain]]</f>
        <v>39</v>
      </c>
      <c r="H77" s="236">
        <f ca="1">OFFSET(TblConstr[[#This Row],[Forest]],-1,0)+TblConstr[[#This Row],[Ch_Forest]]</f>
        <v>20</v>
      </c>
      <c r="I77" s="481">
        <f ca="1">OFFSET(TblConstr[[#This Row],[Mountain]],-1,0)+TblConstr[[#This Row],[Ch_Mountain]]</f>
        <v>20</v>
      </c>
      <c r="J77" s="485">
        <f ca="1">OFFSET(TblConstr[[#This Row],[Hill]],-1,0)+TblConstr[[#This Row],[Ch_Hill]]</f>
        <v>20</v>
      </c>
      <c r="K77" s="489">
        <f ca="1">OFFSET(TblConstr[[#This Row],[Swamp]],-1,0)+TblConstr[[#This Row],[Ch_Swamp]]</f>
        <v>20</v>
      </c>
      <c r="L77" s="239">
        <f ca="1">OFFSET(TblConstr[[#This Row],[Cavern]],-1,0)+TblConstr[[#This Row],[Ch_Cavern]]</f>
        <v>20</v>
      </c>
      <c r="M77" s="240">
        <f ca="1">OFFSET(TblConstr[[#This Row],[Water]],-1,0)+TblConstr[[#This Row],[Ch_Water]]</f>
        <v>20</v>
      </c>
      <c r="N77" s="479">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44346.04166666649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501260</v>
      </c>
      <c r="AL77" s="113">
        <f ca="1">TblProd[[#This Row],[Lumber]]</f>
        <v>59149</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11</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3" cm="1">
        <f t="array" aca="1" ref="BF77" ca="1">IF(TblConstr[[#This Row],[Hour]:[Hour]]&gt;12,OFFSET(TblConstr[[#This Row],[OM]],-12,0),0)+OFFSET(TblConstr[[#This Row],[Tot OM]],-1,0)-TblConstr[[#This Row],[Dest OM]]</f>
        <v>0</v>
      </c>
      <c r="BG77" s="483" cm="1">
        <f t="array" aca="1" ref="BG77" ca="1">IF(TblConstr[[#This Row],[Hour]:[Hour]]&gt;12,OFFSET(TblConstr[[#This Row],[GN]],-12,0),0)+OFFSET(TblConstr[[#This Row],[Tot GN]],-1,0)-TblConstr[[#This Row],[Dest GN]]</f>
        <v>0</v>
      </c>
      <c r="BH77" s="487" cm="1">
        <f t="array" aca="1" ref="BH77" ca="1">IF(TblConstr[[#This Row],[Hour]:[Hour]]&gt;12,OFFSET(TblConstr[[#This Row],[Fac]],-12,0),0)+OFFSET(TblConstr[[#This Row],[Tot Fac]],-1,0)-TblConstr[[#This Row],[Dest Fac]]</f>
        <v>0</v>
      </c>
      <c r="BI77" s="487" cm="1">
        <f t="array" aca="1" ref="BI77" ca="1">IF(TblConstr[[#This Row],[Hour]:[Hour]]&gt;12,OFFSET(TblConstr[[#This Row],[GT]],-12,0),0)+OFFSET(TblConstr[[#This Row],[Tot GT]],-1,0)-TblConstr[[#This Row],[Dest GT]]</f>
        <v>0</v>
      </c>
      <c r="BJ77" s="487" cm="1">
        <f t="array" aca="1" ref="BJ77" ca="1">IF(TblConstr[[#This Row],[Hour]:[Hour]]&gt;12,OFFSET(TblConstr[[#This Row],[Bar]],-12,0),0)+OFFSET(TblConstr[[#This Row],[Tot Bar]],-1,0)-TblConstr[[#This Row],[Dest Bar]]</f>
        <v>0</v>
      </c>
      <c r="BK77" s="487" cm="1">
        <f t="array" aca="1" ref="BK77" ca="1">IF(TblConstr[[#This Row],[Hour]:[Hour]]&gt;12,OFFSET(TblConstr[[#This Row],[Shr]],-12,0),0)+OFFSET(TblConstr[[#This Row],[Tot Shr]],-1,0)-TblConstr[[#This Row],[Dest Shr]]</f>
        <v>0</v>
      </c>
      <c r="BL77" s="491" cm="1">
        <f t="array" aca="1" ref="BL77" ca="1">IF(TblConstr[[#This Row],[Hour]:[Hour]]&gt;12,OFFSET(TblConstr[[#This Row],[Tow]],-12,0),0)+OFFSET(TblConstr[[#This Row],[Tot Tow]],-1,0)-TblConstr[[#This Row],[Dest Tow]]</f>
        <v>0</v>
      </c>
      <c r="BM77" s="491" cm="1">
        <f t="array" aca="1" ref="BM77" ca="1">IF(TblConstr[[#This Row],[Hour]:[Hour]]&gt;12,OFFSET(TblConstr[[#This Row],[Tem]],-12,0),0)+OFFSET(TblConstr[[#This Row],[Tot Tem]],-1,0)-TblConstr[[#This Row],[Dest Tem]]</f>
        <v>0</v>
      </c>
      <c r="BN77" s="491"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44346.04166666649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1">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99</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11</v>
      </c>
      <c r="DI77" s="113">
        <f t="shared" ca="1" si="19"/>
        <v>0</v>
      </c>
      <c r="DJ77" s="49">
        <f t="shared" ca="1" si="20"/>
        <v>0</v>
      </c>
    </row>
    <row r="78" spans="1:114" x14ac:dyDescent="0.2">
      <c r="A78" s="228">
        <f>TblRezone[[#This Row],[Hour]]</f>
        <v>75</v>
      </c>
      <c r="B78" s="229">
        <f ca="1">SUM(TblConstr[[#This Row],[Plain]:[Water]])</f>
        <v>159</v>
      </c>
      <c r="C78" s="230">
        <f ca="1">SUM(TblConstr[[#This Row],[Tot Hom]:[Tot Doc]])</f>
        <v>91</v>
      </c>
      <c r="D78" s="230">
        <f t="shared" si="21"/>
        <v>0</v>
      </c>
      <c r="E78" s="231"/>
      <c r="F78" s="74">
        <f ca="1">TblConstr[[#This Row],[Barren]]+TblConstr[[#This Row],[Buildings]]+TblConstr[[#This Row],[Incoming]]</f>
        <v>250</v>
      </c>
      <c r="G78" s="242">
        <f ca="1">OFFSET(TblConstr[[#This Row],[Plain]],-1,0)+TblConstr[[#This Row],[Ch_Plain]]</f>
        <v>39</v>
      </c>
      <c r="H78" s="236">
        <f ca="1">OFFSET(TblConstr[[#This Row],[Forest]],-1,0)+TblConstr[[#This Row],[Ch_Forest]]</f>
        <v>20</v>
      </c>
      <c r="I78" s="481">
        <f ca="1">OFFSET(TblConstr[[#This Row],[Mountain]],-1,0)+TblConstr[[#This Row],[Ch_Mountain]]</f>
        <v>20</v>
      </c>
      <c r="J78" s="485">
        <f ca="1">OFFSET(TblConstr[[#This Row],[Hill]],-1,0)+TblConstr[[#This Row],[Ch_Hill]]</f>
        <v>20</v>
      </c>
      <c r="K78" s="489">
        <f ca="1">OFFSET(TblConstr[[#This Row],[Swamp]],-1,0)+TblConstr[[#This Row],[Ch_Swamp]]</f>
        <v>20</v>
      </c>
      <c r="L78" s="239">
        <f ca="1">OFFSET(TblConstr[[#This Row],[Cavern]],-1,0)+TblConstr[[#This Row],[Ch_Cavern]]</f>
        <v>20</v>
      </c>
      <c r="M78" s="240">
        <f ca="1">OFFSET(TblConstr[[#This Row],[Water]],-1,0)+TblConstr[[#This Row],[Ch_Water]]</f>
        <v>20</v>
      </c>
      <c r="N78" s="479">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44346.083333333154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506759</v>
      </c>
      <c r="AL78" s="113">
        <f ca="1">TblProd[[#This Row],[Lumber]]</f>
        <v>59558</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11</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3" cm="1">
        <f t="array" aca="1" ref="BF78" ca="1">IF(TblConstr[[#This Row],[Hour]:[Hour]]&gt;12,OFFSET(TblConstr[[#This Row],[OM]],-12,0),0)+OFFSET(TblConstr[[#This Row],[Tot OM]],-1,0)-TblConstr[[#This Row],[Dest OM]]</f>
        <v>0</v>
      </c>
      <c r="BG78" s="483" cm="1">
        <f t="array" aca="1" ref="BG78" ca="1">IF(TblConstr[[#This Row],[Hour]:[Hour]]&gt;12,OFFSET(TblConstr[[#This Row],[GN]],-12,0),0)+OFFSET(TblConstr[[#This Row],[Tot GN]],-1,0)-TblConstr[[#This Row],[Dest GN]]</f>
        <v>0</v>
      </c>
      <c r="BH78" s="487" cm="1">
        <f t="array" aca="1" ref="BH78" ca="1">IF(TblConstr[[#This Row],[Hour]:[Hour]]&gt;12,OFFSET(TblConstr[[#This Row],[Fac]],-12,0),0)+OFFSET(TblConstr[[#This Row],[Tot Fac]],-1,0)-TblConstr[[#This Row],[Dest Fac]]</f>
        <v>0</v>
      </c>
      <c r="BI78" s="487" cm="1">
        <f t="array" aca="1" ref="BI78" ca="1">IF(TblConstr[[#This Row],[Hour]:[Hour]]&gt;12,OFFSET(TblConstr[[#This Row],[GT]],-12,0),0)+OFFSET(TblConstr[[#This Row],[Tot GT]],-1,0)-TblConstr[[#This Row],[Dest GT]]</f>
        <v>0</v>
      </c>
      <c r="BJ78" s="487" cm="1">
        <f t="array" aca="1" ref="BJ78" ca="1">IF(TblConstr[[#This Row],[Hour]:[Hour]]&gt;12,OFFSET(TblConstr[[#This Row],[Bar]],-12,0),0)+OFFSET(TblConstr[[#This Row],[Tot Bar]],-1,0)-TblConstr[[#This Row],[Dest Bar]]</f>
        <v>0</v>
      </c>
      <c r="BK78" s="487" cm="1">
        <f t="array" aca="1" ref="BK78" ca="1">IF(TblConstr[[#This Row],[Hour]:[Hour]]&gt;12,OFFSET(TblConstr[[#This Row],[Shr]],-12,0),0)+OFFSET(TblConstr[[#This Row],[Tot Shr]],-1,0)-TblConstr[[#This Row],[Dest Shr]]</f>
        <v>0</v>
      </c>
      <c r="BL78" s="491" cm="1">
        <f t="array" aca="1" ref="BL78" ca="1">IF(TblConstr[[#This Row],[Hour]:[Hour]]&gt;12,OFFSET(TblConstr[[#This Row],[Tow]],-12,0),0)+OFFSET(TblConstr[[#This Row],[Tot Tow]],-1,0)-TblConstr[[#This Row],[Dest Tow]]</f>
        <v>0</v>
      </c>
      <c r="BM78" s="491" cm="1">
        <f t="array" aca="1" ref="BM78" ca="1">IF(TblConstr[[#This Row],[Hour]:[Hour]]&gt;12,OFFSET(TblConstr[[#This Row],[Tem]],-12,0),0)+OFFSET(TblConstr[[#This Row],[Tot Tem]],-1,0)-TblConstr[[#This Row],[Dest Tem]]</f>
        <v>0</v>
      </c>
      <c r="BN78" s="491"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44346.083333333154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1">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99</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11</v>
      </c>
      <c r="DI78" s="49">
        <f t="shared" ca="1" si="19"/>
        <v>0</v>
      </c>
      <c r="DJ78" s="49">
        <f t="shared" ca="1" si="20"/>
        <v>0</v>
      </c>
    </row>
    <row r="79" spans="1:114" x14ac:dyDescent="0.2">
      <c r="A79" s="228">
        <f>TblRezone[[#This Row],[Hour]]</f>
        <v>76</v>
      </c>
      <c r="B79" s="229">
        <f ca="1">SUM(TblConstr[[#This Row],[Plain]:[Water]])</f>
        <v>159</v>
      </c>
      <c r="C79" s="230">
        <f ca="1">SUM(TblConstr[[#This Row],[Tot Hom]:[Tot Doc]])</f>
        <v>91</v>
      </c>
      <c r="D79" s="230">
        <f t="shared" si="21"/>
        <v>0</v>
      </c>
      <c r="E79" s="231"/>
      <c r="F79" s="74">
        <f ca="1">TblConstr[[#This Row],[Barren]]+TblConstr[[#This Row],[Buildings]]+TblConstr[[#This Row],[Incoming]]</f>
        <v>250</v>
      </c>
      <c r="G79" s="242">
        <f ca="1">OFFSET(TblConstr[[#This Row],[Plain]],-1,0)+TblConstr[[#This Row],[Ch_Plain]]</f>
        <v>39</v>
      </c>
      <c r="H79" s="236">
        <f ca="1">OFFSET(TblConstr[[#This Row],[Forest]],-1,0)+TblConstr[[#This Row],[Ch_Forest]]</f>
        <v>20</v>
      </c>
      <c r="I79" s="481">
        <f ca="1">OFFSET(TblConstr[[#This Row],[Mountain]],-1,0)+TblConstr[[#This Row],[Ch_Mountain]]</f>
        <v>20</v>
      </c>
      <c r="J79" s="485">
        <f ca="1">OFFSET(TblConstr[[#This Row],[Hill]],-1,0)+TblConstr[[#This Row],[Ch_Hill]]</f>
        <v>20</v>
      </c>
      <c r="K79" s="489">
        <f ca="1">OFFSET(TblConstr[[#This Row],[Swamp]],-1,0)+TblConstr[[#This Row],[Ch_Swamp]]</f>
        <v>20</v>
      </c>
      <c r="L79" s="239">
        <f ca="1">OFFSET(TblConstr[[#This Row],[Cavern]],-1,0)+TblConstr[[#This Row],[Ch_Cavern]]</f>
        <v>20</v>
      </c>
      <c r="M79" s="240">
        <f ca="1">OFFSET(TblConstr[[#This Row],[Water]],-1,0)+TblConstr[[#This Row],[Ch_Water]]</f>
        <v>20</v>
      </c>
      <c r="N79" s="479">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44346.124999999818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512258</v>
      </c>
      <c r="AL79" s="113">
        <f ca="1">TblProd[[#This Row],[Lumber]]</f>
        <v>59962</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11</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3" cm="1">
        <f t="array" aca="1" ref="BF79" ca="1">IF(TblConstr[[#This Row],[Hour]:[Hour]]&gt;12,OFFSET(TblConstr[[#This Row],[OM]],-12,0),0)+OFFSET(TblConstr[[#This Row],[Tot OM]],-1,0)-TblConstr[[#This Row],[Dest OM]]</f>
        <v>0</v>
      </c>
      <c r="BG79" s="483" cm="1">
        <f t="array" aca="1" ref="BG79" ca="1">IF(TblConstr[[#This Row],[Hour]:[Hour]]&gt;12,OFFSET(TblConstr[[#This Row],[GN]],-12,0),0)+OFFSET(TblConstr[[#This Row],[Tot GN]],-1,0)-TblConstr[[#This Row],[Dest GN]]</f>
        <v>0</v>
      </c>
      <c r="BH79" s="487" cm="1">
        <f t="array" aca="1" ref="BH79" ca="1">IF(TblConstr[[#This Row],[Hour]:[Hour]]&gt;12,OFFSET(TblConstr[[#This Row],[Fac]],-12,0),0)+OFFSET(TblConstr[[#This Row],[Tot Fac]],-1,0)-TblConstr[[#This Row],[Dest Fac]]</f>
        <v>0</v>
      </c>
      <c r="BI79" s="487" cm="1">
        <f t="array" aca="1" ref="BI79" ca="1">IF(TblConstr[[#This Row],[Hour]:[Hour]]&gt;12,OFFSET(TblConstr[[#This Row],[GT]],-12,0),0)+OFFSET(TblConstr[[#This Row],[Tot GT]],-1,0)-TblConstr[[#This Row],[Dest GT]]</f>
        <v>0</v>
      </c>
      <c r="BJ79" s="487" cm="1">
        <f t="array" aca="1" ref="BJ79" ca="1">IF(TblConstr[[#This Row],[Hour]:[Hour]]&gt;12,OFFSET(TblConstr[[#This Row],[Bar]],-12,0),0)+OFFSET(TblConstr[[#This Row],[Tot Bar]],-1,0)-TblConstr[[#This Row],[Dest Bar]]</f>
        <v>0</v>
      </c>
      <c r="BK79" s="487" cm="1">
        <f t="array" aca="1" ref="BK79" ca="1">IF(TblConstr[[#This Row],[Hour]:[Hour]]&gt;12,OFFSET(TblConstr[[#This Row],[Shr]],-12,0),0)+OFFSET(TblConstr[[#This Row],[Tot Shr]],-1,0)-TblConstr[[#This Row],[Dest Shr]]</f>
        <v>0</v>
      </c>
      <c r="BL79" s="491" cm="1">
        <f t="array" aca="1" ref="BL79" ca="1">IF(TblConstr[[#This Row],[Hour]:[Hour]]&gt;12,OFFSET(TblConstr[[#This Row],[Tow]],-12,0),0)+OFFSET(TblConstr[[#This Row],[Tot Tow]],-1,0)-TblConstr[[#This Row],[Dest Tow]]</f>
        <v>0</v>
      </c>
      <c r="BM79" s="491" cm="1">
        <f t="array" aca="1" ref="BM79" ca="1">IF(TblConstr[[#This Row],[Hour]:[Hour]]&gt;12,OFFSET(TblConstr[[#This Row],[Tem]],-12,0),0)+OFFSET(TblConstr[[#This Row],[Tot Tem]],-1,0)-TblConstr[[#This Row],[Dest Tem]]</f>
        <v>0</v>
      </c>
      <c r="BN79" s="491"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44346.124999999818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1">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99</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11</v>
      </c>
      <c r="DI79" s="49">
        <f t="shared" ca="1" si="19"/>
        <v>0</v>
      </c>
      <c r="DJ79" s="49">
        <f t="shared" ca="1" si="20"/>
        <v>0</v>
      </c>
    </row>
    <row r="80" spans="1:114" x14ac:dyDescent="0.2">
      <c r="A80" s="228">
        <f>TblRezone[[#This Row],[Hour]]</f>
        <v>77</v>
      </c>
      <c r="B80" s="229">
        <f ca="1">SUM(TblConstr[[#This Row],[Plain]:[Water]])</f>
        <v>159</v>
      </c>
      <c r="C80" s="230">
        <f ca="1">SUM(TblConstr[[#This Row],[Tot Hom]:[Tot Doc]])</f>
        <v>91</v>
      </c>
      <c r="D80" s="230">
        <f t="shared" si="21"/>
        <v>0</v>
      </c>
      <c r="E80" s="231"/>
      <c r="F80" s="74">
        <f ca="1">TblConstr[[#This Row],[Barren]]+TblConstr[[#This Row],[Buildings]]+TblConstr[[#This Row],[Incoming]]</f>
        <v>250</v>
      </c>
      <c r="G80" s="242">
        <f ca="1">OFFSET(TblConstr[[#This Row],[Plain]],-1,0)+TblConstr[[#This Row],[Ch_Plain]]</f>
        <v>39</v>
      </c>
      <c r="H80" s="236">
        <f ca="1">OFFSET(TblConstr[[#This Row],[Forest]],-1,0)+TblConstr[[#This Row],[Ch_Forest]]</f>
        <v>20</v>
      </c>
      <c r="I80" s="481">
        <f ca="1">OFFSET(TblConstr[[#This Row],[Mountain]],-1,0)+TblConstr[[#This Row],[Ch_Mountain]]</f>
        <v>20</v>
      </c>
      <c r="J80" s="485">
        <f ca="1">OFFSET(TblConstr[[#This Row],[Hill]],-1,0)+TblConstr[[#This Row],[Ch_Hill]]</f>
        <v>20</v>
      </c>
      <c r="K80" s="489">
        <f ca="1">OFFSET(TblConstr[[#This Row],[Swamp]],-1,0)+TblConstr[[#This Row],[Ch_Swamp]]</f>
        <v>20</v>
      </c>
      <c r="L80" s="239">
        <f ca="1">OFFSET(TblConstr[[#This Row],[Cavern]],-1,0)+TblConstr[[#This Row],[Ch_Cavern]]</f>
        <v>20</v>
      </c>
      <c r="M80" s="240">
        <f ca="1">OFFSET(TblConstr[[#This Row],[Water]],-1,0)+TblConstr[[#This Row],[Ch_Water]]</f>
        <v>20</v>
      </c>
      <c r="N80" s="479">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44346.166666666482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517757</v>
      </c>
      <c r="AL80" s="113">
        <f ca="1">TblProd[[#This Row],[Lumber]]</f>
        <v>60362</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11</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3" cm="1">
        <f t="array" aca="1" ref="BF80" ca="1">IF(TblConstr[[#This Row],[Hour]:[Hour]]&gt;12,OFFSET(TblConstr[[#This Row],[OM]],-12,0),0)+OFFSET(TblConstr[[#This Row],[Tot OM]],-1,0)-TblConstr[[#This Row],[Dest OM]]</f>
        <v>0</v>
      </c>
      <c r="BG80" s="483" cm="1">
        <f t="array" aca="1" ref="BG80" ca="1">IF(TblConstr[[#This Row],[Hour]:[Hour]]&gt;12,OFFSET(TblConstr[[#This Row],[GN]],-12,0),0)+OFFSET(TblConstr[[#This Row],[Tot GN]],-1,0)-TblConstr[[#This Row],[Dest GN]]</f>
        <v>0</v>
      </c>
      <c r="BH80" s="487" cm="1">
        <f t="array" aca="1" ref="BH80" ca="1">IF(TblConstr[[#This Row],[Hour]:[Hour]]&gt;12,OFFSET(TblConstr[[#This Row],[Fac]],-12,0),0)+OFFSET(TblConstr[[#This Row],[Tot Fac]],-1,0)-TblConstr[[#This Row],[Dest Fac]]</f>
        <v>0</v>
      </c>
      <c r="BI80" s="487" cm="1">
        <f t="array" aca="1" ref="BI80" ca="1">IF(TblConstr[[#This Row],[Hour]:[Hour]]&gt;12,OFFSET(TblConstr[[#This Row],[GT]],-12,0),0)+OFFSET(TblConstr[[#This Row],[Tot GT]],-1,0)-TblConstr[[#This Row],[Dest GT]]</f>
        <v>0</v>
      </c>
      <c r="BJ80" s="487" cm="1">
        <f t="array" aca="1" ref="BJ80" ca="1">IF(TblConstr[[#This Row],[Hour]:[Hour]]&gt;12,OFFSET(TblConstr[[#This Row],[Bar]],-12,0),0)+OFFSET(TblConstr[[#This Row],[Tot Bar]],-1,0)-TblConstr[[#This Row],[Dest Bar]]</f>
        <v>0</v>
      </c>
      <c r="BK80" s="487" cm="1">
        <f t="array" aca="1" ref="BK80" ca="1">IF(TblConstr[[#This Row],[Hour]:[Hour]]&gt;12,OFFSET(TblConstr[[#This Row],[Shr]],-12,0),0)+OFFSET(TblConstr[[#This Row],[Tot Shr]],-1,0)-TblConstr[[#This Row],[Dest Shr]]</f>
        <v>0</v>
      </c>
      <c r="BL80" s="491" cm="1">
        <f t="array" aca="1" ref="BL80" ca="1">IF(TblConstr[[#This Row],[Hour]:[Hour]]&gt;12,OFFSET(TblConstr[[#This Row],[Tow]],-12,0),0)+OFFSET(TblConstr[[#This Row],[Tot Tow]],-1,0)-TblConstr[[#This Row],[Dest Tow]]</f>
        <v>0</v>
      </c>
      <c r="BM80" s="491" cm="1">
        <f t="array" aca="1" ref="BM80" ca="1">IF(TblConstr[[#This Row],[Hour]:[Hour]]&gt;12,OFFSET(TblConstr[[#This Row],[Tem]],-12,0),0)+OFFSET(TblConstr[[#This Row],[Tot Tem]],-1,0)-TblConstr[[#This Row],[Dest Tem]]</f>
        <v>0</v>
      </c>
      <c r="BN80" s="491"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44346.166666666482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1">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99</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11</v>
      </c>
      <c r="DI80" s="49">
        <f t="shared" ca="1" si="19"/>
        <v>0</v>
      </c>
      <c r="DJ80" s="49">
        <f t="shared" ca="1" si="20"/>
        <v>0</v>
      </c>
    </row>
    <row r="81" spans="1:114" x14ac:dyDescent="0.2">
      <c r="A81" s="228">
        <f>TblRezone[[#This Row],[Hour]]</f>
        <v>78</v>
      </c>
      <c r="B81" s="229">
        <f ca="1">SUM(TblConstr[[#This Row],[Plain]:[Water]])</f>
        <v>159</v>
      </c>
      <c r="C81" s="230">
        <f ca="1">SUM(TblConstr[[#This Row],[Tot Hom]:[Tot Doc]])</f>
        <v>91</v>
      </c>
      <c r="D81" s="230">
        <f t="shared" si="21"/>
        <v>0</v>
      </c>
      <c r="E81" s="231"/>
      <c r="F81" s="74">
        <f ca="1">TblConstr[[#This Row],[Barren]]+TblConstr[[#This Row],[Buildings]]+TblConstr[[#This Row],[Incoming]]</f>
        <v>250</v>
      </c>
      <c r="G81" s="242">
        <f ca="1">OFFSET(TblConstr[[#This Row],[Plain]],-1,0)+TblConstr[[#This Row],[Ch_Plain]]</f>
        <v>39</v>
      </c>
      <c r="H81" s="236">
        <f ca="1">OFFSET(TblConstr[[#This Row],[Forest]],-1,0)+TblConstr[[#This Row],[Ch_Forest]]</f>
        <v>20</v>
      </c>
      <c r="I81" s="481">
        <f ca="1">OFFSET(TblConstr[[#This Row],[Mountain]],-1,0)+TblConstr[[#This Row],[Ch_Mountain]]</f>
        <v>20</v>
      </c>
      <c r="J81" s="485">
        <f ca="1">OFFSET(TblConstr[[#This Row],[Hill]],-1,0)+TblConstr[[#This Row],[Ch_Hill]]</f>
        <v>20</v>
      </c>
      <c r="K81" s="489">
        <f ca="1">OFFSET(TblConstr[[#This Row],[Swamp]],-1,0)+TblConstr[[#This Row],[Ch_Swamp]]</f>
        <v>20</v>
      </c>
      <c r="L81" s="239">
        <f ca="1">OFFSET(TblConstr[[#This Row],[Cavern]],-1,0)+TblConstr[[#This Row],[Ch_Cavern]]</f>
        <v>20</v>
      </c>
      <c r="M81" s="240">
        <f ca="1">OFFSET(TblConstr[[#This Row],[Water]],-1,0)+TblConstr[[#This Row],[Ch_Water]]</f>
        <v>20</v>
      </c>
      <c r="N81" s="479">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44346.208333333147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523256</v>
      </c>
      <c r="AL81" s="113">
        <f ca="1">TblProd[[#This Row],[Lumber]]</f>
        <v>60758</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11</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3" cm="1">
        <f t="array" aca="1" ref="BF81" ca="1">IF(TblConstr[[#This Row],[Hour]:[Hour]]&gt;12,OFFSET(TblConstr[[#This Row],[OM]],-12,0),0)+OFFSET(TblConstr[[#This Row],[Tot OM]],-1,0)-TblConstr[[#This Row],[Dest OM]]</f>
        <v>0</v>
      </c>
      <c r="BG81" s="483" cm="1">
        <f t="array" aca="1" ref="BG81" ca="1">IF(TblConstr[[#This Row],[Hour]:[Hour]]&gt;12,OFFSET(TblConstr[[#This Row],[GN]],-12,0),0)+OFFSET(TblConstr[[#This Row],[Tot GN]],-1,0)-TblConstr[[#This Row],[Dest GN]]</f>
        <v>0</v>
      </c>
      <c r="BH81" s="487" cm="1">
        <f t="array" aca="1" ref="BH81" ca="1">IF(TblConstr[[#This Row],[Hour]:[Hour]]&gt;12,OFFSET(TblConstr[[#This Row],[Fac]],-12,0),0)+OFFSET(TblConstr[[#This Row],[Tot Fac]],-1,0)-TblConstr[[#This Row],[Dest Fac]]</f>
        <v>0</v>
      </c>
      <c r="BI81" s="487" cm="1">
        <f t="array" aca="1" ref="BI81" ca="1">IF(TblConstr[[#This Row],[Hour]:[Hour]]&gt;12,OFFSET(TblConstr[[#This Row],[GT]],-12,0),0)+OFFSET(TblConstr[[#This Row],[Tot GT]],-1,0)-TblConstr[[#This Row],[Dest GT]]</f>
        <v>0</v>
      </c>
      <c r="BJ81" s="487" cm="1">
        <f t="array" aca="1" ref="BJ81" ca="1">IF(TblConstr[[#This Row],[Hour]:[Hour]]&gt;12,OFFSET(TblConstr[[#This Row],[Bar]],-12,0),0)+OFFSET(TblConstr[[#This Row],[Tot Bar]],-1,0)-TblConstr[[#This Row],[Dest Bar]]</f>
        <v>0</v>
      </c>
      <c r="BK81" s="487" cm="1">
        <f t="array" aca="1" ref="BK81" ca="1">IF(TblConstr[[#This Row],[Hour]:[Hour]]&gt;12,OFFSET(TblConstr[[#This Row],[Shr]],-12,0),0)+OFFSET(TblConstr[[#This Row],[Tot Shr]],-1,0)-TblConstr[[#This Row],[Dest Shr]]</f>
        <v>0</v>
      </c>
      <c r="BL81" s="491" cm="1">
        <f t="array" aca="1" ref="BL81" ca="1">IF(TblConstr[[#This Row],[Hour]:[Hour]]&gt;12,OFFSET(TblConstr[[#This Row],[Tow]],-12,0),0)+OFFSET(TblConstr[[#This Row],[Tot Tow]],-1,0)-TblConstr[[#This Row],[Dest Tow]]</f>
        <v>0</v>
      </c>
      <c r="BM81" s="491" cm="1">
        <f t="array" aca="1" ref="BM81" ca="1">IF(TblConstr[[#This Row],[Hour]:[Hour]]&gt;12,OFFSET(TblConstr[[#This Row],[Tem]],-12,0),0)+OFFSET(TblConstr[[#This Row],[Tot Tem]],-1,0)-TblConstr[[#This Row],[Dest Tem]]</f>
        <v>0</v>
      </c>
      <c r="BN81" s="491"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44346.208333333147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1">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99</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11</v>
      </c>
      <c r="DI81" s="49">
        <f t="shared" ca="1" si="19"/>
        <v>0</v>
      </c>
      <c r="DJ81" s="49">
        <f t="shared" ca="1" si="20"/>
        <v>0</v>
      </c>
    </row>
    <row r="82" spans="1:114" x14ac:dyDescent="0.2">
      <c r="A82" s="228">
        <f>TblRezone[[#This Row],[Hour]]</f>
        <v>79</v>
      </c>
      <c r="B82" s="229">
        <f ca="1">SUM(TblConstr[[#This Row],[Plain]:[Water]])</f>
        <v>159</v>
      </c>
      <c r="C82" s="230">
        <f ca="1">SUM(TblConstr[[#This Row],[Tot Hom]:[Tot Doc]])</f>
        <v>91</v>
      </c>
      <c r="D82" s="230">
        <f t="shared" si="21"/>
        <v>0</v>
      </c>
      <c r="E82" s="231"/>
      <c r="F82" s="74">
        <f ca="1">TblConstr[[#This Row],[Barren]]+TblConstr[[#This Row],[Buildings]]+TblConstr[[#This Row],[Incoming]]</f>
        <v>250</v>
      </c>
      <c r="G82" s="242">
        <f ca="1">OFFSET(TblConstr[[#This Row],[Plain]],-1,0)+TblConstr[[#This Row],[Ch_Plain]]</f>
        <v>39</v>
      </c>
      <c r="H82" s="236">
        <f ca="1">OFFSET(TblConstr[[#This Row],[Forest]],-1,0)+TblConstr[[#This Row],[Ch_Forest]]</f>
        <v>20</v>
      </c>
      <c r="I82" s="481">
        <f ca="1">OFFSET(TblConstr[[#This Row],[Mountain]],-1,0)+TblConstr[[#This Row],[Ch_Mountain]]</f>
        <v>20</v>
      </c>
      <c r="J82" s="485">
        <f ca="1">OFFSET(TblConstr[[#This Row],[Hill]],-1,0)+TblConstr[[#This Row],[Ch_Hill]]</f>
        <v>20</v>
      </c>
      <c r="K82" s="489">
        <f ca="1">OFFSET(TblConstr[[#This Row],[Swamp]],-1,0)+TblConstr[[#This Row],[Ch_Swamp]]</f>
        <v>20</v>
      </c>
      <c r="L82" s="239">
        <f ca="1">OFFSET(TblConstr[[#This Row],[Cavern]],-1,0)+TblConstr[[#This Row],[Ch_Cavern]]</f>
        <v>20</v>
      </c>
      <c r="M82" s="240">
        <f ca="1">OFFSET(TblConstr[[#This Row],[Water]],-1,0)+TblConstr[[#This Row],[Ch_Water]]</f>
        <v>20</v>
      </c>
      <c r="N82" s="479">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44346.249999999811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528755</v>
      </c>
      <c r="AL82" s="113">
        <f ca="1">TblProd[[#This Row],[Lumber]]</f>
        <v>61150</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11</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3" cm="1">
        <f t="array" aca="1" ref="BF82" ca="1">IF(TblConstr[[#This Row],[Hour]:[Hour]]&gt;12,OFFSET(TblConstr[[#This Row],[OM]],-12,0),0)+OFFSET(TblConstr[[#This Row],[Tot OM]],-1,0)-TblConstr[[#This Row],[Dest OM]]</f>
        <v>0</v>
      </c>
      <c r="BG82" s="483" cm="1">
        <f t="array" aca="1" ref="BG82" ca="1">IF(TblConstr[[#This Row],[Hour]:[Hour]]&gt;12,OFFSET(TblConstr[[#This Row],[GN]],-12,0),0)+OFFSET(TblConstr[[#This Row],[Tot GN]],-1,0)-TblConstr[[#This Row],[Dest GN]]</f>
        <v>0</v>
      </c>
      <c r="BH82" s="487" cm="1">
        <f t="array" aca="1" ref="BH82" ca="1">IF(TblConstr[[#This Row],[Hour]:[Hour]]&gt;12,OFFSET(TblConstr[[#This Row],[Fac]],-12,0),0)+OFFSET(TblConstr[[#This Row],[Tot Fac]],-1,0)-TblConstr[[#This Row],[Dest Fac]]</f>
        <v>0</v>
      </c>
      <c r="BI82" s="487" cm="1">
        <f t="array" aca="1" ref="BI82" ca="1">IF(TblConstr[[#This Row],[Hour]:[Hour]]&gt;12,OFFSET(TblConstr[[#This Row],[GT]],-12,0),0)+OFFSET(TblConstr[[#This Row],[Tot GT]],-1,0)-TblConstr[[#This Row],[Dest GT]]</f>
        <v>0</v>
      </c>
      <c r="BJ82" s="487" cm="1">
        <f t="array" aca="1" ref="BJ82" ca="1">IF(TblConstr[[#This Row],[Hour]:[Hour]]&gt;12,OFFSET(TblConstr[[#This Row],[Bar]],-12,0),0)+OFFSET(TblConstr[[#This Row],[Tot Bar]],-1,0)-TblConstr[[#This Row],[Dest Bar]]</f>
        <v>0</v>
      </c>
      <c r="BK82" s="487" cm="1">
        <f t="array" aca="1" ref="BK82" ca="1">IF(TblConstr[[#This Row],[Hour]:[Hour]]&gt;12,OFFSET(TblConstr[[#This Row],[Shr]],-12,0),0)+OFFSET(TblConstr[[#This Row],[Tot Shr]],-1,0)-TblConstr[[#This Row],[Dest Shr]]</f>
        <v>0</v>
      </c>
      <c r="BL82" s="491" cm="1">
        <f t="array" aca="1" ref="BL82" ca="1">IF(TblConstr[[#This Row],[Hour]:[Hour]]&gt;12,OFFSET(TblConstr[[#This Row],[Tow]],-12,0),0)+OFFSET(TblConstr[[#This Row],[Tot Tow]],-1,0)-TblConstr[[#This Row],[Dest Tow]]</f>
        <v>0</v>
      </c>
      <c r="BM82" s="491" cm="1">
        <f t="array" aca="1" ref="BM82" ca="1">IF(TblConstr[[#This Row],[Hour]:[Hour]]&gt;12,OFFSET(TblConstr[[#This Row],[Tem]],-12,0),0)+OFFSET(TblConstr[[#This Row],[Tot Tem]],-1,0)-TblConstr[[#This Row],[Dest Tem]]</f>
        <v>0</v>
      </c>
      <c r="BN82" s="491"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44346.249999999811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1">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99</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11</v>
      </c>
      <c r="DI82" s="49">
        <f t="shared" ca="1" si="19"/>
        <v>0</v>
      </c>
      <c r="DJ82" s="49">
        <f t="shared" ca="1" si="20"/>
        <v>0</v>
      </c>
    </row>
    <row r="83" spans="1:114" x14ac:dyDescent="0.2">
      <c r="A83" s="228">
        <f>TblRezone[[#This Row],[Hour]]</f>
        <v>80</v>
      </c>
      <c r="B83" s="229">
        <f ca="1">SUM(TblConstr[[#This Row],[Plain]:[Water]])</f>
        <v>159</v>
      </c>
      <c r="C83" s="230">
        <f ca="1">SUM(TblConstr[[#This Row],[Tot Hom]:[Tot Doc]])</f>
        <v>91</v>
      </c>
      <c r="D83" s="230">
        <f t="shared" si="21"/>
        <v>0</v>
      </c>
      <c r="E83" s="231"/>
      <c r="F83" s="74">
        <f ca="1">TblConstr[[#This Row],[Barren]]+TblConstr[[#This Row],[Buildings]]+TblConstr[[#This Row],[Incoming]]</f>
        <v>250</v>
      </c>
      <c r="G83" s="242">
        <f ca="1">OFFSET(TblConstr[[#This Row],[Plain]],-1,0)+TblConstr[[#This Row],[Ch_Plain]]</f>
        <v>39</v>
      </c>
      <c r="H83" s="236">
        <f ca="1">OFFSET(TblConstr[[#This Row],[Forest]],-1,0)+TblConstr[[#This Row],[Ch_Forest]]</f>
        <v>20</v>
      </c>
      <c r="I83" s="481">
        <f ca="1">OFFSET(TblConstr[[#This Row],[Mountain]],-1,0)+TblConstr[[#This Row],[Ch_Mountain]]</f>
        <v>20</v>
      </c>
      <c r="J83" s="485">
        <f ca="1">OFFSET(TblConstr[[#This Row],[Hill]],-1,0)+TblConstr[[#This Row],[Ch_Hill]]</f>
        <v>20</v>
      </c>
      <c r="K83" s="489">
        <f ca="1">OFFSET(TblConstr[[#This Row],[Swamp]],-1,0)+TblConstr[[#This Row],[Ch_Swamp]]</f>
        <v>20</v>
      </c>
      <c r="L83" s="239">
        <f ca="1">OFFSET(TblConstr[[#This Row],[Cavern]],-1,0)+TblConstr[[#This Row],[Ch_Cavern]]</f>
        <v>20</v>
      </c>
      <c r="M83" s="240">
        <f ca="1">OFFSET(TblConstr[[#This Row],[Water]],-1,0)+TblConstr[[#This Row],[Ch_Water]]</f>
        <v>20</v>
      </c>
      <c r="N83" s="479">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44346.291666666475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534254</v>
      </c>
      <c r="AL83" s="113">
        <f ca="1">TblProd[[#This Row],[Lumber]]</f>
        <v>61539</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11</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3" cm="1">
        <f t="array" aca="1" ref="BF83" ca="1">IF(TblConstr[[#This Row],[Hour]:[Hour]]&gt;12,OFFSET(TblConstr[[#This Row],[OM]],-12,0),0)+OFFSET(TblConstr[[#This Row],[Tot OM]],-1,0)-TblConstr[[#This Row],[Dest OM]]</f>
        <v>0</v>
      </c>
      <c r="BG83" s="483" cm="1">
        <f t="array" aca="1" ref="BG83" ca="1">IF(TblConstr[[#This Row],[Hour]:[Hour]]&gt;12,OFFSET(TblConstr[[#This Row],[GN]],-12,0),0)+OFFSET(TblConstr[[#This Row],[Tot GN]],-1,0)-TblConstr[[#This Row],[Dest GN]]</f>
        <v>0</v>
      </c>
      <c r="BH83" s="487" cm="1">
        <f t="array" aca="1" ref="BH83" ca="1">IF(TblConstr[[#This Row],[Hour]:[Hour]]&gt;12,OFFSET(TblConstr[[#This Row],[Fac]],-12,0),0)+OFFSET(TblConstr[[#This Row],[Tot Fac]],-1,0)-TblConstr[[#This Row],[Dest Fac]]</f>
        <v>0</v>
      </c>
      <c r="BI83" s="487" cm="1">
        <f t="array" aca="1" ref="BI83" ca="1">IF(TblConstr[[#This Row],[Hour]:[Hour]]&gt;12,OFFSET(TblConstr[[#This Row],[GT]],-12,0),0)+OFFSET(TblConstr[[#This Row],[Tot GT]],-1,0)-TblConstr[[#This Row],[Dest GT]]</f>
        <v>0</v>
      </c>
      <c r="BJ83" s="487" cm="1">
        <f t="array" aca="1" ref="BJ83" ca="1">IF(TblConstr[[#This Row],[Hour]:[Hour]]&gt;12,OFFSET(TblConstr[[#This Row],[Bar]],-12,0),0)+OFFSET(TblConstr[[#This Row],[Tot Bar]],-1,0)-TblConstr[[#This Row],[Dest Bar]]</f>
        <v>0</v>
      </c>
      <c r="BK83" s="487" cm="1">
        <f t="array" aca="1" ref="BK83" ca="1">IF(TblConstr[[#This Row],[Hour]:[Hour]]&gt;12,OFFSET(TblConstr[[#This Row],[Shr]],-12,0),0)+OFFSET(TblConstr[[#This Row],[Tot Shr]],-1,0)-TblConstr[[#This Row],[Dest Shr]]</f>
        <v>0</v>
      </c>
      <c r="BL83" s="491" cm="1">
        <f t="array" aca="1" ref="BL83" ca="1">IF(TblConstr[[#This Row],[Hour]:[Hour]]&gt;12,OFFSET(TblConstr[[#This Row],[Tow]],-12,0),0)+OFFSET(TblConstr[[#This Row],[Tot Tow]],-1,0)-TblConstr[[#This Row],[Dest Tow]]</f>
        <v>0</v>
      </c>
      <c r="BM83" s="491" cm="1">
        <f t="array" aca="1" ref="BM83" ca="1">IF(TblConstr[[#This Row],[Hour]:[Hour]]&gt;12,OFFSET(TblConstr[[#This Row],[Tem]],-12,0),0)+OFFSET(TblConstr[[#This Row],[Tot Tem]],-1,0)-TblConstr[[#This Row],[Dest Tem]]</f>
        <v>0</v>
      </c>
      <c r="BN83" s="491"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44346.291666666475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1">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99</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11</v>
      </c>
      <c r="DI83" s="49">
        <f t="shared" ca="1" si="19"/>
        <v>0</v>
      </c>
      <c r="DJ83" s="49">
        <f t="shared" ca="1" si="20"/>
        <v>0</v>
      </c>
    </row>
    <row r="84" spans="1:114" x14ac:dyDescent="0.2">
      <c r="A84" s="228">
        <f>TblRezone[[#This Row],[Hour]]</f>
        <v>81</v>
      </c>
      <c r="B84" s="229">
        <f ca="1">SUM(TblConstr[[#This Row],[Plain]:[Water]])</f>
        <v>159</v>
      </c>
      <c r="C84" s="230">
        <f ca="1">SUM(TblConstr[[#This Row],[Tot Hom]:[Tot Doc]])</f>
        <v>91</v>
      </c>
      <c r="D84" s="230">
        <f t="shared" si="21"/>
        <v>0</v>
      </c>
      <c r="E84" s="231"/>
      <c r="F84" s="74">
        <f ca="1">TblConstr[[#This Row],[Barren]]+TblConstr[[#This Row],[Buildings]]+TblConstr[[#This Row],[Incoming]]</f>
        <v>250</v>
      </c>
      <c r="G84" s="242">
        <f ca="1">OFFSET(TblConstr[[#This Row],[Plain]],-1,0)+TblConstr[[#This Row],[Ch_Plain]]</f>
        <v>39</v>
      </c>
      <c r="H84" s="236">
        <f ca="1">OFFSET(TblConstr[[#This Row],[Forest]],-1,0)+TblConstr[[#This Row],[Ch_Forest]]</f>
        <v>20</v>
      </c>
      <c r="I84" s="481">
        <f ca="1">OFFSET(TblConstr[[#This Row],[Mountain]],-1,0)+TblConstr[[#This Row],[Ch_Mountain]]</f>
        <v>20</v>
      </c>
      <c r="J84" s="485">
        <f ca="1">OFFSET(TblConstr[[#This Row],[Hill]],-1,0)+TblConstr[[#This Row],[Ch_Hill]]</f>
        <v>20</v>
      </c>
      <c r="K84" s="489">
        <f ca="1">OFFSET(TblConstr[[#This Row],[Swamp]],-1,0)+TblConstr[[#This Row],[Ch_Swamp]]</f>
        <v>20</v>
      </c>
      <c r="L84" s="239">
        <f ca="1">OFFSET(TblConstr[[#This Row],[Cavern]],-1,0)+TblConstr[[#This Row],[Ch_Cavern]]</f>
        <v>20</v>
      </c>
      <c r="M84" s="240">
        <f ca="1">OFFSET(TblConstr[[#This Row],[Water]],-1,0)+TblConstr[[#This Row],[Ch_Water]]</f>
        <v>20</v>
      </c>
      <c r="N84" s="479">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44346.333333333139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539753</v>
      </c>
      <c r="AL84" s="113">
        <f ca="1">TblProd[[#This Row],[Lumber]]</f>
        <v>61924</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11</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3" cm="1">
        <f t="array" aca="1" ref="BF84" ca="1">IF(TblConstr[[#This Row],[Hour]:[Hour]]&gt;12,OFFSET(TblConstr[[#This Row],[OM]],-12,0),0)+OFFSET(TblConstr[[#This Row],[Tot OM]],-1,0)-TblConstr[[#This Row],[Dest OM]]</f>
        <v>0</v>
      </c>
      <c r="BG84" s="483" cm="1">
        <f t="array" aca="1" ref="BG84" ca="1">IF(TblConstr[[#This Row],[Hour]:[Hour]]&gt;12,OFFSET(TblConstr[[#This Row],[GN]],-12,0),0)+OFFSET(TblConstr[[#This Row],[Tot GN]],-1,0)-TblConstr[[#This Row],[Dest GN]]</f>
        <v>0</v>
      </c>
      <c r="BH84" s="487" cm="1">
        <f t="array" aca="1" ref="BH84" ca="1">IF(TblConstr[[#This Row],[Hour]:[Hour]]&gt;12,OFFSET(TblConstr[[#This Row],[Fac]],-12,0),0)+OFFSET(TblConstr[[#This Row],[Tot Fac]],-1,0)-TblConstr[[#This Row],[Dest Fac]]</f>
        <v>0</v>
      </c>
      <c r="BI84" s="487" cm="1">
        <f t="array" aca="1" ref="BI84" ca="1">IF(TblConstr[[#This Row],[Hour]:[Hour]]&gt;12,OFFSET(TblConstr[[#This Row],[GT]],-12,0),0)+OFFSET(TblConstr[[#This Row],[Tot GT]],-1,0)-TblConstr[[#This Row],[Dest GT]]</f>
        <v>0</v>
      </c>
      <c r="BJ84" s="487" cm="1">
        <f t="array" aca="1" ref="BJ84" ca="1">IF(TblConstr[[#This Row],[Hour]:[Hour]]&gt;12,OFFSET(TblConstr[[#This Row],[Bar]],-12,0),0)+OFFSET(TblConstr[[#This Row],[Tot Bar]],-1,0)-TblConstr[[#This Row],[Dest Bar]]</f>
        <v>0</v>
      </c>
      <c r="BK84" s="487" cm="1">
        <f t="array" aca="1" ref="BK84" ca="1">IF(TblConstr[[#This Row],[Hour]:[Hour]]&gt;12,OFFSET(TblConstr[[#This Row],[Shr]],-12,0),0)+OFFSET(TblConstr[[#This Row],[Tot Shr]],-1,0)-TblConstr[[#This Row],[Dest Shr]]</f>
        <v>0</v>
      </c>
      <c r="BL84" s="491" cm="1">
        <f t="array" aca="1" ref="BL84" ca="1">IF(TblConstr[[#This Row],[Hour]:[Hour]]&gt;12,OFFSET(TblConstr[[#This Row],[Tow]],-12,0),0)+OFFSET(TblConstr[[#This Row],[Tot Tow]],-1,0)-TblConstr[[#This Row],[Dest Tow]]</f>
        <v>0</v>
      </c>
      <c r="BM84" s="491" cm="1">
        <f t="array" aca="1" ref="BM84" ca="1">IF(TblConstr[[#This Row],[Hour]:[Hour]]&gt;12,OFFSET(TblConstr[[#This Row],[Tem]],-12,0),0)+OFFSET(TblConstr[[#This Row],[Tot Tem]],-1,0)-TblConstr[[#This Row],[Dest Tem]]</f>
        <v>0</v>
      </c>
      <c r="BN84" s="491"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44346.333333333139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1">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99</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11</v>
      </c>
      <c r="DI84" s="49">
        <f t="shared" ca="1" si="19"/>
        <v>0</v>
      </c>
      <c r="DJ84" s="49">
        <f t="shared" ca="1" si="20"/>
        <v>0</v>
      </c>
    </row>
    <row r="85" spans="1:114" x14ac:dyDescent="0.2">
      <c r="A85" s="228">
        <f>TblRezone[[#This Row],[Hour]]</f>
        <v>82</v>
      </c>
      <c r="B85" s="229">
        <f ca="1">SUM(TblConstr[[#This Row],[Plain]:[Water]])</f>
        <v>159</v>
      </c>
      <c r="C85" s="230">
        <f ca="1">SUM(TblConstr[[#This Row],[Tot Hom]:[Tot Doc]])</f>
        <v>91</v>
      </c>
      <c r="D85" s="230">
        <f t="shared" si="21"/>
        <v>0</v>
      </c>
      <c r="E85" s="231"/>
      <c r="F85" s="74">
        <f ca="1">TblConstr[[#This Row],[Barren]]+TblConstr[[#This Row],[Buildings]]+TblConstr[[#This Row],[Incoming]]</f>
        <v>250</v>
      </c>
      <c r="G85" s="242">
        <f ca="1">OFFSET(TblConstr[[#This Row],[Plain]],-1,0)+TblConstr[[#This Row],[Ch_Plain]]</f>
        <v>39</v>
      </c>
      <c r="H85" s="236">
        <f ca="1">OFFSET(TblConstr[[#This Row],[Forest]],-1,0)+TblConstr[[#This Row],[Ch_Forest]]</f>
        <v>20</v>
      </c>
      <c r="I85" s="481">
        <f ca="1">OFFSET(TblConstr[[#This Row],[Mountain]],-1,0)+TblConstr[[#This Row],[Ch_Mountain]]</f>
        <v>20</v>
      </c>
      <c r="J85" s="485">
        <f ca="1">OFFSET(TblConstr[[#This Row],[Hill]],-1,0)+TblConstr[[#This Row],[Ch_Hill]]</f>
        <v>20</v>
      </c>
      <c r="K85" s="489">
        <f ca="1">OFFSET(TblConstr[[#This Row],[Swamp]],-1,0)+TblConstr[[#This Row],[Ch_Swamp]]</f>
        <v>20</v>
      </c>
      <c r="L85" s="239">
        <f ca="1">OFFSET(TblConstr[[#This Row],[Cavern]],-1,0)+TblConstr[[#This Row],[Ch_Cavern]]</f>
        <v>20</v>
      </c>
      <c r="M85" s="240">
        <f ca="1">OFFSET(TblConstr[[#This Row],[Water]],-1,0)+TblConstr[[#This Row],[Ch_Water]]</f>
        <v>20</v>
      </c>
      <c r="N85" s="479">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44346.374999999804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545252</v>
      </c>
      <c r="AL85" s="113">
        <f ca="1">TblProd[[#This Row],[Lumber]]</f>
        <v>62305</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11</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3" cm="1">
        <f t="array" aca="1" ref="BF85" ca="1">IF(TblConstr[[#This Row],[Hour]:[Hour]]&gt;12,OFFSET(TblConstr[[#This Row],[OM]],-12,0),0)+OFFSET(TblConstr[[#This Row],[Tot OM]],-1,0)-TblConstr[[#This Row],[Dest OM]]</f>
        <v>0</v>
      </c>
      <c r="BG85" s="483" cm="1">
        <f t="array" aca="1" ref="BG85" ca="1">IF(TblConstr[[#This Row],[Hour]:[Hour]]&gt;12,OFFSET(TblConstr[[#This Row],[GN]],-12,0),0)+OFFSET(TblConstr[[#This Row],[Tot GN]],-1,0)-TblConstr[[#This Row],[Dest GN]]</f>
        <v>0</v>
      </c>
      <c r="BH85" s="487" cm="1">
        <f t="array" aca="1" ref="BH85" ca="1">IF(TblConstr[[#This Row],[Hour]:[Hour]]&gt;12,OFFSET(TblConstr[[#This Row],[Fac]],-12,0),0)+OFFSET(TblConstr[[#This Row],[Tot Fac]],-1,0)-TblConstr[[#This Row],[Dest Fac]]</f>
        <v>0</v>
      </c>
      <c r="BI85" s="487" cm="1">
        <f t="array" aca="1" ref="BI85" ca="1">IF(TblConstr[[#This Row],[Hour]:[Hour]]&gt;12,OFFSET(TblConstr[[#This Row],[GT]],-12,0),0)+OFFSET(TblConstr[[#This Row],[Tot GT]],-1,0)-TblConstr[[#This Row],[Dest GT]]</f>
        <v>0</v>
      </c>
      <c r="BJ85" s="487" cm="1">
        <f t="array" aca="1" ref="BJ85" ca="1">IF(TblConstr[[#This Row],[Hour]:[Hour]]&gt;12,OFFSET(TblConstr[[#This Row],[Bar]],-12,0),0)+OFFSET(TblConstr[[#This Row],[Tot Bar]],-1,0)-TblConstr[[#This Row],[Dest Bar]]</f>
        <v>0</v>
      </c>
      <c r="BK85" s="487" cm="1">
        <f t="array" aca="1" ref="BK85" ca="1">IF(TblConstr[[#This Row],[Hour]:[Hour]]&gt;12,OFFSET(TblConstr[[#This Row],[Shr]],-12,0),0)+OFFSET(TblConstr[[#This Row],[Tot Shr]],-1,0)-TblConstr[[#This Row],[Dest Shr]]</f>
        <v>0</v>
      </c>
      <c r="BL85" s="491" cm="1">
        <f t="array" aca="1" ref="BL85" ca="1">IF(TblConstr[[#This Row],[Hour]:[Hour]]&gt;12,OFFSET(TblConstr[[#This Row],[Tow]],-12,0),0)+OFFSET(TblConstr[[#This Row],[Tot Tow]],-1,0)-TblConstr[[#This Row],[Dest Tow]]</f>
        <v>0</v>
      </c>
      <c r="BM85" s="491" cm="1">
        <f t="array" aca="1" ref="BM85" ca="1">IF(TblConstr[[#This Row],[Hour]:[Hour]]&gt;12,OFFSET(TblConstr[[#This Row],[Tem]],-12,0),0)+OFFSET(TblConstr[[#This Row],[Tot Tem]],-1,0)-TblConstr[[#This Row],[Dest Tem]]</f>
        <v>0</v>
      </c>
      <c r="BN85" s="491"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44346.374999999804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1">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99</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11</v>
      </c>
      <c r="DI85" s="49">
        <f t="shared" ca="1" si="19"/>
        <v>0</v>
      </c>
      <c r="DJ85" s="49">
        <f t="shared" ca="1" si="20"/>
        <v>0</v>
      </c>
    </row>
    <row r="86" spans="1:114" x14ac:dyDescent="0.2">
      <c r="A86" s="228">
        <f>TblRezone[[#This Row],[Hour]]</f>
        <v>83</v>
      </c>
      <c r="B86" s="229">
        <f ca="1">SUM(TblConstr[[#This Row],[Plain]:[Water]])</f>
        <v>159</v>
      </c>
      <c r="C86" s="230">
        <f ca="1">SUM(TblConstr[[#This Row],[Tot Hom]:[Tot Doc]])</f>
        <v>91</v>
      </c>
      <c r="D86" s="230">
        <f t="shared" si="21"/>
        <v>0</v>
      </c>
      <c r="E86" s="231"/>
      <c r="F86" s="74">
        <f ca="1">TblConstr[[#This Row],[Barren]]+TblConstr[[#This Row],[Buildings]]+TblConstr[[#This Row],[Incoming]]</f>
        <v>250</v>
      </c>
      <c r="G86" s="242">
        <f ca="1">OFFSET(TblConstr[[#This Row],[Plain]],-1,0)+TblConstr[[#This Row],[Ch_Plain]]</f>
        <v>39</v>
      </c>
      <c r="H86" s="236">
        <f ca="1">OFFSET(TblConstr[[#This Row],[Forest]],-1,0)+TblConstr[[#This Row],[Ch_Forest]]</f>
        <v>20</v>
      </c>
      <c r="I86" s="481">
        <f ca="1">OFFSET(TblConstr[[#This Row],[Mountain]],-1,0)+TblConstr[[#This Row],[Ch_Mountain]]</f>
        <v>20</v>
      </c>
      <c r="J86" s="485">
        <f ca="1">OFFSET(TblConstr[[#This Row],[Hill]],-1,0)+TblConstr[[#This Row],[Ch_Hill]]</f>
        <v>20</v>
      </c>
      <c r="K86" s="489">
        <f ca="1">OFFSET(TblConstr[[#This Row],[Swamp]],-1,0)+TblConstr[[#This Row],[Ch_Swamp]]</f>
        <v>20</v>
      </c>
      <c r="L86" s="239">
        <f ca="1">OFFSET(TblConstr[[#This Row],[Cavern]],-1,0)+TblConstr[[#This Row],[Ch_Cavern]]</f>
        <v>20</v>
      </c>
      <c r="M86" s="240">
        <f ca="1">OFFSET(TblConstr[[#This Row],[Water]],-1,0)+TblConstr[[#This Row],[Ch_Water]]</f>
        <v>20</v>
      </c>
      <c r="N86" s="479">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44346.416666666468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550751</v>
      </c>
      <c r="AL86" s="113">
        <f ca="1">TblProd[[#This Row],[Lumber]]</f>
        <v>62682</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11</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3" cm="1">
        <f t="array" aca="1" ref="BF86" ca="1">IF(TblConstr[[#This Row],[Hour]:[Hour]]&gt;12,OFFSET(TblConstr[[#This Row],[OM]],-12,0),0)+OFFSET(TblConstr[[#This Row],[Tot OM]],-1,0)-TblConstr[[#This Row],[Dest OM]]</f>
        <v>0</v>
      </c>
      <c r="BG86" s="483" cm="1">
        <f t="array" aca="1" ref="BG86" ca="1">IF(TblConstr[[#This Row],[Hour]:[Hour]]&gt;12,OFFSET(TblConstr[[#This Row],[GN]],-12,0),0)+OFFSET(TblConstr[[#This Row],[Tot GN]],-1,0)-TblConstr[[#This Row],[Dest GN]]</f>
        <v>0</v>
      </c>
      <c r="BH86" s="487" cm="1">
        <f t="array" aca="1" ref="BH86" ca="1">IF(TblConstr[[#This Row],[Hour]:[Hour]]&gt;12,OFFSET(TblConstr[[#This Row],[Fac]],-12,0),0)+OFFSET(TblConstr[[#This Row],[Tot Fac]],-1,0)-TblConstr[[#This Row],[Dest Fac]]</f>
        <v>0</v>
      </c>
      <c r="BI86" s="487" cm="1">
        <f t="array" aca="1" ref="BI86" ca="1">IF(TblConstr[[#This Row],[Hour]:[Hour]]&gt;12,OFFSET(TblConstr[[#This Row],[GT]],-12,0),0)+OFFSET(TblConstr[[#This Row],[Tot GT]],-1,0)-TblConstr[[#This Row],[Dest GT]]</f>
        <v>0</v>
      </c>
      <c r="BJ86" s="487" cm="1">
        <f t="array" aca="1" ref="BJ86" ca="1">IF(TblConstr[[#This Row],[Hour]:[Hour]]&gt;12,OFFSET(TblConstr[[#This Row],[Bar]],-12,0),0)+OFFSET(TblConstr[[#This Row],[Tot Bar]],-1,0)-TblConstr[[#This Row],[Dest Bar]]</f>
        <v>0</v>
      </c>
      <c r="BK86" s="487" cm="1">
        <f t="array" aca="1" ref="BK86" ca="1">IF(TblConstr[[#This Row],[Hour]:[Hour]]&gt;12,OFFSET(TblConstr[[#This Row],[Shr]],-12,0),0)+OFFSET(TblConstr[[#This Row],[Tot Shr]],-1,0)-TblConstr[[#This Row],[Dest Shr]]</f>
        <v>0</v>
      </c>
      <c r="BL86" s="491" cm="1">
        <f t="array" aca="1" ref="BL86" ca="1">IF(TblConstr[[#This Row],[Hour]:[Hour]]&gt;12,OFFSET(TblConstr[[#This Row],[Tow]],-12,0),0)+OFFSET(TblConstr[[#This Row],[Tot Tow]],-1,0)-TblConstr[[#This Row],[Dest Tow]]</f>
        <v>0</v>
      </c>
      <c r="BM86" s="491" cm="1">
        <f t="array" aca="1" ref="BM86" ca="1">IF(TblConstr[[#This Row],[Hour]:[Hour]]&gt;12,OFFSET(TblConstr[[#This Row],[Tem]],-12,0),0)+OFFSET(TblConstr[[#This Row],[Tot Tem]],-1,0)-TblConstr[[#This Row],[Dest Tem]]</f>
        <v>0</v>
      </c>
      <c r="BN86" s="491"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44346.416666666468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1">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99</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11</v>
      </c>
      <c r="DI86" s="49">
        <f t="shared" ca="1" si="19"/>
        <v>0</v>
      </c>
      <c r="DJ86" s="49">
        <f t="shared" ca="1" si="20"/>
        <v>0</v>
      </c>
    </row>
    <row r="87" spans="1:114" x14ac:dyDescent="0.2">
      <c r="A87" s="228">
        <f>TblRezone[[#This Row],[Hour]]</f>
        <v>84</v>
      </c>
      <c r="B87" s="229">
        <f ca="1">SUM(TblConstr[[#This Row],[Plain]:[Water]])</f>
        <v>159</v>
      </c>
      <c r="C87" s="230">
        <f ca="1">SUM(TblConstr[[#This Row],[Tot Hom]:[Tot Doc]])</f>
        <v>91</v>
      </c>
      <c r="D87" s="230">
        <f t="shared" si="21"/>
        <v>0</v>
      </c>
      <c r="E87" s="231"/>
      <c r="F87" s="74">
        <f ca="1">TblConstr[[#This Row],[Barren]]+TblConstr[[#This Row],[Buildings]]+TblConstr[[#This Row],[Incoming]]</f>
        <v>250</v>
      </c>
      <c r="G87" s="242">
        <f ca="1">OFFSET(TblConstr[[#This Row],[Plain]],-1,0)+TblConstr[[#This Row],[Ch_Plain]]</f>
        <v>39</v>
      </c>
      <c r="H87" s="236">
        <f ca="1">OFFSET(TblConstr[[#This Row],[Forest]],-1,0)+TblConstr[[#This Row],[Ch_Forest]]</f>
        <v>20</v>
      </c>
      <c r="I87" s="481">
        <f ca="1">OFFSET(TblConstr[[#This Row],[Mountain]],-1,0)+TblConstr[[#This Row],[Ch_Mountain]]</f>
        <v>20</v>
      </c>
      <c r="J87" s="485">
        <f ca="1">OFFSET(TblConstr[[#This Row],[Hill]],-1,0)+TblConstr[[#This Row],[Ch_Hill]]</f>
        <v>20</v>
      </c>
      <c r="K87" s="489">
        <f ca="1">OFFSET(TblConstr[[#This Row],[Swamp]],-1,0)+TblConstr[[#This Row],[Ch_Swamp]]</f>
        <v>20</v>
      </c>
      <c r="L87" s="239">
        <f ca="1">OFFSET(TblConstr[[#This Row],[Cavern]],-1,0)+TblConstr[[#This Row],[Ch_Cavern]]</f>
        <v>20</v>
      </c>
      <c r="M87" s="240">
        <f ca="1">OFFSET(TblConstr[[#This Row],[Water]],-1,0)+TblConstr[[#This Row],[Ch_Water]]</f>
        <v>20</v>
      </c>
      <c r="N87" s="479">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44346.458333333132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556250</v>
      </c>
      <c r="AL87" s="113">
        <f ca="1">TblProd[[#This Row],[Lumber]]</f>
        <v>63055</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11</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3" cm="1">
        <f t="array" aca="1" ref="BF87" ca="1">IF(TblConstr[[#This Row],[Hour]:[Hour]]&gt;12,OFFSET(TblConstr[[#This Row],[OM]],-12,0),0)+OFFSET(TblConstr[[#This Row],[Tot OM]],-1,0)-TblConstr[[#This Row],[Dest OM]]</f>
        <v>0</v>
      </c>
      <c r="BG87" s="483" cm="1">
        <f t="array" aca="1" ref="BG87" ca="1">IF(TblConstr[[#This Row],[Hour]:[Hour]]&gt;12,OFFSET(TblConstr[[#This Row],[GN]],-12,0),0)+OFFSET(TblConstr[[#This Row],[Tot GN]],-1,0)-TblConstr[[#This Row],[Dest GN]]</f>
        <v>0</v>
      </c>
      <c r="BH87" s="487" cm="1">
        <f t="array" aca="1" ref="BH87" ca="1">IF(TblConstr[[#This Row],[Hour]:[Hour]]&gt;12,OFFSET(TblConstr[[#This Row],[Fac]],-12,0),0)+OFFSET(TblConstr[[#This Row],[Tot Fac]],-1,0)-TblConstr[[#This Row],[Dest Fac]]</f>
        <v>0</v>
      </c>
      <c r="BI87" s="487" cm="1">
        <f t="array" aca="1" ref="BI87" ca="1">IF(TblConstr[[#This Row],[Hour]:[Hour]]&gt;12,OFFSET(TblConstr[[#This Row],[GT]],-12,0),0)+OFFSET(TblConstr[[#This Row],[Tot GT]],-1,0)-TblConstr[[#This Row],[Dest GT]]</f>
        <v>0</v>
      </c>
      <c r="BJ87" s="487" cm="1">
        <f t="array" aca="1" ref="BJ87" ca="1">IF(TblConstr[[#This Row],[Hour]:[Hour]]&gt;12,OFFSET(TblConstr[[#This Row],[Bar]],-12,0),0)+OFFSET(TblConstr[[#This Row],[Tot Bar]],-1,0)-TblConstr[[#This Row],[Dest Bar]]</f>
        <v>0</v>
      </c>
      <c r="BK87" s="487" cm="1">
        <f t="array" aca="1" ref="BK87" ca="1">IF(TblConstr[[#This Row],[Hour]:[Hour]]&gt;12,OFFSET(TblConstr[[#This Row],[Shr]],-12,0),0)+OFFSET(TblConstr[[#This Row],[Tot Shr]],-1,0)-TblConstr[[#This Row],[Dest Shr]]</f>
        <v>0</v>
      </c>
      <c r="BL87" s="491" cm="1">
        <f t="array" aca="1" ref="BL87" ca="1">IF(TblConstr[[#This Row],[Hour]:[Hour]]&gt;12,OFFSET(TblConstr[[#This Row],[Tow]],-12,0),0)+OFFSET(TblConstr[[#This Row],[Tot Tow]],-1,0)-TblConstr[[#This Row],[Dest Tow]]</f>
        <v>0</v>
      </c>
      <c r="BM87" s="491" cm="1">
        <f t="array" aca="1" ref="BM87" ca="1">IF(TblConstr[[#This Row],[Hour]:[Hour]]&gt;12,OFFSET(TblConstr[[#This Row],[Tem]],-12,0),0)+OFFSET(TblConstr[[#This Row],[Tot Tem]],-1,0)-TblConstr[[#This Row],[Dest Tem]]</f>
        <v>0</v>
      </c>
      <c r="BN87" s="491"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44346.458333333132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1">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99</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11</v>
      </c>
      <c r="DI87" s="49">
        <f t="shared" ca="1" si="19"/>
        <v>0</v>
      </c>
      <c r="DJ87" s="49">
        <f t="shared" ca="1" si="20"/>
        <v>0</v>
      </c>
    </row>
    <row r="88" spans="1:114" x14ac:dyDescent="0.2">
      <c r="A88" s="228">
        <f>TblRezone[[#This Row],[Hour]]</f>
        <v>85</v>
      </c>
      <c r="B88" s="229">
        <f ca="1">SUM(TblConstr[[#This Row],[Plain]:[Water]])</f>
        <v>159</v>
      </c>
      <c r="C88" s="230">
        <f ca="1">SUM(TblConstr[[#This Row],[Tot Hom]:[Tot Doc]])</f>
        <v>91</v>
      </c>
      <c r="D88" s="230">
        <f t="shared" si="21"/>
        <v>0</v>
      </c>
      <c r="E88" s="231"/>
      <c r="F88" s="74">
        <f ca="1">TblConstr[[#This Row],[Barren]]+TblConstr[[#This Row],[Buildings]]+TblConstr[[#This Row],[Incoming]]</f>
        <v>250</v>
      </c>
      <c r="G88" s="242">
        <f ca="1">OFFSET(TblConstr[[#This Row],[Plain]],-1,0)+TblConstr[[#This Row],[Ch_Plain]]</f>
        <v>39</v>
      </c>
      <c r="H88" s="236">
        <f ca="1">OFFSET(TblConstr[[#This Row],[Forest]],-1,0)+TblConstr[[#This Row],[Ch_Forest]]</f>
        <v>20</v>
      </c>
      <c r="I88" s="481">
        <f ca="1">OFFSET(TblConstr[[#This Row],[Mountain]],-1,0)+TblConstr[[#This Row],[Ch_Mountain]]</f>
        <v>20</v>
      </c>
      <c r="J88" s="485">
        <f ca="1">OFFSET(TblConstr[[#This Row],[Hill]],-1,0)+TblConstr[[#This Row],[Ch_Hill]]</f>
        <v>20</v>
      </c>
      <c r="K88" s="489">
        <f ca="1">OFFSET(TblConstr[[#This Row],[Swamp]],-1,0)+TblConstr[[#This Row],[Ch_Swamp]]</f>
        <v>20</v>
      </c>
      <c r="L88" s="239">
        <f ca="1">OFFSET(TblConstr[[#This Row],[Cavern]],-1,0)+TblConstr[[#This Row],[Ch_Cavern]]</f>
        <v>20</v>
      </c>
      <c r="M88" s="240">
        <f ca="1">OFFSET(TblConstr[[#This Row],[Water]],-1,0)+TblConstr[[#This Row],[Ch_Water]]</f>
        <v>20</v>
      </c>
      <c r="N88" s="479">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44346.499999999796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561749</v>
      </c>
      <c r="AL88" s="113">
        <f ca="1">TblProd[[#This Row],[Lumber]]</f>
        <v>63424</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11</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3" cm="1">
        <f t="array" aca="1" ref="BF88" ca="1">IF(TblConstr[[#This Row],[Hour]:[Hour]]&gt;12,OFFSET(TblConstr[[#This Row],[OM]],-12,0),0)+OFFSET(TblConstr[[#This Row],[Tot OM]],-1,0)-TblConstr[[#This Row],[Dest OM]]</f>
        <v>0</v>
      </c>
      <c r="BG88" s="483" cm="1">
        <f t="array" aca="1" ref="BG88" ca="1">IF(TblConstr[[#This Row],[Hour]:[Hour]]&gt;12,OFFSET(TblConstr[[#This Row],[GN]],-12,0),0)+OFFSET(TblConstr[[#This Row],[Tot GN]],-1,0)-TblConstr[[#This Row],[Dest GN]]</f>
        <v>0</v>
      </c>
      <c r="BH88" s="487" cm="1">
        <f t="array" aca="1" ref="BH88" ca="1">IF(TblConstr[[#This Row],[Hour]:[Hour]]&gt;12,OFFSET(TblConstr[[#This Row],[Fac]],-12,0),0)+OFFSET(TblConstr[[#This Row],[Tot Fac]],-1,0)-TblConstr[[#This Row],[Dest Fac]]</f>
        <v>0</v>
      </c>
      <c r="BI88" s="487" cm="1">
        <f t="array" aca="1" ref="BI88" ca="1">IF(TblConstr[[#This Row],[Hour]:[Hour]]&gt;12,OFFSET(TblConstr[[#This Row],[GT]],-12,0),0)+OFFSET(TblConstr[[#This Row],[Tot GT]],-1,0)-TblConstr[[#This Row],[Dest GT]]</f>
        <v>0</v>
      </c>
      <c r="BJ88" s="487" cm="1">
        <f t="array" aca="1" ref="BJ88" ca="1">IF(TblConstr[[#This Row],[Hour]:[Hour]]&gt;12,OFFSET(TblConstr[[#This Row],[Bar]],-12,0),0)+OFFSET(TblConstr[[#This Row],[Tot Bar]],-1,0)-TblConstr[[#This Row],[Dest Bar]]</f>
        <v>0</v>
      </c>
      <c r="BK88" s="487" cm="1">
        <f t="array" aca="1" ref="BK88" ca="1">IF(TblConstr[[#This Row],[Hour]:[Hour]]&gt;12,OFFSET(TblConstr[[#This Row],[Shr]],-12,0),0)+OFFSET(TblConstr[[#This Row],[Tot Shr]],-1,0)-TblConstr[[#This Row],[Dest Shr]]</f>
        <v>0</v>
      </c>
      <c r="BL88" s="491" cm="1">
        <f t="array" aca="1" ref="BL88" ca="1">IF(TblConstr[[#This Row],[Hour]:[Hour]]&gt;12,OFFSET(TblConstr[[#This Row],[Tow]],-12,0),0)+OFFSET(TblConstr[[#This Row],[Tot Tow]],-1,0)-TblConstr[[#This Row],[Dest Tow]]</f>
        <v>0</v>
      </c>
      <c r="BM88" s="491" cm="1">
        <f t="array" aca="1" ref="BM88" ca="1">IF(TblConstr[[#This Row],[Hour]:[Hour]]&gt;12,OFFSET(TblConstr[[#This Row],[Tem]],-12,0),0)+OFFSET(TblConstr[[#This Row],[Tot Tem]],-1,0)-TblConstr[[#This Row],[Dest Tem]]</f>
        <v>0</v>
      </c>
      <c r="BN88" s="491"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44346.499999999796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1">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99</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11</v>
      </c>
      <c r="DI88" s="49">
        <f t="shared" ca="1" si="19"/>
        <v>0</v>
      </c>
      <c r="DJ88" s="49">
        <f t="shared" ca="1" si="20"/>
        <v>0</v>
      </c>
    </row>
    <row r="89" spans="1:114" x14ac:dyDescent="0.2">
      <c r="A89" s="228">
        <f>TblRezone[[#This Row],[Hour]]</f>
        <v>86</v>
      </c>
      <c r="B89" s="229">
        <f ca="1">SUM(TblConstr[[#This Row],[Plain]:[Water]])</f>
        <v>159</v>
      </c>
      <c r="C89" s="230">
        <f ca="1">SUM(TblConstr[[#This Row],[Tot Hom]:[Tot Doc]])</f>
        <v>91</v>
      </c>
      <c r="D89" s="230">
        <f t="shared" si="21"/>
        <v>0</v>
      </c>
      <c r="E89" s="231"/>
      <c r="F89" s="74">
        <f ca="1">TblConstr[[#This Row],[Barren]]+TblConstr[[#This Row],[Buildings]]+TblConstr[[#This Row],[Incoming]]</f>
        <v>250</v>
      </c>
      <c r="G89" s="242">
        <f ca="1">OFFSET(TblConstr[[#This Row],[Plain]],-1,0)+TblConstr[[#This Row],[Ch_Plain]]</f>
        <v>39</v>
      </c>
      <c r="H89" s="236">
        <f ca="1">OFFSET(TblConstr[[#This Row],[Forest]],-1,0)+TblConstr[[#This Row],[Ch_Forest]]</f>
        <v>20</v>
      </c>
      <c r="I89" s="481">
        <f ca="1">OFFSET(TblConstr[[#This Row],[Mountain]],-1,0)+TblConstr[[#This Row],[Ch_Mountain]]</f>
        <v>20</v>
      </c>
      <c r="J89" s="485">
        <f ca="1">OFFSET(TblConstr[[#This Row],[Hill]],-1,0)+TblConstr[[#This Row],[Ch_Hill]]</f>
        <v>20</v>
      </c>
      <c r="K89" s="489">
        <f ca="1">OFFSET(TblConstr[[#This Row],[Swamp]],-1,0)+TblConstr[[#This Row],[Ch_Swamp]]</f>
        <v>20</v>
      </c>
      <c r="L89" s="239">
        <f ca="1">OFFSET(TblConstr[[#This Row],[Cavern]],-1,0)+TblConstr[[#This Row],[Ch_Cavern]]</f>
        <v>20</v>
      </c>
      <c r="M89" s="240">
        <f ca="1">OFFSET(TblConstr[[#This Row],[Water]],-1,0)+TblConstr[[#This Row],[Ch_Water]]</f>
        <v>20</v>
      </c>
      <c r="N89" s="479">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44346.541666666461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567248</v>
      </c>
      <c r="AL89" s="113">
        <f ca="1">TblProd[[#This Row],[Lumber]]</f>
        <v>63790</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11</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3" cm="1">
        <f t="array" aca="1" ref="BF89" ca="1">IF(TblConstr[[#This Row],[Hour]:[Hour]]&gt;12,OFFSET(TblConstr[[#This Row],[OM]],-12,0),0)+OFFSET(TblConstr[[#This Row],[Tot OM]],-1,0)-TblConstr[[#This Row],[Dest OM]]</f>
        <v>0</v>
      </c>
      <c r="BG89" s="483" cm="1">
        <f t="array" aca="1" ref="BG89" ca="1">IF(TblConstr[[#This Row],[Hour]:[Hour]]&gt;12,OFFSET(TblConstr[[#This Row],[GN]],-12,0),0)+OFFSET(TblConstr[[#This Row],[Tot GN]],-1,0)-TblConstr[[#This Row],[Dest GN]]</f>
        <v>0</v>
      </c>
      <c r="BH89" s="487" cm="1">
        <f t="array" aca="1" ref="BH89" ca="1">IF(TblConstr[[#This Row],[Hour]:[Hour]]&gt;12,OFFSET(TblConstr[[#This Row],[Fac]],-12,0),0)+OFFSET(TblConstr[[#This Row],[Tot Fac]],-1,0)-TblConstr[[#This Row],[Dest Fac]]</f>
        <v>0</v>
      </c>
      <c r="BI89" s="487" cm="1">
        <f t="array" aca="1" ref="BI89" ca="1">IF(TblConstr[[#This Row],[Hour]:[Hour]]&gt;12,OFFSET(TblConstr[[#This Row],[GT]],-12,0),0)+OFFSET(TblConstr[[#This Row],[Tot GT]],-1,0)-TblConstr[[#This Row],[Dest GT]]</f>
        <v>0</v>
      </c>
      <c r="BJ89" s="487" cm="1">
        <f t="array" aca="1" ref="BJ89" ca="1">IF(TblConstr[[#This Row],[Hour]:[Hour]]&gt;12,OFFSET(TblConstr[[#This Row],[Bar]],-12,0),0)+OFFSET(TblConstr[[#This Row],[Tot Bar]],-1,0)-TblConstr[[#This Row],[Dest Bar]]</f>
        <v>0</v>
      </c>
      <c r="BK89" s="487" cm="1">
        <f t="array" aca="1" ref="BK89" ca="1">IF(TblConstr[[#This Row],[Hour]:[Hour]]&gt;12,OFFSET(TblConstr[[#This Row],[Shr]],-12,0),0)+OFFSET(TblConstr[[#This Row],[Tot Shr]],-1,0)-TblConstr[[#This Row],[Dest Shr]]</f>
        <v>0</v>
      </c>
      <c r="BL89" s="491" cm="1">
        <f t="array" aca="1" ref="BL89" ca="1">IF(TblConstr[[#This Row],[Hour]:[Hour]]&gt;12,OFFSET(TblConstr[[#This Row],[Tow]],-12,0),0)+OFFSET(TblConstr[[#This Row],[Tot Tow]],-1,0)-TblConstr[[#This Row],[Dest Tow]]</f>
        <v>0</v>
      </c>
      <c r="BM89" s="491" cm="1">
        <f t="array" aca="1" ref="BM89" ca="1">IF(TblConstr[[#This Row],[Hour]:[Hour]]&gt;12,OFFSET(TblConstr[[#This Row],[Tem]],-12,0),0)+OFFSET(TblConstr[[#This Row],[Tot Tem]],-1,0)-TblConstr[[#This Row],[Dest Tem]]</f>
        <v>0</v>
      </c>
      <c r="BN89" s="491"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44346.541666666461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1">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99</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11</v>
      </c>
      <c r="DI89" s="49">
        <f t="shared" ca="1" si="19"/>
        <v>0</v>
      </c>
      <c r="DJ89" s="49">
        <f t="shared" ca="1" si="20"/>
        <v>0</v>
      </c>
    </row>
    <row r="90" spans="1:114" x14ac:dyDescent="0.2">
      <c r="A90" s="228">
        <f>TblRezone[[#This Row],[Hour]]</f>
        <v>87</v>
      </c>
      <c r="B90" s="229">
        <f ca="1">SUM(TblConstr[[#This Row],[Plain]:[Water]])</f>
        <v>159</v>
      </c>
      <c r="C90" s="230">
        <f ca="1">SUM(TblConstr[[#This Row],[Tot Hom]:[Tot Doc]])</f>
        <v>91</v>
      </c>
      <c r="D90" s="230">
        <f t="shared" si="21"/>
        <v>0</v>
      </c>
      <c r="E90" s="231"/>
      <c r="F90" s="74">
        <f ca="1">TblConstr[[#This Row],[Barren]]+TblConstr[[#This Row],[Buildings]]+TblConstr[[#This Row],[Incoming]]</f>
        <v>250</v>
      </c>
      <c r="G90" s="242">
        <f ca="1">OFFSET(TblConstr[[#This Row],[Plain]],-1,0)+TblConstr[[#This Row],[Ch_Plain]]</f>
        <v>39</v>
      </c>
      <c r="H90" s="236">
        <f ca="1">OFFSET(TblConstr[[#This Row],[Forest]],-1,0)+TblConstr[[#This Row],[Ch_Forest]]</f>
        <v>20</v>
      </c>
      <c r="I90" s="481">
        <f ca="1">OFFSET(TblConstr[[#This Row],[Mountain]],-1,0)+TblConstr[[#This Row],[Ch_Mountain]]</f>
        <v>20</v>
      </c>
      <c r="J90" s="485">
        <f ca="1">OFFSET(TblConstr[[#This Row],[Hill]],-1,0)+TblConstr[[#This Row],[Ch_Hill]]</f>
        <v>20</v>
      </c>
      <c r="K90" s="489">
        <f ca="1">OFFSET(TblConstr[[#This Row],[Swamp]],-1,0)+TblConstr[[#This Row],[Ch_Swamp]]</f>
        <v>20</v>
      </c>
      <c r="L90" s="239">
        <f ca="1">OFFSET(TblConstr[[#This Row],[Cavern]],-1,0)+TblConstr[[#This Row],[Ch_Cavern]]</f>
        <v>20</v>
      </c>
      <c r="M90" s="240">
        <f ca="1">OFFSET(TblConstr[[#This Row],[Water]],-1,0)+TblConstr[[#This Row],[Ch_Water]]</f>
        <v>20</v>
      </c>
      <c r="N90" s="479">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44346.583333333125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572747</v>
      </c>
      <c r="AL90" s="113">
        <f ca="1">TblProd[[#This Row],[Lumber]]</f>
        <v>64152</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11</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3" cm="1">
        <f t="array" aca="1" ref="BF90" ca="1">IF(TblConstr[[#This Row],[Hour]:[Hour]]&gt;12,OFFSET(TblConstr[[#This Row],[OM]],-12,0),0)+OFFSET(TblConstr[[#This Row],[Tot OM]],-1,0)-TblConstr[[#This Row],[Dest OM]]</f>
        <v>0</v>
      </c>
      <c r="BG90" s="483" cm="1">
        <f t="array" aca="1" ref="BG90" ca="1">IF(TblConstr[[#This Row],[Hour]:[Hour]]&gt;12,OFFSET(TblConstr[[#This Row],[GN]],-12,0),0)+OFFSET(TblConstr[[#This Row],[Tot GN]],-1,0)-TblConstr[[#This Row],[Dest GN]]</f>
        <v>0</v>
      </c>
      <c r="BH90" s="487" cm="1">
        <f t="array" aca="1" ref="BH90" ca="1">IF(TblConstr[[#This Row],[Hour]:[Hour]]&gt;12,OFFSET(TblConstr[[#This Row],[Fac]],-12,0),0)+OFFSET(TblConstr[[#This Row],[Tot Fac]],-1,0)-TblConstr[[#This Row],[Dest Fac]]</f>
        <v>0</v>
      </c>
      <c r="BI90" s="487" cm="1">
        <f t="array" aca="1" ref="BI90" ca="1">IF(TblConstr[[#This Row],[Hour]:[Hour]]&gt;12,OFFSET(TblConstr[[#This Row],[GT]],-12,0),0)+OFFSET(TblConstr[[#This Row],[Tot GT]],-1,0)-TblConstr[[#This Row],[Dest GT]]</f>
        <v>0</v>
      </c>
      <c r="BJ90" s="487" cm="1">
        <f t="array" aca="1" ref="BJ90" ca="1">IF(TblConstr[[#This Row],[Hour]:[Hour]]&gt;12,OFFSET(TblConstr[[#This Row],[Bar]],-12,0),0)+OFFSET(TblConstr[[#This Row],[Tot Bar]],-1,0)-TblConstr[[#This Row],[Dest Bar]]</f>
        <v>0</v>
      </c>
      <c r="BK90" s="487" cm="1">
        <f t="array" aca="1" ref="BK90" ca="1">IF(TblConstr[[#This Row],[Hour]:[Hour]]&gt;12,OFFSET(TblConstr[[#This Row],[Shr]],-12,0),0)+OFFSET(TblConstr[[#This Row],[Tot Shr]],-1,0)-TblConstr[[#This Row],[Dest Shr]]</f>
        <v>0</v>
      </c>
      <c r="BL90" s="491" cm="1">
        <f t="array" aca="1" ref="BL90" ca="1">IF(TblConstr[[#This Row],[Hour]:[Hour]]&gt;12,OFFSET(TblConstr[[#This Row],[Tow]],-12,0),0)+OFFSET(TblConstr[[#This Row],[Tot Tow]],-1,0)-TblConstr[[#This Row],[Dest Tow]]</f>
        <v>0</v>
      </c>
      <c r="BM90" s="491" cm="1">
        <f t="array" aca="1" ref="BM90" ca="1">IF(TblConstr[[#This Row],[Hour]:[Hour]]&gt;12,OFFSET(TblConstr[[#This Row],[Tem]],-12,0),0)+OFFSET(TblConstr[[#This Row],[Tot Tem]],-1,0)-TblConstr[[#This Row],[Dest Tem]]</f>
        <v>0</v>
      </c>
      <c r="BN90" s="491"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44346.583333333125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1">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99</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11</v>
      </c>
      <c r="DI90" s="49">
        <f t="shared" ca="1" si="19"/>
        <v>0</v>
      </c>
      <c r="DJ90" s="49">
        <f t="shared" ca="1" si="20"/>
        <v>0</v>
      </c>
    </row>
    <row r="91" spans="1:114" x14ac:dyDescent="0.2">
      <c r="A91" s="228">
        <f>TblRezone[[#This Row],[Hour]]</f>
        <v>88</v>
      </c>
      <c r="B91" s="229">
        <f ca="1">SUM(TblConstr[[#This Row],[Plain]:[Water]])</f>
        <v>159</v>
      </c>
      <c r="C91" s="230">
        <f ca="1">SUM(TblConstr[[#This Row],[Tot Hom]:[Tot Doc]])</f>
        <v>91</v>
      </c>
      <c r="D91" s="230">
        <f t="shared" si="21"/>
        <v>0</v>
      </c>
      <c r="E91" s="231"/>
      <c r="F91" s="74">
        <f ca="1">TblConstr[[#This Row],[Barren]]+TblConstr[[#This Row],[Buildings]]+TblConstr[[#This Row],[Incoming]]</f>
        <v>250</v>
      </c>
      <c r="G91" s="242">
        <f ca="1">OFFSET(TblConstr[[#This Row],[Plain]],-1,0)+TblConstr[[#This Row],[Ch_Plain]]</f>
        <v>39</v>
      </c>
      <c r="H91" s="236">
        <f ca="1">OFFSET(TblConstr[[#This Row],[Forest]],-1,0)+TblConstr[[#This Row],[Ch_Forest]]</f>
        <v>20</v>
      </c>
      <c r="I91" s="481">
        <f ca="1">OFFSET(TblConstr[[#This Row],[Mountain]],-1,0)+TblConstr[[#This Row],[Ch_Mountain]]</f>
        <v>20</v>
      </c>
      <c r="J91" s="485">
        <f ca="1">OFFSET(TblConstr[[#This Row],[Hill]],-1,0)+TblConstr[[#This Row],[Ch_Hill]]</f>
        <v>20</v>
      </c>
      <c r="K91" s="489">
        <f ca="1">OFFSET(TblConstr[[#This Row],[Swamp]],-1,0)+TblConstr[[#This Row],[Ch_Swamp]]</f>
        <v>20</v>
      </c>
      <c r="L91" s="239">
        <f ca="1">OFFSET(TblConstr[[#This Row],[Cavern]],-1,0)+TblConstr[[#This Row],[Ch_Cavern]]</f>
        <v>20</v>
      </c>
      <c r="M91" s="240">
        <f ca="1">OFFSET(TblConstr[[#This Row],[Water]],-1,0)+TblConstr[[#This Row],[Ch_Water]]</f>
        <v>20</v>
      </c>
      <c r="N91" s="479">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44346.624999999789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578246</v>
      </c>
      <c r="AL91" s="113">
        <f ca="1">TblProd[[#This Row],[Lumber]]</f>
        <v>64510</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11</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3" cm="1">
        <f t="array" aca="1" ref="BF91" ca="1">IF(TblConstr[[#This Row],[Hour]:[Hour]]&gt;12,OFFSET(TblConstr[[#This Row],[OM]],-12,0),0)+OFFSET(TblConstr[[#This Row],[Tot OM]],-1,0)-TblConstr[[#This Row],[Dest OM]]</f>
        <v>0</v>
      </c>
      <c r="BG91" s="483" cm="1">
        <f t="array" aca="1" ref="BG91" ca="1">IF(TblConstr[[#This Row],[Hour]:[Hour]]&gt;12,OFFSET(TblConstr[[#This Row],[GN]],-12,0),0)+OFFSET(TblConstr[[#This Row],[Tot GN]],-1,0)-TblConstr[[#This Row],[Dest GN]]</f>
        <v>0</v>
      </c>
      <c r="BH91" s="487" cm="1">
        <f t="array" aca="1" ref="BH91" ca="1">IF(TblConstr[[#This Row],[Hour]:[Hour]]&gt;12,OFFSET(TblConstr[[#This Row],[Fac]],-12,0),0)+OFFSET(TblConstr[[#This Row],[Tot Fac]],-1,0)-TblConstr[[#This Row],[Dest Fac]]</f>
        <v>0</v>
      </c>
      <c r="BI91" s="487" cm="1">
        <f t="array" aca="1" ref="BI91" ca="1">IF(TblConstr[[#This Row],[Hour]:[Hour]]&gt;12,OFFSET(TblConstr[[#This Row],[GT]],-12,0),0)+OFFSET(TblConstr[[#This Row],[Tot GT]],-1,0)-TblConstr[[#This Row],[Dest GT]]</f>
        <v>0</v>
      </c>
      <c r="BJ91" s="487" cm="1">
        <f t="array" aca="1" ref="BJ91" ca="1">IF(TblConstr[[#This Row],[Hour]:[Hour]]&gt;12,OFFSET(TblConstr[[#This Row],[Bar]],-12,0),0)+OFFSET(TblConstr[[#This Row],[Tot Bar]],-1,0)-TblConstr[[#This Row],[Dest Bar]]</f>
        <v>0</v>
      </c>
      <c r="BK91" s="487" cm="1">
        <f t="array" aca="1" ref="BK91" ca="1">IF(TblConstr[[#This Row],[Hour]:[Hour]]&gt;12,OFFSET(TblConstr[[#This Row],[Shr]],-12,0),0)+OFFSET(TblConstr[[#This Row],[Tot Shr]],-1,0)-TblConstr[[#This Row],[Dest Shr]]</f>
        <v>0</v>
      </c>
      <c r="BL91" s="491" cm="1">
        <f t="array" aca="1" ref="BL91" ca="1">IF(TblConstr[[#This Row],[Hour]:[Hour]]&gt;12,OFFSET(TblConstr[[#This Row],[Tow]],-12,0),0)+OFFSET(TblConstr[[#This Row],[Tot Tow]],-1,0)-TblConstr[[#This Row],[Dest Tow]]</f>
        <v>0</v>
      </c>
      <c r="BM91" s="491" cm="1">
        <f t="array" aca="1" ref="BM91" ca="1">IF(TblConstr[[#This Row],[Hour]:[Hour]]&gt;12,OFFSET(TblConstr[[#This Row],[Tem]],-12,0),0)+OFFSET(TblConstr[[#This Row],[Tot Tem]],-1,0)-TblConstr[[#This Row],[Dest Tem]]</f>
        <v>0</v>
      </c>
      <c r="BN91" s="491"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44346.624999999789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1">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99</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11</v>
      </c>
      <c r="DI91" s="49">
        <f t="shared" ca="1" si="19"/>
        <v>0</v>
      </c>
      <c r="DJ91" s="49">
        <f t="shared" ca="1" si="20"/>
        <v>0</v>
      </c>
    </row>
    <row r="92" spans="1:114" x14ac:dyDescent="0.2">
      <c r="A92" s="228">
        <f>TblRezone[[#This Row],[Hour]]</f>
        <v>89</v>
      </c>
      <c r="B92" s="229">
        <f ca="1">SUM(TblConstr[[#This Row],[Plain]:[Water]])</f>
        <v>159</v>
      </c>
      <c r="C92" s="230">
        <f ca="1">SUM(TblConstr[[#This Row],[Tot Hom]:[Tot Doc]])</f>
        <v>91</v>
      </c>
      <c r="D92" s="230">
        <f t="shared" si="21"/>
        <v>0</v>
      </c>
      <c r="E92" s="231"/>
      <c r="F92" s="74">
        <f ca="1">TblConstr[[#This Row],[Barren]]+TblConstr[[#This Row],[Buildings]]+TblConstr[[#This Row],[Incoming]]</f>
        <v>250</v>
      </c>
      <c r="G92" s="242">
        <f ca="1">OFFSET(TblConstr[[#This Row],[Plain]],-1,0)+TblConstr[[#This Row],[Ch_Plain]]</f>
        <v>39</v>
      </c>
      <c r="H92" s="236">
        <f ca="1">OFFSET(TblConstr[[#This Row],[Forest]],-1,0)+TblConstr[[#This Row],[Ch_Forest]]</f>
        <v>20</v>
      </c>
      <c r="I92" s="481">
        <f ca="1">OFFSET(TblConstr[[#This Row],[Mountain]],-1,0)+TblConstr[[#This Row],[Ch_Mountain]]</f>
        <v>20</v>
      </c>
      <c r="J92" s="485">
        <f ca="1">OFFSET(TblConstr[[#This Row],[Hill]],-1,0)+TblConstr[[#This Row],[Ch_Hill]]</f>
        <v>20</v>
      </c>
      <c r="K92" s="489">
        <f ca="1">OFFSET(TblConstr[[#This Row],[Swamp]],-1,0)+TblConstr[[#This Row],[Ch_Swamp]]</f>
        <v>20</v>
      </c>
      <c r="L92" s="239">
        <f ca="1">OFFSET(TblConstr[[#This Row],[Cavern]],-1,0)+TblConstr[[#This Row],[Ch_Cavern]]</f>
        <v>20</v>
      </c>
      <c r="M92" s="240">
        <f ca="1">OFFSET(TblConstr[[#This Row],[Water]],-1,0)+TblConstr[[#This Row],[Ch_Water]]</f>
        <v>20</v>
      </c>
      <c r="N92" s="479">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44346.666666666453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583745</v>
      </c>
      <c r="AL92" s="113">
        <f ca="1">TblProd[[#This Row],[Lumber]]</f>
        <v>64865</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11</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3" cm="1">
        <f t="array" aca="1" ref="BF92" ca="1">IF(TblConstr[[#This Row],[Hour]:[Hour]]&gt;12,OFFSET(TblConstr[[#This Row],[OM]],-12,0),0)+OFFSET(TblConstr[[#This Row],[Tot OM]],-1,0)-TblConstr[[#This Row],[Dest OM]]</f>
        <v>0</v>
      </c>
      <c r="BG92" s="483" cm="1">
        <f t="array" aca="1" ref="BG92" ca="1">IF(TblConstr[[#This Row],[Hour]:[Hour]]&gt;12,OFFSET(TblConstr[[#This Row],[GN]],-12,0),0)+OFFSET(TblConstr[[#This Row],[Tot GN]],-1,0)-TblConstr[[#This Row],[Dest GN]]</f>
        <v>0</v>
      </c>
      <c r="BH92" s="487" cm="1">
        <f t="array" aca="1" ref="BH92" ca="1">IF(TblConstr[[#This Row],[Hour]:[Hour]]&gt;12,OFFSET(TblConstr[[#This Row],[Fac]],-12,0),0)+OFFSET(TblConstr[[#This Row],[Tot Fac]],-1,0)-TblConstr[[#This Row],[Dest Fac]]</f>
        <v>0</v>
      </c>
      <c r="BI92" s="487" cm="1">
        <f t="array" aca="1" ref="BI92" ca="1">IF(TblConstr[[#This Row],[Hour]:[Hour]]&gt;12,OFFSET(TblConstr[[#This Row],[GT]],-12,0),0)+OFFSET(TblConstr[[#This Row],[Tot GT]],-1,0)-TblConstr[[#This Row],[Dest GT]]</f>
        <v>0</v>
      </c>
      <c r="BJ92" s="487" cm="1">
        <f t="array" aca="1" ref="BJ92" ca="1">IF(TblConstr[[#This Row],[Hour]:[Hour]]&gt;12,OFFSET(TblConstr[[#This Row],[Bar]],-12,0),0)+OFFSET(TblConstr[[#This Row],[Tot Bar]],-1,0)-TblConstr[[#This Row],[Dest Bar]]</f>
        <v>0</v>
      </c>
      <c r="BK92" s="487" cm="1">
        <f t="array" aca="1" ref="BK92" ca="1">IF(TblConstr[[#This Row],[Hour]:[Hour]]&gt;12,OFFSET(TblConstr[[#This Row],[Shr]],-12,0),0)+OFFSET(TblConstr[[#This Row],[Tot Shr]],-1,0)-TblConstr[[#This Row],[Dest Shr]]</f>
        <v>0</v>
      </c>
      <c r="BL92" s="491" cm="1">
        <f t="array" aca="1" ref="BL92" ca="1">IF(TblConstr[[#This Row],[Hour]:[Hour]]&gt;12,OFFSET(TblConstr[[#This Row],[Tow]],-12,0),0)+OFFSET(TblConstr[[#This Row],[Tot Tow]],-1,0)-TblConstr[[#This Row],[Dest Tow]]</f>
        <v>0</v>
      </c>
      <c r="BM92" s="491" cm="1">
        <f t="array" aca="1" ref="BM92" ca="1">IF(TblConstr[[#This Row],[Hour]:[Hour]]&gt;12,OFFSET(TblConstr[[#This Row],[Tem]],-12,0),0)+OFFSET(TblConstr[[#This Row],[Tot Tem]],-1,0)-TblConstr[[#This Row],[Dest Tem]]</f>
        <v>0</v>
      </c>
      <c r="BN92" s="491"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44346.666666666453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1">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99</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11</v>
      </c>
      <c r="DI92" s="49">
        <f t="shared" ca="1" si="19"/>
        <v>0</v>
      </c>
      <c r="DJ92" s="49">
        <f t="shared" ca="1" si="20"/>
        <v>0</v>
      </c>
    </row>
    <row r="93" spans="1:114" x14ac:dyDescent="0.2">
      <c r="A93" s="228">
        <f>TblRezone[[#This Row],[Hour]]</f>
        <v>90</v>
      </c>
      <c r="B93" s="229">
        <f ca="1">SUM(TblConstr[[#This Row],[Plain]:[Water]])</f>
        <v>159</v>
      </c>
      <c r="C93" s="230">
        <f ca="1">SUM(TblConstr[[#This Row],[Tot Hom]:[Tot Doc]])</f>
        <v>91</v>
      </c>
      <c r="D93" s="230">
        <f t="shared" si="21"/>
        <v>0</v>
      </c>
      <c r="E93" s="231"/>
      <c r="F93" s="74">
        <f ca="1">TblConstr[[#This Row],[Barren]]+TblConstr[[#This Row],[Buildings]]+TblConstr[[#This Row],[Incoming]]</f>
        <v>250</v>
      </c>
      <c r="G93" s="242">
        <f ca="1">OFFSET(TblConstr[[#This Row],[Plain]],-1,0)+TblConstr[[#This Row],[Ch_Plain]]</f>
        <v>39</v>
      </c>
      <c r="H93" s="236">
        <f ca="1">OFFSET(TblConstr[[#This Row],[Forest]],-1,0)+TblConstr[[#This Row],[Ch_Forest]]</f>
        <v>20</v>
      </c>
      <c r="I93" s="481">
        <f ca="1">OFFSET(TblConstr[[#This Row],[Mountain]],-1,0)+TblConstr[[#This Row],[Ch_Mountain]]</f>
        <v>20</v>
      </c>
      <c r="J93" s="485">
        <f ca="1">OFFSET(TblConstr[[#This Row],[Hill]],-1,0)+TblConstr[[#This Row],[Ch_Hill]]</f>
        <v>20</v>
      </c>
      <c r="K93" s="489">
        <f ca="1">OFFSET(TblConstr[[#This Row],[Swamp]],-1,0)+TblConstr[[#This Row],[Ch_Swamp]]</f>
        <v>20</v>
      </c>
      <c r="L93" s="239">
        <f ca="1">OFFSET(TblConstr[[#This Row],[Cavern]],-1,0)+TblConstr[[#This Row],[Ch_Cavern]]</f>
        <v>20</v>
      </c>
      <c r="M93" s="240">
        <f ca="1">OFFSET(TblConstr[[#This Row],[Water]],-1,0)+TblConstr[[#This Row],[Ch_Water]]</f>
        <v>20</v>
      </c>
      <c r="N93" s="479">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44346.708333333117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589244</v>
      </c>
      <c r="AL93" s="113">
        <f ca="1">TblProd[[#This Row],[Lumber]]</f>
        <v>65216</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11</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3" cm="1">
        <f t="array" aca="1" ref="BF93" ca="1">IF(TblConstr[[#This Row],[Hour]:[Hour]]&gt;12,OFFSET(TblConstr[[#This Row],[OM]],-12,0),0)+OFFSET(TblConstr[[#This Row],[Tot OM]],-1,0)-TblConstr[[#This Row],[Dest OM]]</f>
        <v>0</v>
      </c>
      <c r="BG93" s="483" cm="1">
        <f t="array" aca="1" ref="BG93" ca="1">IF(TblConstr[[#This Row],[Hour]:[Hour]]&gt;12,OFFSET(TblConstr[[#This Row],[GN]],-12,0),0)+OFFSET(TblConstr[[#This Row],[Tot GN]],-1,0)-TblConstr[[#This Row],[Dest GN]]</f>
        <v>0</v>
      </c>
      <c r="BH93" s="487" cm="1">
        <f t="array" aca="1" ref="BH93" ca="1">IF(TblConstr[[#This Row],[Hour]:[Hour]]&gt;12,OFFSET(TblConstr[[#This Row],[Fac]],-12,0),0)+OFFSET(TblConstr[[#This Row],[Tot Fac]],-1,0)-TblConstr[[#This Row],[Dest Fac]]</f>
        <v>0</v>
      </c>
      <c r="BI93" s="487" cm="1">
        <f t="array" aca="1" ref="BI93" ca="1">IF(TblConstr[[#This Row],[Hour]:[Hour]]&gt;12,OFFSET(TblConstr[[#This Row],[GT]],-12,0),0)+OFFSET(TblConstr[[#This Row],[Tot GT]],-1,0)-TblConstr[[#This Row],[Dest GT]]</f>
        <v>0</v>
      </c>
      <c r="BJ93" s="487" cm="1">
        <f t="array" aca="1" ref="BJ93" ca="1">IF(TblConstr[[#This Row],[Hour]:[Hour]]&gt;12,OFFSET(TblConstr[[#This Row],[Bar]],-12,0),0)+OFFSET(TblConstr[[#This Row],[Tot Bar]],-1,0)-TblConstr[[#This Row],[Dest Bar]]</f>
        <v>0</v>
      </c>
      <c r="BK93" s="487" cm="1">
        <f t="array" aca="1" ref="BK93" ca="1">IF(TblConstr[[#This Row],[Hour]:[Hour]]&gt;12,OFFSET(TblConstr[[#This Row],[Shr]],-12,0),0)+OFFSET(TblConstr[[#This Row],[Tot Shr]],-1,0)-TblConstr[[#This Row],[Dest Shr]]</f>
        <v>0</v>
      </c>
      <c r="BL93" s="491" cm="1">
        <f t="array" aca="1" ref="BL93" ca="1">IF(TblConstr[[#This Row],[Hour]:[Hour]]&gt;12,OFFSET(TblConstr[[#This Row],[Tow]],-12,0),0)+OFFSET(TblConstr[[#This Row],[Tot Tow]],-1,0)-TblConstr[[#This Row],[Dest Tow]]</f>
        <v>0</v>
      </c>
      <c r="BM93" s="491" cm="1">
        <f t="array" aca="1" ref="BM93" ca="1">IF(TblConstr[[#This Row],[Hour]:[Hour]]&gt;12,OFFSET(TblConstr[[#This Row],[Tem]],-12,0),0)+OFFSET(TblConstr[[#This Row],[Tot Tem]],-1,0)-TblConstr[[#This Row],[Dest Tem]]</f>
        <v>0</v>
      </c>
      <c r="BN93" s="491"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44346.708333333117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1">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99</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11</v>
      </c>
      <c r="DI93" s="49">
        <f t="shared" ca="1" si="19"/>
        <v>0</v>
      </c>
      <c r="DJ93" s="49">
        <f t="shared" ca="1" si="20"/>
        <v>0</v>
      </c>
    </row>
    <row r="94" spans="1:114" x14ac:dyDescent="0.2">
      <c r="A94" s="228">
        <f>TblRezone[[#This Row],[Hour]]</f>
        <v>91</v>
      </c>
      <c r="B94" s="229">
        <f ca="1">SUM(TblConstr[[#This Row],[Plain]:[Water]])</f>
        <v>159</v>
      </c>
      <c r="C94" s="230">
        <f ca="1">SUM(TblConstr[[#This Row],[Tot Hom]:[Tot Doc]])</f>
        <v>91</v>
      </c>
      <c r="D94" s="230">
        <f t="shared" si="21"/>
        <v>0</v>
      </c>
      <c r="E94" s="231"/>
      <c r="F94" s="74">
        <f ca="1">TblConstr[[#This Row],[Barren]]+TblConstr[[#This Row],[Buildings]]+TblConstr[[#This Row],[Incoming]]</f>
        <v>250</v>
      </c>
      <c r="G94" s="242">
        <f ca="1">OFFSET(TblConstr[[#This Row],[Plain]],-1,0)+TblConstr[[#This Row],[Ch_Plain]]</f>
        <v>39</v>
      </c>
      <c r="H94" s="236">
        <f ca="1">OFFSET(TblConstr[[#This Row],[Forest]],-1,0)+TblConstr[[#This Row],[Ch_Forest]]</f>
        <v>20</v>
      </c>
      <c r="I94" s="481">
        <f ca="1">OFFSET(TblConstr[[#This Row],[Mountain]],-1,0)+TblConstr[[#This Row],[Ch_Mountain]]</f>
        <v>20</v>
      </c>
      <c r="J94" s="485">
        <f ca="1">OFFSET(TblConstr[[#This Row],[Hill]],-1,0)+TblConstr[[#This Row],[Ch_Hill]]</f>
        <v>20</v>
      </c>
      <c r="K94" s="489">
        <f ca="1">OFFSET(TblConstr[[#This Row],[Swamp]],-1,0)+TblConstr[[#This Row],[Ch_Swamp]]</f>
        <v>20</v>
      </c>
      <c r="L94" s="239">
        <f ca="1">OFFSET(TblConstr[[#This Row],[Cavern]],-1,0)+TblConstr[[#This Row],[Ch_Cavern]]</f>
        <v>20</v>
      </c>
      <c r="M94" s="240">
        <f ca="1">OFFSET(TblConstr[[#This Row],[Water]],-1,0)+TblConstr[[#This Row],[Ch_Water]]</f>
        <v>20</v>
      </c>
      <c r="N94" s="479">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44346.749999999782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594743</v>
      </c>
      <c r="AL94" s="113">
        <f ca="1">TblProd[[#This Row],[Lumber]]</f>
        <v>65564</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11</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3" cm="1">
        <f t="array" aca="1" ref="BF94" ca="1">IF(TblConstr[[#This Row],[Hour]:[Hour]]&gt;12,OFFSET(TblConstr[[#This Row],[OM]],-12,0),0)+OFFSET(TblConstr[[#This Row],[Tot OM]],-1,0)-TblConstr[[#This Row],[Dest OM]]</f>
        <v>0</v>
      </c>
      <c r="BG94" s="483" cm="1">
        <f t="array" aca="1" ref="BG94" ca="1">IF(TblConstr[[#This Row],[Hour]:[Hour]]&gt;12,OFFSET(TblConstr[[#This Row],[GN]],-12,0),0)+OFFSET(TblConstr[[#This Row],[Tot GN]],-1,0)-TblConstr[[#This Row],[Dest GN]]</f>
        <v>0</v>
      </c>
      <c r="BH94" s="487" cm="1">
        <f t="array" aca="1" ref="BH94" ca="1">IF(TblConstr[[#This Row],[Hour]:[Hour]]&gt;12,OFFSET(TblConstr[[#This Row],[Fac]],-12,0),0)+OFFSET(TblConstr[[#This Row],[Tot Fac]],-1,0)-TblConstr[[#This Row],[Dest Fac]]</f>
        <v>0</v>
      </c>
      <c r="BI94" s="487" cm="1">
        <f t="array" aca="1" ref="BI94" ca="1">IF(TblConstr[[#This Row],[Hour]:[Hour]]&gt;12,OFFSET(TblConstr[[#This Row],[GT]],-12,0),0)+OFFSET(TblConstr[[#This Row],[Tot GT]],-1,0)-TblConstr[[#This Row],[Dest GT]]</f>
        <v>0</v>
      </c>
      <c r="BJ94" s="487" cm="1">
        <f t="array" aca="1" ref="BJ94" ca="1">IF(TblConstr[[#This Row],[Hour]:[Hour]]&gt;12,OFFSET(TblConstr[[#This Row],[Bar]],-12,0),0)+OFFSET(TblConstr[[#This Row],[Tot Bar]],-1,0)-TblConstr[[#This Row],[Dest Bar]]</f>
        <v>0</v>
      </c>
      <c r="BK94" s="487" cm="1">
        <f t="array" aca="1" ref="BK94" ca="1">IF(TblConstr[[#This Row],[Hour]:[Hour]]&gt;12,OFFSET(TblConstr[[#This Row],[Shr]],-12,0),0)+OFFSET(TblConstr[[#This Row],[Tot Shr]],-1,0)-TblConstr[[#This Row],[Dest Shr]]</f>
        <v>0</v>
      </c>
      <c r="BL94" s="491" cm="1">
        <f t="array" aca="1" ref="BL94" ca="1">IF(TblConstr[[#This Row],[Hour]:[Hour]]&gt;12,OFFSET(TblConstr[[#This Row],[Tow]],-12,0),0)+OFFSET(TblConstr[[#This Row],[Tot Tow]],-1,0)-TblConstr[[#This Row],[Dest Tow]]</f>
        <v>0</v>
      </c>
      <c r="BM94" s="491" cm="1">
        <f t="array" aca="1" ref="BM94" ca="1">IF(TblConstr[[#This Row],[Hour]:[Hour]]&gt;12,OFFSET(TblConstr[[#This Row],[Tem]],-12,0),0)+OFFSET(TblConstr[[#This Row],[Tot Tem]],-1,0)-TblConstr[[#This Row],[Dest Tem]]</f>
        <v>0</v>
      </c>
      <c r="BN94" s="491"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44346.749999999782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1">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99</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11</v>
      </c>
      <c r="DI94" s="49">
        <f t="shared" ca="1" si="19"/>
        <v>0</v>
      </c>
      <c r="DJ94" s="49">
        <f t="shared" ca="1" si="20"/>
        <v>0</v>
      </c>
    </row>
    <row r="95" spans="1:114" x14ac:dyDescent="0.2">
      <c r="A95" s="228">
        <f>TblRezone[[#This Row],[Hour]]</f>
        <v>92</v>
      </c>
      <c r="B95" s="229">
        <f ca="1">SUM(TblConstr[[#This Row],[Plain]:[Water]])</f>
        <v>159</v>
      </c>
      <c r="C95" s="230">
        <f ca="1">SUM(TblConstr[[#This Row],[Tot Hom]:[Tot Doc]])</f>
        <v>91</v>
      </c>
      <c r="D95" s="230">
        <f t="shared" si="21"/>
        <v>0</v>
      </c>
      <c r="E95" s="231"/>
      <c r="F95" s="74">
        <f ca="1">TblConstr[[#This Row],[Barren]]+TblConstr[[#This Row],[Buildings]]+TblConstr[[#This Row],[Incoming]]</f>
        <v>250</v>
      </c>
      <c r="G95" s="242">
        <f ca="1">OFFSET(TblConstr[[#This Row],[Plain]],-1,0)+TblConstr[[#This Row],[Ch_Plain]]</f>
        <v>39</v>
      </c>
      <c r="H95" s="236">
        <f ca="1">OFFSET(TblConstr[[#This Row],[Forest]],-1,0)+TblConstr[[#This Row],[Ch_Forest]]</f>
        <v>20</v>
      </c>
      <c r="I95" s="481">
        <f ca="1">OFFSET(TblConstr[[#This Row],[Mountain]],-1,0)+TblConstr[[#This Row],[Ch_Mountain]]</f>
        <v>20</v>
      </c>
      <c r="J95" s="485">
        <f ca="1">OFFSET(TblConstr[[#This Row],[Hill]],-1,0)+TblConstr[[#This Row],[Ch_Hill]]</f>
        <v>20</v>
      </c>
      <c r="K95" s="489">
        <f ca="1">OFFSET(TblConstr[[#This Row],[Swamp]],-1,0)+TblConstr[[#This Row],[Ch_Swamp]]</f>
        <v>20</v>
      </c>
      <c r="L95" s="239">
        <f ca="1">OFFSET(TblConstr[[#This Row],[Cavern]],-1,0)+TblConstr[[#This Row],[Ch_Cavern]]</f>
        <v>20</v>
      </c>
      <c r="M95" s="240">
        <f ca="1">OFFSET(TblConstr[[#This Row],[Water]],-1,0)+TblConstr[[#This Row],[Ch_Water]]</f>
        <v>20</v>
      </c>
      <c r="N95" s="479">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44346.791666666446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600242</v>
      </c>
      <c r="AL95" s="113">
        <f ca="1">TblProd[[#This Row],[Lumber]]</f>
        <v>65908</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11</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3" cm="1">
        <f t="array" aca="1" ref="BF95" ca="1">IF(TblConstr[[#This Row],[Hour]:[Hour]]&gt;12,OFFSET(TblConstr[[#This Row],[OM]],-12,0),0)+OFFSET(TblConstr[[#This Row],[Tot OM]],-1,0)-TblConstr[[#This Row],[Dest OM]]</f>
        <v>0</v>
      </c>
      <c r="BG95" s="483" cm="1">
        <f t="array" aca="1" ref="BG95" ca="1">IF(TblConstr[[#This Row],[Hour]:[Hour]]&gt;12,OFFSET(TblConstr[[#This Row],[GN]],-12,0),0)+OFFSET(TblConstr[[#This Row],[Tot GN]],-1,0)-TblConstr[[#This Row],[Dest GN]]</f>
        <v>0</v>
      </c>
      <c r="BH95" s="487" cm="1">
        <f t="array" aca="1" ref="BH95" ca="1">IF(TblConstr[[#This Row],[Hour]:[Hour]]&gt;12,OFFSET(TblConstr[[#This Row],[Fac]],-12,0),0)+OFFSET(TblConstr[[#This Row],[Tot Fac]],-1,0)-TblConstr[[#This Row],[Dest Fac]]</f>
        <v>0</v>
      </c>
      <c r="BI95" s="487" cm="1">
        <f t="array" aca="1" ref="BI95" ca="1">IF(TblConstr[[#This Row],[Hour]:[Hour]]&gt;12,OFFSET(TblConstr[[#This Row],[GT]],-12,0),0)+OFFSET(TblConstr[[#This Row],[Tot GT]],-1,0)-TblConstr[[#This Row],[Dest GT]]</f>
        <v>0</v>
      </c>
      <c r="BJ95" s="487" cm="1">
        <f t="array" aca="1" ref="BJ95" ca="1">IF(TblConstr[[#This Row],[Hour]:[Hour]]&gt;12,OFFSET(TblConstr[[#This Row],[Bar]],-12,0),0)+OFFSET(TblConstr[[#This Row],[Tot Bar]],-1,0)-TblConstr[[#This Row],[Dest Bar]]</f>
        <v>0</v>
      </c>
      <c r="BK95" s="487" cm="1">
        <f t="array" aca="1" ref="BK95" ca="1">IF(TblConstr[[#This Row],[Hour]:[Hour]]&gt;12,OFFSET(TblConstr[[#This Row],[Shr]],-12,0),0)+OFFSET(TblConstr[[#This Row],[Tot Shr]],-1,0)-TblConstr[[#This Row],[Dest Shr]]</f>
        <v>0</v>
      </c>
      <c r="BL95" s="491" cm="1">
        <f t="array" aca="1" ref="BL95" ca="1">IF(TblConstr[[#This Row],[Hour]:[Hour]]&gt;12,OFFSET(TblConstr[[#This Row],[Tow]],-12,0),0)+OFFSET(TblConstr[[#This Row],[Tot Tow]],-1,0)-TblConstr[[#This Row],[Dest Tow]]</f>
        <v>0</v>
      </c>
      <c r="BM95" s="491" cm="1">
        <f t="array" aca="1" ref="BM95" ca="1">IF(TblConstr[[#This Row],[Hour]:[Hour]]&gt;12,OFFSET(TblConstr[[#This Row],[Tem]],-12,0),0)+OFFSET(TblConstr[[#This Row],[Tot Tem]],-1,0)-TblConstr[[#This Row],[Dest Tem]]</f>
        <v>0</v>
      </c>
      <c r="BN95" s="491"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44346.791666666446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1">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99</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11</v>
      </c>
      <c r="DI95" s="49">
        <f t="shared" ca="1" si="19"/>
        <v>0</v>
      </c>
      <c r="DJ95" s="49">
        <f t="shared" ca="1" si="20"/>
        <v>0</v>
      </c>
    </row>
    <row r="96" spans="1:114" x14ac:dyDescent="0.2">
      <c r="A96" s="228">
        <f>TblRezone[[#This Row],[Hour]]</f>
        <v>93</v>
      </c>
      <c r="B96" s="229">
        <f ca="1">SUM(TblConstr[[#This Row],[Plain]:[Water]])</f>
        <v>159</v>
      </c>
      <c r="C96" s="230">
        <f ca="1">SUM(TblConstr[[#This Row],[Tot Hom]:[Tot Doc]])</f>
        <v>91</v>
      </c>
      <c r="D96" s="230">
        <f t="shared" si="21"/>
        <v>0</v>
      </c>
      <c r="E96" s="231"/>
      <c r="F96" s="74">
        <f ca="1">TblConstr[[#This Row],[Barren]]+TblConstr[[#This Row],[Buildings]]+TblConstr[[#This Row],[Incoming]]</f>
        <v>250</v>
      </c>
      <c r="G96" s="242">
        <f ca="1">OFFSET(TblConstr[[#This Row],[Plain]],-1,0)+TblConstr[[#This Row],[Ch_Plain]]</f>
        <v>39</v>
      </c>
      <c r="H96" s="236">
        <f ca="1">OFFSET(TblConstr[[#This Row],[Forest]],-1,0)+TblConstr[[#This Row],[Ch_Forest]]</f>
        <v>20</v>
      </c>
      <c r="I96" s="481">
        <f ca="1">OFFSET(TblConstr[[#This Row],[Mountain]],-1,0)+TblConstr[[#This Row],[Ch_Mountain]]</f>
        <v>20</v>
      </c>
      <c r="J96" s="485">
        <f ca="1">OFFSET(TblConstr[[#This Row],[Hill]],-1,0)+TblConstr[[#This Row],[Ch_Hill]]</f>
        <v>20</v>
      </c>
      <c r="K96" s="489">
        <f ca="1">OFFSET(TblConstr[[#This Row],[Swamp]],-1,0)+TblConstr[[#This Row],[Ch_Swamp]]</f>
        <v>20</v>
      </c>
      <c r="L96" s="239">
        <f ca="1">OFFSET(TblConstr[[#This Row],[Cavern]],-1,0)+TblConstr[[#This Row],[Ch_Cavern]]</f>
        <v>20</v>
      </c>
      <c r="M96" s="240">
        <f ca="1">OFFSET(TblConstr[[#This Row],[Water]],-1,0)+TblConstr[[#This Row],[Ch_Water]]</f>
        <v>20</v>
      </c>
      <c r="N96" s="479">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44346.83333333311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605741</v>
      </c>
      <c r="AL96" s="113">
        <f ca="1">TblProd[[#This Row],[Lumber]]</f>
        <v>66249</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11</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3" cm="1">
        <f t="array" aca="1" ref="BF96" ca="1">IF(TblConstr[[#This Row],[Hour]:[Hour]]&gt;12,OFFSET(TblConstr[[#This Row],[OM]],-12,0),0)+OFFSET(TblConstr[[#This Row],[Tot OM]],-1,0)-TblConstr[[#This Row],[Dest OM]]</f>
        <v>0</v>
      </c>
      <c r="BG96" s="483" cm="1">
        <f t="array" aca="1" ref="BG96" ca="1">IF(TblConstr[[#This Row],[Hour]:[Hour]]&gt;12,OFFSET(TblConstr[[#This Row],[GN]],-12,0),0)+OFFSET(TblConstr[[#This Row],[Tot GN]],-1,0)-TblConstr[[#This Row],[Dest GN]]</f>
        <v>0</v>
      </c>
      <c r="BH96" s="487" cm="1">
        <f t="array" aca="1" ref="BH96" ca="1">IF(TblConstr[[#This Row],[Hour]:[Hour]]&gt;12,OFFSET(TblConstr[[#This Row],[Fac]],-12,0),0)+OFFSET(TblConstr[[#This Row],[Tot Fac]],-1,0)-TblConstr[[#This Row],[Dest Fac]]</f>
        <v>0</v>
      </c>
      <c r="BI96" s="487" cm="1">
        <f t="array" aca="1" ref="BI96" ca="1">IF(TblConstr[[#This Row],[Hour]:[Hour]]&gt;12,OFFSET(TblConstr[[#This Row],[GT]],-12,0),0)+OFFSET(TblConstr[[#This Row],[Tot GT]],-1,0)-TblConstr[[#This Row],[Dest GT]]</f>
        <v>0</v>
      </c>
      <c r="BJ96" s="487" cm="1">
        <f t="array" aca="1" ref="BJ96" ca="1">IF(TblConstr[[#This Row],[Hour]:[Hour]]&gt;12,OFFSET(TblConstr[[#This Row],[Bar]],-12,0),0)+OFFSET(TblConstr[[#This Row],[Tot Bar]],-1,0)-TblConstr[[#This Row],[Dest Bar]]</f>
        <v>0</v>
      </c>
      <c r="BK96" s="487" cm="1">
        <f t="array" aca="1" ref="BK96" ca="1">IF(TblConstr[[#This Row],[Hour]:[Hour]]&gt;12,OFFSET(TblConstr[[#This Row],[Shr]],-12,0),0)+OFFSET(TblConstr[[#This Row],[Tot Shr]],-1,0)-TblConstr[[#This Row],[Dest Shr]]</f>
        <v>0</v>
      </c>
      <c r="BL96" s="491" cm="1">
        <f t="array" aca="1" ref="BL96" ca="1">IF(TblConstr[[#This Row],[Hour]:[Hour]]&gt;12,OFFSET(TblConstr[[#This Row],[Tow]],-12,0),0)+OFFSET(TblConstr[[#This Row],[Tot Tow]],-1,0)-TblConstr[[#This Row],[Dest Tow]]</f>
        <v>0</v>
      </c>
      <c r="BM96" s="491" cm="1">
        <f t="array" aca="1" ref="BM96" ca="1">IF(TblConstr[[#This Row],[Hour]:[Hour]]&gt;12,OFFSET(TblConstr[[#This Row],[Tem]],-12,0),0)+OFFSET(TblConstr[[#This Row],[Tot Tem]],-1,0)-TblConstr[[#This Row],[Dest Tem]]</f>
        <v>0</v>
      </c>
      <c r="BN96" s="491"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44346.83333333311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1">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99</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11</v>
      </c>
      <c r="DI96" s="49">
        <f t="shared" ca="1" si="19"/>
        <v>0</v>
      </c>
      <c r="DJ96" s="49">
        <f t="shared" ca="1" si="20"/>
        <v>0</v>
      </c>
    </row>
    <row r="97" spans="1:114" x14ac:dyDescent="0.2">
      <c r="A97" s="228">
        <f>TblRezone[[#This Row],[Hour]]</f>
        <v>94</v>
      </c>
      <c r="B97" s="229">
        <f ca="1">SUM(TblConstr[[#This Row],[Plain]:[Water]])</f>
        <v>159</v>
      </c>
      <c r="C97" s="230">
        <f ca="1">SUM(TblConstr[[#This Row],[Tot Hom]:[Tot Doc]])</f>
        <v>91</v>
      </c>
      <c r="D97" s="230">
        <f t="shared" si="21"/>
        <v>0</v>
      </c>
      <c r="E97" s="231"/>
      <c r="F97" s="74">
        <f ca="1">TblConstr[[#This Row],[Barren]]+TblConstr[[#This Row],[Buildings]]+TblConstr[[#This Row],[Incoming]]</f>
        <v>250</v>
      </c>
      <c r="G97" s="242">
        <f ca="1">OFFSET(TblConstr[[#This Row],[Plain]],-1,0)+TblConstr[[#This Row],[Ch_Plain]]</f>
        <v>39</v>
      </c>
      <c r="H97" s="236">
        <f ca="1">OFFSET(TblConstr[[#This Row],[Forest]],-1,0)+TblConstr[[#This Row],[Ch_Forest]]</f>
        <v>20</v>
      </c>
      <c r="I97" s="481">
        <f ca="1">OFFSET(TblConstr[[#This Row],[Mountain]],-1,0)+TblConstr[[#This Row],[Ch_Mountain]]</f>
        <v>20</v>
      </c>
      <c r="J97" s="485">
        <f ca="1">OFFSET(TblConstr[[#This Row],[Hill]],-1,0)+TblConstr[[#This Row],[Ch_Hill]]</f>
        <v>20</v>
      </c>
      <c r="K97" s="489">
        <f ca="1">OFFSET(TblConstr[[#This Row],[Swamp]],-1,0)+TblConstr[[#This Row],[Ch_Swamp]]</f>
        <v>20</v>
      </c>
      <c r="L97" s="239">
        <f ca="1">OFFSET(TblConstr[[#This Row],[Cavern]],-1,0)+TblConstr[[#This Row],[Ch_Cavern]]</f>
        <v>20</v>
      </c>
      <c r="M97" s="240">
        <f ca="1">OFFSET(TblConstr[[#This Row],[Water]],-1,0)+TblConstr[[#This Row],[Ch_Water]]</f>
        <v>20</v>
      </c>
      <c r="N97" s="479">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44346.874999999774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611240</v>
      </c>
      <c r="AL97" s="113">
        <f ca="1">TblProd[[#This Row],[Lumber]]</f>
        <v>66587</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11</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3" cm="1">
        <f t="array" aca="1" ref="BF97" ca="1">IF(TblConstr[[#This Row],[Hour]:[Hour]]&gt;12,OFFSET(TblConstr[[#This Row],[OM]],-12,0),0)+OFFSET(TblConstr[[#This Row],[Tot OM]],-1,0)-TblConstr[[#This Row],[Dest OM]]</f>
        <v>0</v>
      </c>
      <c r="BG97" s="483" cm="1">
        <f t="array" aca="1" ref="BG97" ca="1">IF(TblConstr[[#This Row],[Hour]:[Hour]]&gt;12,OFFSET(TblConstr[[#This Row],[GN]],-12,0),0)+OFFSET(TblConstr[[#This Row],[Tot GN]],-1,0)-TblConstr[[#This Row],[Dest GN]]</f>
        <v>0</v>
      </c>
      <c r="BH97" s="487" cm="1">
        <f t="array" aca="1" ref="BH97" ca="1">IF(TblConstr[[#This Row],[Hour]:[Hour]]&gt;12,OFFSET(TblConstr[[#This Row],[Fac]],-12,0),0)+OFFSET(TblConstr[[#This Row],[Tot Fac]],-1,0)-TblConstr[[#This Row],[Dest Fac]]</f>
        <v>0</v>
      </c>
      <c r="BI97" s="487" cm="1">
        <f t="array" aca="1" ref="BI97" ca="1">IF(TblConstr[[#This Row],[Hour]:[Hour]]&gt;12,OFFSET(TblConstr[[#This Row],[GT]],-12,0),0)+OFFSET(TblConstr[[#This Row],[Tot GT]],-1,0)-TblConstr[[#This Row],[Dest GT]]</f>
        <v>0</v>
      </c>
      <c r="BJ97" s="487" cm="1">
        <f t="array" aca="1" ref="BJ97" ca="1">IF(TblConstr[[#This Row],[Hour]:[Hour]]&gt;12,OFFSET(TblConstr[[#This Row],[Bar]],-12,0),0)+OFFSET(TblConstr[[#This Row],[Tot Bar]],-1,0)-TblConstr[[#This Row],[Dest Bar]]</f>
        <v>0</v>
      </c>
      <c r="BK97" s="487" cm="1">
        <f t="array" aca="1" ref="BK97" ca="1">IF(TblConstr[[#This Row],[Hour]:[Hour]]&gt;12,OFFSET(TblConstr[[#This Row],[Shr]],-12,0),0)+OFFSET(TblConstr[[#This Row],[Tot Shr]],-1,0)-TblConstr[[#This Row],[Dest Shr]]</f>
        <v>0</v>
      </c>
      <c r="BL97" s="491" cm="1">
        <f t="array" aca="1" ref="BL97" ca="1">IF(TblConstr[[#This Row],[Hour]:[Hour]]&gt;12,OFFSET(TblConstr[[#This Row],[Tow]],-12,0),0)+OFFSET(TblConstr[[#This Row],[Tot Tow]],-1,0)-TblConstr[[#This Row],[Dest Tow]]</f>
        <v>0</v>
      </c>
      <c r="BM97" s="491" cm="1">
        <f t="array" aca="1" ref="BM97" ca="1">IF(TblConstr[[#This Row],[Hour]:[Hour]]&gt;12,OFFSET(TblConstr[[#This Row],[Tem]],-12,0),0)+OFFSET(TblConstr[[#This Row],[Tot Tem]],-1,0)-TblConstr[[#This Row],[Dest Tem]]</f>
        <v>0</v>
      </c>
      <c r="BN97" s="491"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44346.874999999774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1">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99</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11</v>
      </c>
      <c r="DI97" s="49">
        <f t="shared" ca="1" si="19"/>
        <v>0</v>
      </c>
      <c r="DJ97" s="49">
        <f t="shared" ca="1" si="20"/>
        <v>0</v>
      </c>
    </row>
    <row r="98" spans="1:114" x14ac:dyDescent="0.2">
      <c r="A98" s="228">
        <f>TblRezone[[#This Row],[Hour]]</f>
        <v>95</v>
      </c>
      <c r="B98" s="229">
        <f ca="1">SUM(TblConstr[[#This Row],[Plain]:[Water]])</f>
        <v>159</v>
      </c>
      <c r="C98" s="230">
        <f ca="1">SUM(TblConstr[[#This Row],[Tot Hom]:[Tot Doc]])</f>
        <v>91</v>
      </c>
      <c r="D98" s="230">
        <f t="shared" si="21"/>
        <v>0</v>
      </c>
      <c r="E98" s="231"/>
      <c r="F98" s="74">
        <f ca="1">TblConstr[[#This Row],[Barren]]+TblConstr[[#This Row],[Buildings]]+TblConstr[[#This Row],[Incoming]]</f>
        <v>250</v>
      </c>
      <c r="G98" s="242">
        <f ca="1">OFFSET(TblConstr[[#This Row],[Plain]],-1,0)+TblConstr[[#This Row],[Ch_Plain]]</f>
        <v>39</v>
      </c>
      <c r="H98" s="236">
        <f ca="1">OFFSET(TblConstr[[#This Row],[Forest]],-1,0)+TblConstr[[#This Row],[Ch_Forest]]</f>
        <v>20</v>
      </c>
      <c r="I98" s="481">
        <f ca="1">OFFSET(TblConstr[[#This Row],[Mountain]],-1,0)+TblConstr[[#This Row],[Ch_Mountain]]</f>
        <v>20</v>
      </c>
      <c r="J98" s="485">
        <f ca="1">OFFSET(TblConstr[[#This Row],[Hill]],-1,0)+TblConstr[[#This Row],[Ch_Hill]]</f>
        <v>20</v>
      </c>
      <c r="K98" s="489">
        <f ca="1">OFFSET(TblConstr[[#This Row],[Swamp]],-1,0)+TblConstr[[#This Row],[Ch_Swamp]]</f>
        <v>20</v>
      </c>
      <c r="L98" s="239">
        <f ca="1">OFFSET(TblConstr[[#This Row],[Cavern]],-1,0)+TblConstr[[#This Row],[Ch_Cavern]]</f>
        <v>20</v>
      </c>
      <c r="M98" s="240">
        <f ca="1">OFFSET(TblConstr[[#This Row],[Water]],-1,0)+TblConstr[[#This Row],[Ch_Water]]</f>
        <v>20</v>
      </c>
      <c r="N98" s="479">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44346.916666666439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616739</v>
      </c>
      <c r="AL98" s="113">
        <f ca="1">TblProd[[#This Row],[Lumber]]</f>
        <v>66921</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11</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3" cm="1">
        <f t="array" aca="1" ref="BF98" ca="1">IF(TblConstr[[#This Row],[Hour]:[Hour]]&gt;12,OFFSET(TblConstr[[#This Row],[OM]],-12,0),0)+OFFSET(TblConstr[[#This Row],[Tot OM]],-1,0)-TblConstr[[#This Row],[Dest OM]]</f>
        <v>0</v>
      </c>
      <c r="BG98" s="483" cm="1">
        <f t="array" aca="1" ref="BG98" ca="1">IF(TblConstr[[#This Row],[Hour]:[Hour]]&gt;12,OFFSET(TblConstr[[#This Row],[GN]],-12,0),0)+OFFSET(TblConstr[[#This Row],[Tot GN]],-1,0)-TblConstr[[#This Row],[Dest GN]]</f>
        <v>0</v>
      </c>
      <c r="BH98" s="487" cm="1">
        <f t="array" aca="1" ref="BH98" ca="1">IF(TblConstr[[#This Row],[Hour]:[Hour]]&gt;12,OFFSET(TblConstr[[#This Row],[Fac]],-12,0),0)+OFFSET(TblConstr[[#This Row],[Tot Fac]],-1,0)-TblConstr[[#This Row],[Dest Fac]]</f>
        <v>0</v>
      </c>
      <c r="BI98" s="487" cm="1">
        <f t="array" aca="1" ref="BI98" ca="1">IF(TblConstr[[#This Row],[Hour]:[Hour]]&gt;12,OFFSET(TblConstr[[#This Row],[GT]],-12,0),0)+OFFSET(TblConstr[[#This Row],[Tot GT]],-1,0)-TblConstr[[#This Row],[Dest GT]]</f>
        <v>0</v>
      </c>
      <c r="BJ98" s="487" cm="1">
        <f t="array" aca="1" ref="BJ98" ca="1">IF(TblConstr[[#This Row],[Hour]:[Hour]]&gt;12,OFFSET(TblConstr[[#This Row],[Bar]],-12,0),0)+OFFSET(TblConstr[[#This Row],[Tot Bar]],-1,0)-TblConstr[[#This Row],[Dest Bar]]</f>
        <v>0</v>
      </c>
      <c r="BK98" s="487" cm="1">
        <f t="array" aca="1" ref="BK98" ca="1">IF(TblConstr[[#This Row],[Hour]:[Hour]]&gt;12,OFFSET(TblConstr[[#This Row],[Shr]],-12,0),0)+OFFSET(TblConstr[[#This Row],[Tot Shr]],-1,0)-TblConstr[[#This Row],[Dest Shr]]</f>
        <v>0</v>
      </c>
      <c r="BL98" s="491" cm="1">
        <f t="array" aca="1" ref="BL98" ca="1">IF(TblConstr[[#This Row],[Hour]:[Hour]]&gt;12,OFFSET(TblConstr[[#This Row],[Tow]],-12,0),0)+OFFSET(TblConstr[[#This Row],[Tot Tow]],-1,0)-TblConstr[[#This Row],[Dest Tow]]</f>
        <v>0</v>
      </c>
      <c r="BM98" s="491" cm="1">
        <f t="array" aca="1" ref="BM98" ca="1">IF(TblConstr[[#This Row],[Hour]:[Hour]]&gt;12,OFFSET(TblConstr[[#This Row],[Tem]],-12,0),0)+OFFSET(TblConstr[[#This Row],[Tot Tem]],-1,0)-TblConstr[[#This Row],[Dest Tem]]</f>
        <v>0</v>
      </c>
      <c r="BN98" s="491"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44346.916666666439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1">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99</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11</v>
      </c>
      <c r="DI98" s="49">
        <f t="shared" ca="1" si="19"/>
        <v>0</v>
      </c>
      <c r="DJ98" s="49">
        <f t="shared" ca="1" si="20"/>
        <v>0</v>
      </c>
    </row>
    <row r="99" spans="1:114" x14ac:dyDescent="0.2">
      <c r="A99" s="228">
        <f>TblRezone[[#This Row],[Hour]]</f>
        <v>96</v>
      </c>
      <c r="B99" s="229">
        <f ca="1">SUM(TblConstr[[#This Row],[Plain]:[Water]])</f>
        <v>159</v>
      </c>
      <c r="C99" s="230">
        <f ca="1">SUM(TblConstr[[#This Row],[Tot Hom]:[Tot Doc]])</f>
        <v>91</v>
      </c>
      <c r="D99" s="230">
        <f t="shared" si="21"/>
        <v>0</v>
      </c>
      <c r="E99" s="231"/>
      <c r="F99" s="74">
        <f ca="1">TblConstr[[#This Row],[Barren]]+TblConstr[[#This Row],[Buildings]]+TblConstr[[#This Row],[Incoming]]</f>
        <v>250</v>
      </c>
      <c r="G99" s="242">
        <f ca="1">OFFSET(TblConstr[[#This Row],[Plain]],-1,0)+TblConstr[[#This Row],[Ch_Plain]]</f>
        <v>39</v>
      </c>
      <c r="H99" s="236">
        <f ca="1">OFFSET(TblConstr[[#This Row],[Forest]],-1,0)+TblConstr[[#This Row],[Ch_Forest]]</f>
        <v>20</v>
      </c>
      <c r="I99" s="481">
        <f ca="1">OFFSET(TblConstr[[#This Row],[Mountain]],-1,0)+TblConstr[[#This Row],[Ch_Mountain]]</f>
        <v>20</v>
      </c>
      <c r="J99" s="485">
        <f ca="1">OFFSET(TblConstr[[#This Row],[Hill]],-1,0)+TblConstr[[#This Row],[Ch_Hill]]</f>
        <v>20</v>
      </c>
      <c r="K99" s="489">
        <f ca="1">OFFSET(TblConstr[[#This Row],[Swamp]],-1,0)+TblConstr[[#This Row],[Ch_Swamp]]</f>
        <v>20</v>
      </c>
      <c r="L99" s="239">
        <f ca="1">OFFSET(TblConstr[[#This Row],[Cavern]],-1,0)+TblConstr[[#This Row],[Ch_Cavern]]</f>
        <v>20</v>
      </c>
      <c r="M99" s="240">
        <f ca="1">OFFSET(TblConstr[[#This Row],[Water]],-1,0)+TblConstr[[#This Row],[Ch_Water]]</f>
        <v>20</v>
      </c>
      <c r="N99" s="479">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44346.958333333103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622238</v>
      </c>
      <c r="AL99" s="113">
        <f ca="1">TblProd[[#This Row],[Lumber]]</f>
        <v>67252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11</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3" cm="1">
        <f t="array" aca="1" ref="BF99" ca="1">IF(TblConstr[[#This Row],[Hour]:[Hour]]&gt;12,OFFSET(TblConstr[[#This Row],[OM]],-12,0),0)+OFFSET(TblConstr[[#This Row],[Tot OM]],-1,0)-TblConstr[[#This Row],[Dest OM]]</f>
        <v>0</v>
      </c>
      <c r="BG99" s="483" cm="1">
        <f t="array" aca="1" ref="BG99" ca="1">IF(TblConstr[[#This Row],[Hour]:[Hour]]&gt;12,OFFSET(TblConstr[[#This Row],[GN]],-12,0),0)+OFFSET(TblConstr[[#This Row],[Tot GN]],-1,0)-TblConstr[[#This Row],[Dest GN]]</f>
        <v>0</v>
      </c>
      <c r="BH99" s="487" cm="1">
        <f t="array" aca="1" ref="BH99" ca="1">IF(TblConstr[[#This Row],[Hour]:[Hour]]&gt;12,OFFSET(TblConstr[[#This Row],[Fac]],-12,0),0)+OFFSET(TblConstr[[#This Row],[Tot Fac]],-1,0)-TblConstr[[#This Row],[Dest Fac]]</f>
        <v>0</v>
      </c>
      <c r="BI99" s="487" cm="1">
        <f t="array" aca="1" ref="BI99" ca="1">IF(TblConstr[[#This Row],[Hour]:[Hour]]&gt;12,OFFSET(TblConstr[[#This Row],[GT]],-12,0),0)+OFFSET(TblConstr[[#This Row],[Tot GT]],-1,0)-TblConstr[[#This Row],[Dest GT]]</f>
        <v>0</v>
      </c>
      <c r="BJ99" s="487" cm="1">
        <f t="array" aca="1" ref="BJ99" ca="1">IF(TblConstr[[#This Row],[Hour]:[Hour]]&gt;12,OFFSET(TblConstr[[#This Row],[Bar]],-12,0),0)+OFFSET(TblConstr[[#This Row],[Tot Bar]],-1,0)-TblConstr[[#This Row],[Dest Bar]]</f>
        <v>0</v>
      </c>
      <c r="BK99" s="487" cm="1">
        <f t="array" aca="1" ref="BK99" ca="1">IF(TblConstr[[#This Row],[Hour]:[Hour]]&gt;12,OFFSET(TblConstr[[#This Row],[Shr]],-12,0),0)+OFFSET(TblConstr[[#This Row],[Tot Shr]],-1,0)-TblConstr[[#This Row],[Dest Shr]]</f>
        <v>0</v>
      </c>
      <c r="BL99" s="491" cm="1">
        <f t="array" aca="1" ref="BL99" ca="1">IF(TblConstr[[#This Row],[Hour]:[Hour]]&gt;12,OFFSET(TblConstr[[#This Row],[Tow]],-12,0),0)+OFFSET(TblConstr[[#This Row],[Tot Tow]],-1,0)-TblConstr[[#This Row],[Dest Tow]]</f>
        <v>0</v>
      </c>
      <c r="BM99" s="491" cm="1">
        <f t="array" aca="1" ref="BM99" ca="1">IF(TblConstr[[#This Row],[Hour]:[Hour]]&gt;12,OFFSET(TblConstr[[#This Row],[Tem]],-12,0),0)+OFFSET(TblConstr[[#This Row],[Tot Tem]],-1,0)-TblConstr[[#This Row],[Dest Tem]]</f>
        <v>0</v>
      </c>
      <c r="BN99" s="491"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44346.958333333103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1">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99</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11</v>
      </c>
      <c r="DI99" s="49">
        <f t="shared" ca="1" si="19"/>
        <v>0</v>
      </c>
      <c r="DJ99" s="49">
        <f t="shared" ca="1" si="20"/>
        <v>0</v>
      </c>
    </row>
    <row r="100" spans="1:114" x14ac:dyDescent="0.2">
      <c r="A100" s="228">
        <f>TblRezone[[#This Row],[Hour]]</f>
        <v>97</v>
      </c>
      <c r="B100" s="229">
        <f ca="1">SUM(TblConstr[[#This Row],[Plain]:[Water]])</f>
        <v>159</v>
      </c>
      <c r="C100" s="230">
        <f ca="1">SUM(TblConstr[[#This Row],[Tot Hom]:[Tot Doc]])</f>
        <v>91</v>
      </c>
      <c r="D100" s="230">
        <f t="shared" si="21"/>
        <v>0</v>
      </c>
      <c r="E100" s="231"/>
      <c r="F100" s="74">
        <f ca="1">TblConstr[[#This Row],[Barren]]+TblConstr[[#This Row],[Buildings]]+TblConstr[[#This Row],[Incoming]]</f>
        <v>250</v>
      </c>
      <c r="G100" s="242">
        <f ca="1">OFFSET(TblConstr[[#This Row],[Plain]],-1,0)+TblConstr[[#This Row],[Ch_Plain]]</f>
        <v>39</v>
      </c>
      <c r="H100" s="236">
        <f ca="1">OFFSET(TblConstr[[#This Row],[Forest]],-1,0)+TblConstr[[#This Row],[Ch_Forest]]</f>
        <v>20</v>
      </c>
      <c r="I100" s="481">
        <f ca="1">OFFSET(TblConstr[[#This Row],[Mountain]],-1,0)+TblConstr[[#This Row],[Ch_Mountain]]</f>
        <v>20</v>
      </c>
      <c r="J100" s="485">
        <f ca="1">OFFSET(TblConstr[[#This Row],[Hill]],-1,0)+TblConstr[[#This Row],[Ch_Hill]]</f>
        <v>20</v>
      </c>
      <c r="K100" s="489">
        <f ca="1">OFFSET(TblConstr[[#This Row],[Swamp]],-1,0)+TblConstr[[#This Row],[Ch_Swamp]]</f>
        <v>20</v>
      </c>
      <c r="L100" s="239">
        <f ca="1">OFFSET(TblConstr[[#This Row],[Cavern]],-1,0)+TblConstr[[#This Row],[Ch_Cavern]]</f>
        <v>20</v>
      </c>
      <c r="M100" s="240">
        <f ca="1">OFFSET(TblConstr[[#This Row],[Water]],-1,0)+TblConstr[[#This Row],[Ch_Water]]</f>
        <v>20</v>
      </c>
      <c r="N100" s="479">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44346.999999999767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627737</v>
      </c>
      <c r="AL100" s="113">
        <f ca="1">TblProd[[#This Row],[Lumber]]</f>
        <v>67579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11</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3" cm="1">
        <f t="array" aca="1" ref="BF100" ca="1">IF(TblConstr[[#This Row],[Hour]:[Hour]]&gt;12,OFFSET(TblConstr[[#This Row],[OM]],-12,0),0)+OFFSET(TblConstr[[#This Row],[Tot OM]],-1,0)-TblConstr[[#This Row],[Dest OM]]</f>
        <v>0</v>
      </c>
      <c r="BG100" s="483" cm="1">
        <f t="array" aca="1" ref="BG100" ca="1">IF(TblConstr[[#This Row],[Hour]:[Hour]]&gt;12,OFFSET(TblConstr[[#This Row],[GN]],-12,0),0)+OFFSET(TblConstr[[#This Row],[Tot GN]],-1,0)-TblConstr[[#This Row],[Dest GN]]</f>
        <v>0</v>
      </c>
      <c r="BH100" s="487" cm="1">
        <f t="array" aca="1" ref="BH100" ca="1">IF(TblConstr[[#This Row],[Hour]:[Hour]]&gt;12,OFFSET(TblConstr[[#This Row],[Fac]],-12,0),0)+OFFSET(TblConstr[[#This Row],[Tot Fac]],-1,0)-TblConstr[[#This Row],[Dest Fac]]</f>
        <v>0</v>
      </c>
      <c r="BI100" s="487" cm="1">
        <f t="array" aca="1" ref="BI100" ca="1">IF(TblConstr[[#This Row],[Hour]:[Hour]]&gt;12,OFFSET(TblConstr[[#This Row],[GT]],-12,0),0)+OFFSET(TblConstr[[#This Row],[Tot GT]],-1,0)-TblConstr[[#This Row],[Dest GT]]</f>
        <v>0</v>
      </c>
      <c r="BJ100" s="487" cm="1">
        <f t="array" aca="1" ref="BJ100" ca="1">IF(TblConstr[[#This Row],[Hour]:[Hour]]&gt;12,OFFSET(TblConstr[[#This Row],[Bar]],-12,0),0)+OFFSET(TblConstr[[#This Row],[Tot Bar]],-1,0)-TblConstr[[#This Row],[Dest Bar]]</f>
        <v>0</v>
      </c>
      <c r="BK100" s="487" cm="1">
        <f t="array" aca="1" ref="BK100" ca="1">IF(TblConstr[[#This Row],[Hour]:[Hour]]&gt;12,OFFSET(TblConstr[[#This Row],[Shr]],-12,0),0)+OFFSET(TblConstr[[#This Row],[Tot Shr]],-1,0)-TblConstr[[#This Row],[Dest Shr]]</f>
        <v>0</v>
      </c>
      <c r="BL100" s="491" cm="1">
        <f t="array" aca="1" ref="BL100" ca="1">IF(TblConstr[[#This Row],[Hour]:[Hour]]&gt;12,OFFSET(TblConstr[[#This Row],[Tow]],-12,0),0)+OFFSET(TblConstr[[#This Row],[Tot Tow]],-1,0)-TblConstr[[#This Row],[Dest Tow]]</f>
        <v>0</v>
      </c>
      <c r="BM100" s="491" cm="1">
        <f t="array" aca="1" ref="BM100" ca="1">IF(TblConstr[[#This Row],[Hour]:[Hour]]&gt;12,OFFSET(TblConstr[[#This Row],[Tem]],-12,0),0)+OFFSET(TblConstr[[#This Row],[Tot Tem]],-1,0)-TblConstr[[#This Row],[Dest Tem]]</f>
        <v>0</v>
      </c>
      <c r="BN100" s="491"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44346.999999999767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1">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99</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11</v>
      </c>
      <c r="DI100" s="49">
        <f t="shared" ca="1" si="19"/>
        <v>0</v>
      </c>
      <c r="DJ100" s="49">
        <f t="shared" ca="1" si="20"/>
        <v>0</v>
      </c>
    </row>
    <row r="101" spans="1:114" x14ac:dyDescent="0.2">
      <c r="A101" s="228">
        <f>TblRezone[[#This Row],[Hour]]</f>
        <v>98</v>
      </c>
      <c r="B101" s="229">
        <f ca="1">SUM(TblConstr[[#This Row],[Plain]:[Water]])</f>
        <v>159</v>
      </c>
      <c r="C101" s="230">
        <f ca="1">SUM(TblConstr[[#This Row],[Tot Hom]:[Tot Doc]])</f>
        <v>91</v>
      </c>
      <c r="D101" s="230">
        <f t="shared" si="21"/>
        <v>0</v>
      </c>
      <c r="E101" s="231"/>
      <c r="F101" s="74">
        <f ca="1">TblConstr[[#This Row],[Barren]]+TblConstr[[#This Row],[Buildings]]+TblConstr[[#This Row],[Incoming]]</f>
        <v>250</v>
      </c>
      <c r="G101" s="242">
        <f ca="1">OFFSET(TblConstr[[#This Row],[Plain]],-1,0)+TblConstr[[#This Row],[Ch_Plain]]</f>
        <v>39</v>
      </c>
      <c r="H101" s="236">
        <f ca="1">OFFSET(TblConstr[[#This Row],[Forest]],-1,0)+TblConstr[[#This Row],[Ch_Forest]]</f>
        <v>20</v>
      </c>
      <c r="I101" s="481">
        <f ca="1">OFFSET(TblConstr[[#This Row],[Mountain]],-1,0)+TblConstr[[#This Row],[Ch_Mountain]]</f>
        <v>20</v>
      </c>
      <c r="J101" s="485">
        <f ca="1">OFFSET(TblConstr[[#This Row],[Hill]],-1,0)+TblConstr[[#This Row],[Ch_Hill]]</f>
        <v>20</v>
      </c>
      <c r="K101" s="489">
        <f ca="1">OFFSET(TblConstr[[#This Row],[Swamp]],-1,0)+TblConstr[[#This Row],[Ch_Swamp]]</f>
        <v>20</v>
      </c>
      <c r="L101" s="239">
        <f ca="1">OFFSET(TblConstr[[#This Row],[Cavern]],-1,0)+TblConstr[[#This Row],[Ch_Cavern]]</f>
        <v>20</v>
      </c>
      <c r="M101" s="240">
        <f ca="1">OFFSET(TblConstr[[#This Row],[Water]],-1,0)+TblConstr[[#This Row],[Ch_Water]]</f>
        <v>20</v>
      </c>
      <c r="N101" s="479">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44347.041666666431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633236</v>
      </c>
      <c r="AL101" s="113">
        <f ca="1">TblProd[[#This Row],[Lumber]]</f>
        <v>67903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11</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3" cm="1">
        <f t="array" aca="1" ref="BF101" ca="1">IF(TblConstr[[#This Row],[Hour]:[Hour]]&gt;12,OFFSET(TblConstr[[#This Row],[OM]],-12,0),0)+OFFSET(TblConstr[[#This Row],[Tot OM]],-1,0)-TblConstr[[#This Row],[Dest OM]]</f>
        <v>0</v>
      </c>
      <c r="BG101" s="483" cm="1">
        <f t="array" aca="1" ref="BG101" ca="1">IF(TblConstr[[#This Row],[Hour]:[Hour]]&gt;12,OFFSET(TblConstr[[#This Row],[GN]],-12,0),0)+OFFSET(TblConstr[[#This Row],[Tot GN]],-1,0)-TblConstr[[#This Row],[Dest GN]]</f>
        <v>0</v>
      </c>
      <c r="BH101" s="487" cm="1">
        <f t="array" aca="1" ref="BH101" ca="1">IF(TblConstr[[#This Row],[Hour]:[Hour]]&gt;12,OFFSET(TblConstr[[#This Row],[Fac]],-12,0),0)+OFFSET(TblConstr[[#This Row],[Tot Fac]],-1,0)-TblConstr[[#This Row],[Dest Fac]]</f>
        <v>0</v>
      </c>
      <c r="BI101" s="487" cm="1">
        <f t="array" aca="1" ref="BI101" ca="1">IF(TblConstr[[#This Row],[Hour]:[Hour]]&gt;12,OFFSET(TblConstr[[#This Row],[GT]],-12,0),0)+OFFSET(TblConstr[[#This Row],[Tot GT]],-1,0)-TblConstr[[#This Row],[Dest GT]]</f>
        <v>0</v>
      </c>
      <c r="BJ101" s="487" cm="1">
        <f t="array" aca="1" ref="BJ101" ca="1">IF(TblConstr[[#This Row],[Hour]:[Hour]]&gt;12,OFFSET(TblConstr[[#This Row],[Bar]],-12,0),0)+OFFSET(TblConstr[[#This Row],[Tot Bar]],-1,0)-TblConstr[[#This Row],[Dest Bar]]</f>
        <v>0</v>
      </c>
      <c r="BK101" s="487" cm="1">
        <f t="array" aca="1" ref="BK101" ca="1">IF(TblConstr[[#This Row],[Hour]:[Hour]]&gt;12,OFFSET(TblConstr[[#This Row],[Shr]],-12,0),0)+OFFSET(TblConstr[[#This Row],[Tot Shr]],-1,0)-TblConstr[[#This Row],[Dest Shr]]</f>
        <v>0</v>
      </c>
      <c r="BL101" s="491" cm="1">
        <f t="array" aca="1" ref="BL101" ca="1">IF(TblConstr[[#This Row],[Hour]:[Hour]]&gt;12,OFFSET(TblConstr[[#This Row],[Tow]],-12,0),0)+OFFSET(TblConstr[[#This Row],[Tot Tow]],-1,0)-TblConstr[[#This Row],[Dest Tow]]</f>
        <v>0</v>
      </c>
      <c r="BM101" s="491" cm="1">
        <f t="array" aca="1" ref="BM101" ca="1">IF(TblConstr[[#This Row],[Hour]:[Hour]]&gt;12,OFFSET(TblConstr[[#This Row],[Tem]],-12,0),0)+OFFSET(TblConstr[[#This Row],[Tot Tem]],-1,0)-TblConstr[[#This Row],[Dest Tem]]</f>
        <v>0</v>
      </c>
      <c r="BN101" s="491"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44347.041666666431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1">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99</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11</v>
      </c>
      <c r="DI101" s="49">
        <f t="shared" ca="1" si="19"/>
        <v>0</v>
      </c>
      <c r="DJ101" s="49">
        <f t="shared" ca="1" si="20"/>
        <v>0</v>
      </c>
    </row>
    <row r="102" spans="1:114" x14ac:dyDescent="0.2">
      <c r="A102" s="228">
        <f>TblRezone[[#This Row],[Hour]]</f>
        <v>99</v>
      </c>
      <c r="B102" s="229">
        <f ca="1">SUM(TblConstr[[#This Row],[Plain]:[Water]])</f>
        <v>159</v>
      </c>
      <c r="C102" s="230">
        <f ca="1">SUM(TblConstr[[#This Row],[Tot Hom]:[Tot Doc]])</f>
        <v>91</v>
      </c>
      <c r="D102" s="230">
        <f t="shared" si="21"/>
        <v>0</v>
      </c>
      <c r="E102" s="231"/>
      <c r="F102" s="74">
        <f ca="1">TblConstr[[#This Row],[Barren]]+TblConstr[[#This Row],[Buildings]]+TblConstr[[#This Row],[Incoming]]</f>
        <v>250</v>
      </c>
      <c r="G102" s="242">
        <f ca="1">OFFSET(TblConstr[[#This Row],[Plain]],-1,0)+TblConstr[[#This Row],[Ch_Plain]]</f>
        <v>39</v>
      </c>
      <c r="H102" s="236">
        <f ca="1">OFFSET(TblConstr[[#This Row],[Forest]],-1,0)+TblConstr[[#This Row],[Ch_Forest]]</f>
        <v>20</v>
      </c>
      <c r="I102" s="481">
        <f ca="1">OFFSET(TblConstr[[#This Row],[Mountain]],-1,0)+TblConstr[[#This Row],[Ch_Mountain]]</f>
        <v>20</v>
      </c>
      <c r="J102" s="485">
        <f ca="1">OFFSET(TblConstr[[#This Row],[Hill]],-1,0)+TblConstr[[#This Row],[Ch_Hill]]</f>
        <v>20</v>
      </c>
      <c r="K102" s="489">
        <f ca="1">OFFSET(TblConstr[[#This Row],[Swamp]],-1,0)+TblConstr[[#This Row],[Ch_Swamp]]</f>
        <v>20</v>
      </c>
      <c r="L102" s="239">
        <f ca="1">OFFSET(TblConstr[[#This Row],[Cavern]],-1,0)+TblConstr[[#This Row],[Ch_Cavern]]</f>
        <v>20</v>
      </c>
      <c r="M102" s="240">
        <f ca="1">OFFSET(TblConstr[[#This Row],[Water]],-1,0)+TblConstr[[#This Row],[Ch_Water]]</f>
        <v>20</v>
      </c>
      <c r="N102" s="479">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44347.083333333096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638735</v>
      </c>
      <c r="AL102" s="113">
        <f ca="1">TblProd[[#This Row],[Lumber]]</f>
        <v>68224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11</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3" cm="1">
        <f t="array" aca="1" ref="BF102" ca="1">IF(TblConstr[[#This Row],[Hour]:[Hour]]&gt;12,OFFSET(TblConstr[[#This Row],[OM]],-12,0),0)+OFFSET(TblConstr[[#This Row],[Tot OM]],-1,0)-TblConstr[[#This Row],[Dest OM]]</f>
        <v>0</v>
      </c>
      <c r="BG102" s="483" cm="1">
        <f t="array" aca="1" ref="BG102" ca="1">IF(TblConstr[[#This Row],[Hour]:[Hour]]&gt;12,OFFSET(TblConstr[[#This Row],[GN]],-12,0),0)+OFFSET(TblConstr[[#This Row],[Tot GN]],-1,0)-TblConstr[[#This Row],[Dest GN]]</f>
        <v>0</v>
      </c>
      <c r="BH102" s="487" cm="1">
        <f t="array" aca="1" ref="BH102" ca="1">IF(TblConstr[[#This Row],[Hour]:[Hour]]&gt;12,OFFSET(TblConstr[[#This Row],[Fac]],-12,0),0)+OFFSET(TblConstr[[#This Row],[Tot Fac]],-1,0)-TblConstr[[#This Row],[Dest Fac]]</f>
        <v>0</v>
      </c>
      <c r="BI102" s="487" cm="1">
        <f t="array" aca="1" ref="BI102" ca="1">IF(TblConstr[[#This Row],[Hour]:[Hour]]&gt;12,OFFSET(TblConstr[[#This Row],[GT]],-12,0),0)+OFFSET(TblConstr[[#This Row],[Tot GT]],-1,0)-TblConstr[[#This Row],[Dest GT]]</f>
        <v>0</v>
      </c>
      <c r="BJ102" s="487" cm="1">
        <f t="array" aca="1" ref="BJ102" ca="1">IF(TblConstr[[#This Row],[Hour]:[Hour]]&gt;12,OFFSET(TblConstr[[#This Row],[Bar]],-12,0),0)+OFFSET(TblConstr[[#This Row],[Tot Bar]],-1,0)-TblConstr[[#This Row],[Dest Bar]]</f>
        <v>0</v>
      </c>
      <c r="BK102" s="487" cm="1">
        <f t="array" aca="1" ref="BK102" ca="1">IF(TblConstr[[#This Row],[Hour]:[Hour]]&gt;12,OFFSET(TblConstr[[#This Row],[Shr]],-12,0),0)+OFFSET(TblConstr[[#This Row],[Tot Shr]],-1,0)-TblConstr[[#This Row],[Dest Shr]]</f>
        <v>0</v>
      </c>
      <c r="BL102" s="491" cm="1">
        <f t="array" aca="1" ref="BL102" ca="1">IF(TblConstr[[#This Row],[Hour]:[Hour]]&gt;12,OFFSET(TblConstr[[#This Row],[Tow]],-12,0),0)+OFFSET(TblConstr[[#This Row],[Tot Tow]],-1,0)-TblConstr[[#This Row],[Dest Tow]]</f>
        <v>0</v>
      </c>
      <c r="BM102" s="491" cm="1">
        <f t="array" aca="1" ref="BM102" ca="1">IF(TblConstr[[#This Row],[Hour]:[Hour]]&gt;12,OFFSET(TblConstr[[#This Row],[Tem]],-12,0),0)+OFFSET(TblConstr[[#This Row],[Tot Tem]],-1,0)-TblConstr[[#This Row],[Dest Tem]]</f>
        <v>0</v>
      </c>
      <c r="BN102" s="491"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44347.083333333096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1">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99</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11</v>
      </c>
      <c r="DI102" s="49">
        <f t="shared" ca="1" si="19"/>
        <v>0</v>
      </c>
      <c r="DJ102" s="49">
        <f t="shared" ca="1" si="20"/>
        <v>0</v>
      </c>
    </row>
    <row r="103" spans="1:114" x14ac:dyDescent="0.2">
      <c r="A103" s="228">
        <f>TblRezone[[#This Row],[Hour]]</f>
        <v>100</v>
      </c>
      <c r="B103" s="229">
        <f ca="1">SUM(TblConstr[[#This Row],[Plain]:[Water]])</f>
        <v>159</v>
      </c>
      <c r="C103" s="230">
        <f ca="1">SUM(TblConstr[[#This Row],[Tot Hom]:[Tot Doc]])</f>
        <v>91</v>
      </c>
      <c r="D103" s="230">
        <f t="shared" si="21"/>
        <v>0</v>
      </c>
      <c r="E103" s="231"/>
      <c r="F103" s="74">
        <f ca="1">TblConstr[[#This Row],[Barren]]+TblConstr[[#This Row],[Buildings]]+TblConstr[[#This Row],[Incoming]]</f>
        <v>250</v>
      </c>
      <c r="G103" s="242">
        <f ca="1">OFFSET(TblConstr[[#This Row],[Plain]],-1,0)+TblConstr[[#This Row],[Ch_Plain]]</f>
        <v>39</v>
      </c>
      <c r="H103" s="236">
        <f ca="1">OFFSET(TblConstr[[#This Row],[Forest]],-1,0)+TblConstr[[#This Row],[Ch_Forest]]</f>
        <v>20</v>
      </c>
      <c r="I103" s="481">
        <f ca="1">OFFSET(TblConstr[[#This Row],[Mountain]],-1,0)+TblConstr[[#This Row],[Ch_Mountain]]</f>
        <v>20</v>
      </c>
      <c r="J103" s="485">
        <f ca="1">OFFSET(TblConstr[[#This Row],[Hill]],-1,0)+TblConstr[[#This Row],[Ch_Hill]]</f>
        <v>20</v>
      </c>
      <c r="K103" s="489">
        <f ca="1">OFFSET(TblConstr[[#This Row],[Swamp]],-1,0)+TblConstr[[#This Row],[Ch_Swamp]]</f>
        <v>20</v>
      </c>
      <c r="L103" s="239">
        <f ca="1">OFFSET(TblConstr[[#This Row],[Cavern]],-1,0)+TblConstr[[#This Row],[Ch_Cavern]]</f>
        <v>20</v>
      </c>
      <c r="M103" s="240">
        <f ca="1">OFFSET(TblConstr[[#This Row],[Water]],-1,0)+TblConstr[[#This Row],[Ch_Water]]</f>
        <v>20</v>
      </c>
      <c r="N103" s="479">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44347.12499999976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644234</v>
      </c>
      <c r="AL103" s="113">
        <f ca="1">TblProd[[#This Row],[Lumber]]</f>
        <v>68542</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11</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3" cm="1">
        <f t="array" aca="1" ref="BF103" ca="1">IF(TblConstr[[#This Row],[Hour]:[Hour]]&gt;12,OFFSET(TblConstr[[#This Row],[OM]],-12,0),0)+OFFSET(TblConstr[[#This Row],[Tot OM]],-1,0)-TblConstr[[#This Row],[Dest OM]]</f>
        <v>0</v>
      </c>
      <c r="BG103" s="483" cm="1">
        <f t="array" aca="1" ref="BG103" ca="1">IF(TblConstr[[#This Row],[Hour]:[Hour]]&gt;12,OFFSET(TblConstr[[#This Row],[GN]],-12,0),0)+OFFSET(TblConstr[[#This Row],[Tot GN]],-1,0)-TblConstr[[#This Row],[Dest GN]]</f>
        <v>0</v>
      </c>
      <c r="BH103" s="487" cm="1">
        <f t="array" aca="1" ref="BH103" ca="1">IF(TblConstr[[#This Row],[Hour]:[Hour]]&gt;12,OFFSET(TblConstr[[#This Row],[Fac]],-12,0),0)+OFFSET(TblConstr[[#This Row],[Tot Fac]],-1,0)-TblConstr[[#This Row],[Dest Fac]]</f>
        <v>0</v>
      </c>
      <c r="BI103" s="487" cm="1">
        <f t="array" aca="1" ref="BI103" ca="1">IF(TblConstr[[#This Row],[Hour]:[Hour]]&gt;12,OFFSET(TblConstr[[#This Row],[GT]],-12,0),0)+OFFSET(TblConstr[[#This Row],[Tot GT]],-1,0)-TblConstr[[#This Row],[Dest GT]]</f>
        <v>0</v>
      </c>
      <c r="BJ103" s="487" cm="1">
        <f t="array" aca="1" ref="BJ103" ca="1">IF(TblConstr[[#This Row],[Hour]:[Hour]]&gt;12,OFFSET(TblConstr[[#This Row],[Bar]],-12,0),0)+OFFSET(TblConstr[[#This Row],[Tot Bar]],-1,0)-TblConstr[[#This Row],[Dest Bar]]</f>
        <v>0</v>
      </c>
      <c r="BK103" s="487" cm="1">
        <f t="array" aca="1" ref="BK103" ca="1">IF(TblConstr[[#This Row],[Hour]:[Hour]]&gt;12,OFFSET(TblConstr[[#This Row],[Shr]],-12,0),0)+OFFSET(TblConstr[[#This Row],[Tot Shr]],-1,0)-TblConstr[[#This Row],[Dest Shr]]</f>
        <v>0</v>
      </c>
      <c r="BL103" s="491" cm="1">
        <f t="array" aca="1" ref="BL103" ca="1">IF(TblConstr[[#This Row],[Hour]:[Hour]]&gt;12,OFFSET(TblConstr[[#This Row],[Tow]],-12,0),0)+OFFSET(TblConstr[[#This Row],[Tot Tow]],-1,0)-TblConstr[[#This Row],[Dest Tow]]</f>
        <v>0</v>
      </c>
      <c r="BM103" s="491" cm="1">
        <f t="array" aca="1" ref="BM103" ca="1">IF(TblConstr[[#This Row],[Hour]:[Hour]]&gt;12,OFFSET(TblConstr[[#This Row],[Tem]],-12,0),0)+OFFSET(TblConstr[[#This Row],[Tot Tem]],-1,0)-TblConstr[[#This Row],[Dest Tem]]</f>
        <v>0</v>
      </c>
      <c r="BN103" s="491"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44347.12499999976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1">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99</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11</v>
      </c>
      <c r="DI103" s="49">
        <f t="shared" ca="1" si="19"/>
        <v>0</v>
      </c>
      <c r="DJ103" s="49">
        <f t="shared" ca="1" si="20"/>
        <v>0</v>
      </c>
    </row>
    <row r="104" spans="1:114" x14ac:dyDescent="0.2">
      <c r="A104" s="228">
        <f>TblRezone[[#This Row],[Hour]]</f>
        <v>101</v>
      </c>
      <c r="B104" s="229">
        <f ca="1">SUM(TblConstr[[#This Row],[Plain]:[Water]])</f>
        <v>159</v>
      </c>
      <c r="C104" s="230">
        <f ca="1">SUM(TblConstr[[#This Row],[Tot Hom]:[Tot Doc]])</f>
        <v>91</v>
      </c>
      <c r="D104" s="230">
        <f t="shared" si="21"/>
        <v>0</v>
      </c>
      <c r="E104" s="231"/>
      <c r="F104" s="74">
        <f ca="1">TblConstr[[#This Row],[Barren]]+TblConstr[[#This Row],[Buildings]]+TblConstr[[#This Row],[Incoming]]</f>
        <v>250</v>
      </c>
      <c r="G104" s="242">
        <f ca="1">OFFSET(TblConstr[[#This Row],[Plain]],-1,0)+TblConstr[[#This Row],[Ch_Plain]]</f>
        <v>39</v>
      </c>
      <c r="H104" s="236">
        <f ca="1">OFFSET(TblConstr[[#This Row],[Forest]],-1,0)+TblConstr[[#This Row],[Ch_Forest]]</f>
        <v>20</v>
      </c>
      <c r="I104" s="481">
        <f ca="1">OFFSET(TblConstr[[#This Row],[Mountain]],-1,0)+TblConstr[[#This Row],[Ch_Mountain]]</f>
        <v>20</v>
      </c>
      <c r="J104" s="485">
        <f ca="1">OFFSET(TblConstr[[#This Row],[Hill]],-1,0)+TblConstr[[#This Row],[Ch_Hill]]</f>
        <v>20</v>
      </c>
      <c r="K104" s="489">
        <f ca="1">OFFSET(TblConstr[[#This Row],[Swamp]],-1,0)+TblConstr[[#This Row],[Ch_Swamp]]</f>
        <v>20</v>
      </c>
      <c r="L104" s="239">
        <f ca="1">OFFSET(TblConstr[[#This Row],[Cavern]],-1,0)+TblConstr[[#This Row],[Ch_Cavern]]</f>
        <v>20</v>
      </c>
      <c r="M104" s="240">
        <f ca="1">OFFSET(TblConstr[[#This Row],[Water]],-1,0)+TblConstr[[#This Row],[Ch_Water]]</f>
        <v>20</v>
      </c>
      <c r="N104" s="479">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44347.166666666424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649733</v>
      </c>
      <c r="AL104" s="113">
        <f ca="1">TblProd[[#This Row],[Lumber]]</f>
        <v>68857</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11</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3" cm="1">
        <f t="array" aca="1" ref="BF104" ca="1">IF(TblConstr[[#This Row],[Hour]:[Hour]]&gt;12,OFFSET(TblConstr[[#This Row],[OM]],-12,0),0)+OFFSET(TblConstr[[#This Row],[Tot OM]],-1,0)-TblConstr[[#This Row],[Dest OM]]</f>
        <v>0</v>
      </c>
      <c r="BG104" s="483" cm="1">
        <f t="array" aca="1" ref="BG104" ca="1">IF(TblConstr[[#This Row],[Hour]:[Hour]]&gt;12,OFFSET(TblConstr[[#This Row],[GN]],-12,0),0)+OFFSET(TblConstr[[#This Row],[Tot GN]],-1,0)-TblConstr[[#This Row],[Dest GN]]</f>
        <v>0</v>
      </c>
      <c r="BH104" s="487" cm="1">
        <f t="array" aca="1" ref="BH104" ca="1">IF(TblConstr[[#This Row],[Hour]:[Hour]]&gt;12,OFFSET(TblConstr[[#This Row],[Fac]],-12,0),0)+OFFSET(TblConstr[[#This Row],[Tot Fac]],-1,0)-TblConstr[[#This Row],[Dest Fac]]</f>
        <v>0</v>
      </c>
      <c r="BI104" s="487" cm="1">
        <f t="array" aca="1" ref="BI104" ca="1">IF(TblConstr[[#This Row],[Hour]:[Hour]]&gt;12,OFFSET(TblConstr[[#This Row],[GT]],-12,0),0)+OFFSET(TblConstr[[#This Row],[Tot GT]],-1,0)-TblConstr[[#This Row],[Dest GT]]</f>
        <v>0</v>
      </c>
      <c r="BJ104" s="487" cm="1">
        <f t="array" aca="1" ref="BJ104" ca="1">IF(TblConstr[[#This Row],[Hour]:[Hour]]&gt;12,OFFSET(TblConstr[[#This Row],[Bar]],-12,0),0)+OFFSET(TblConstr[[#This Row],[Tot Bar]],-1,0)-TblConstr[[#This Row],[Dest Bar]]</f>
        <v>0</v>
      </c>
      <c r="BK104" s="487" cm="1">
        <f t="array" aca="1" ref="BK104" ca="1">IF(TblConstr[[#This Row],[Hour]:[Hour]]&gt;12,OFFSET(TblConstr[[#This Row],[Shr]],-12,0),0)+OFFSET(TblConstr[[#This Row],[Tot Shr]],-1,0)-TblConstr[[#This Row],[Dest Shr]]</f>
        <v>0</v>
      </c>
      <c r="BL104" s="491" cm="1">
        <f t="array" aca="1" ref="BL104" ca="1">IF(TblConstr[[#This Row],[Hour]:[Hour]]&gt;12,OFFSET(TblConstr[[#This Row],[Tow]],-12,0),0)+OFFSET(TblConstr[[#This Row],[Tot Tow]],-1,0)-TblConstr[[#This Row],[Dest Tow]]</f>
        <v>0</v>
      </c>
      <c r="BM104" s="491" cm="1">
        <f t="array" aca="1" ref="BM104" ca="1">IF(TblConstr[[#This Row],[Hour]:[Hour]]&gt;12,OFFSET(TblConstr[[#This Row],[Tem]],-12,0),0)+OFFSET(TblConstr[[#This Row],[Tot Tem]],-1,0)-TblConstr[[#This Row],[Dest Tem]]</f>
        <v>0</v>
      </c>
      <c r="BN104" s="491"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44347.166666666424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1">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99</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11</v>
      </c>
      <c r="DI104" s="49">
        <f t="shared" ca="1" si="19"/>
        <v>0</v>
      </c>
      <c r="DJ104" s="49">
        <f t="shared" ca="1" si="20"/>
        <v>0</v>
      </c>
    </row>
    <row r="105" spans="1:114" x14ac:dyDescent="0.2">
      <c r="A105" s="228">
        <f>TblRezone[[#This Row],[Hour]]</f>
        <v>102</v>
      </c>
      <c r="B105" s="229">
        <f ca="1">SUM(TblConstr[[#This Row],[Plain]:[Water]])</f>
        <v>159</v>
      </c>
      <c r="C105" s="230">
        <f ca="1">SUM(TblConstr[[#This Row],[Tot Hom]:[Tot Doc]])</f>
        <v>91</v>
      </c>
      <c r="D105" s="230">
        <f t="shared" si="21"/>
        <v>0</v>
      </c>
      <c r="E105" s="231"/>
      <c r="F105" s="74">
        <f ca="1">TblConstr[[#This Row],[Barren]]+TblConstr[[#This Row],[Buildings]]+TblConstr[[#This Row],[Incoming]]</f>
        <v>250</v>
      </c>
      <c r="G105" s="242">
        <f ca="1">OFFSET(TblConstr[[#This Row],[Plain]],-1,0)+TblConstr[[#This Row],[Ch_Plain]]</f>
        <v>39</v>
      </c>
      <c r="H105" s="236">
        <f ca="1">OFFSET(TblConstr[[#This Row],[Forest]],-1,0)+TblConstr[[#This Row],[Ch_Forest]]</f>
        <v>20</v>
      </c>
      <c r="I105" s="481">
        <f ca="1">OFFSET(TblConstr[[#This Row],[Mountain]],-1,0)+TblConstr[[#This Row],[Ch_Mountain]]</f>
        <v>20</v>
      </c>
      <c r="J105" s="485">
        <f ca="1">OFFSET(TblConstr[[#This Row],[Hill]],-1,0)+TblConstr[[#This Row],[Ch_Hill]]</f>
        <v>20</v>
      </c>
      <c r="K105" s="489">
        <f ca="1">OFFSET(TblConstr[[#This Row],[Swamp]],-1,0)+TblConstr[[#This Row],[Ch_Swamp]]</f>
        <v>20</v>
      </c>
      <c r="L105" s="239">
        <f ca="1">OFFSET(TblConstr[[#This Row],[Cavern]],-1,0)+TblConstr[[#This Row],[Ch_Cavern]]</f>
        <v>20</v>
      </c>
      <c r="M105" s="240">
        <f ca="1">OFFSET(TblConstr[[#This Row],[Water]],-1,0)+TblConstr[[#This Row],[Ch_Water]]</f>
        <v>20</v>
      </c>
      <c r="N105" s="479">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44347.208333333088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655232</v>
      </c>
      <c r="AL105" s="113">
        <f ca="1">TblProd[[#This Row],[Lumber]]</f>
        <v>69168</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11</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3" cm="1">
        <f t="array" aca="1" ref="BF105" ca="1">IF(TblConstr[[#This Row],[Hour]:[Hour]]&gt;12,OFFSET(TblConstr[[#This Row],[OM]],-12,0),0)+OFFSET(TblConstr[[#This Row],[Tot OM]],-1,0)-TblConstr[[#This Row],[Dest OM]]</f>
        <v>0</v>
      </c>
      <c r="BG105" s="483" cm="1">
        <f t="array" aca="1" ref="BG105" ca="1">IF(TblConstr[[#This Row],[Hour]:[Hour]]&gt;12,OFFSET(TblConstr[[#This Row],[GN]],-12,0),0)+OFFSET(TblConstr[[#This Row],[Tot GN]],-1,0)-TblConstr[[#This Row],[Dest GN]]</f>
        <v>0</v>
      </c>
      <c r="BH105" s="487" cm="1">
        <f t="array" aca="1" ref="BH105" ca="1">IF(TblConstr[[#This Row],[Hour]:[Hour]]&gt;12,OFFSET(TblConstr[[#This Row],[Fac]],-12,0),0)+OFFSET(TblConstr[[#This Row],[Tot Fac]],-1,0)-TblConstr[[#This Row],[Dest Fac]]</f>
        <v>0</v>
      </c>
      <c r="BI105" s="487" cm="1">
        <f t="array" aca="1" ref="BI105" ca="1">IF(TblConstr[[#This Row],[Hour]:[Hour]]&gt;12,OFFSET(TblConstr[[#This Row],[GT]],-12,0),0)+OFFSET(TblConstr[[#This Row],[Tot GT]],-1,0)-TblConstr[[#This Row],[Dest GT]]</f>
        <v>0</v>
      </c>
      <c r="BJ105" s="487" cm="1">
        <f t="array" aca="1" ref="BJ105" ca="1">IF(TblConstr[[#This Row],[Hour]:[Hour]]&gt;12,OFFSET(TblConstr[[#This Row],[Bar]],-12,0),0)+OFFSET(TblConstr[[#This Row],[Tot Bar]],-1,0)-TblConstr[[#This Row],[Dest Bar]]</f>
        <v>0</v>
      </c>
      <c r="BK105" s="487" cm="1">
        <f t="array" aca="1" ref="BK105" ca="1">IF(TblConstr[[#This Row],[Hour]:[Hour]]&gt;12,OFFSET(TblConstr[[#This Row],[Shr]],-12,0),0)+OFFSET(TblConstr[[#This Row],[Tot Shr]],-1,0)-TblConstr[[#This Row],[Dest Shr]]</f>
        <v>0</v>
      </c>
      <c r="BL105" s="491" cm="1">
        <f t="array" aca="1" ref="BL105" ca="1">IF(TblConstr[[#This Row],[Hour]:[Hour]]&gt;12,OFFSET(TblConstr[[#This Row],[Tow]],-12,0),0)+OFFSET(TblConstr[[#This Row],[Tot Tow]],-1,0)-TblConstr[[#This Row],[Dest Tow]]</f>
        <v>0</v>
      </c>
      <c r="BM105" s="491" cm="1">
        <f t="array" aca="1" ref="BM105" ca="1">IF(TblConstr[[#This Row],[Hour]:[Hour]]&gt;12,OFFSET(TblConstr[[#This Row],[Tem]],-12,0),0)+OFFSET(TblConstr[[#This Row],[Tot Tem]],-1,0)-TblConstr[[#This Row],[Dest Tem]]</f>
        <v>0</v>
      </c>
      <c r="BN105" s="491"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44347.208333333088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1">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99</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11</v>
      </c>
      <c r="DI105" s="49">
        <f t="shared" ca="1" si="19"/>
        <v>0</v>
      </c>
      <c r="DJ105" s="49">
        <f t="shared" ca="1" si="20"/>
        <v>0</v>
      </c>
    </row>
    <row r="106" spans="1:114" x14ac:dyDescent="0.2">
      <c r="A106" s="228">
        <f>TblRezone[[#This Row],[Hour]]</f>
        <v>103</v>
      </c>
      <c r="B106" s="229">
        <f ca="1">SUM(TblConstr[[#This Row],[Plain]:[Water]])</f>
        <v>159</v>
      </c>
      <c r="C106" s="230">
        <f ca="1">SUM(TblConstr[[#This Row],[Tot Hom]:[Tot Doc]])</f>
        <v>91</v>
      </c>
      <c r="D106" s="230">
        <f t="shared" si="21"/>
        <v>0</v>
      </c>
      <c r="E106" s="231"/>
      <c r="F106" s="74">
        <f ca="1">TblConstr[[#This Row],[Barren]]+TblConstr[[#This Row],[Buildings]]+TblConstr[[#This Row],[Incoming]]</f>
        <v>250</v>
      </c>
      <c r="G106" s="242">
        <f ca="1">OFFSET(TblConstr[[#This Row],[Plain]],-1,0)+TblConstr[[#This Row],[Ch_Plain]]</f>
        <v>39</v>
      </c>
      <c r="H106" s="236">
        <f ca="1">OFFSET(TblConstr[[#This Row],[Forest]],-1,0)+TblConstr[[#This Row],[Ch_Forest]]</f>
        <v>20</v>
      </c>
      <c r="I106" s="481">
        <f ca="1">OFFSET(TblConstr[[#This Row],[Mountain]],-1,0)+TblConstr[[#This Row],[Ch_Mountain]]</f>
        <v>20</v>
      </c>
      <c r="J106" s="485">
        <f ca="1">OFFSET(TblConstr[[#This Row],[Hill]],-1,0)+TblConstr[[#This Row],[Ch_Hill]]</f>
        <v>20</v>
      </c>
      <c r="K106" s="489">
        <f ca="1">OFFSET(TblConstr[[#This Row],[Swamp]],-1,0)+TblConstr[[#This Row],[Ch_Swamp]]</f>
        <v>20</v>
      </c>
      <c r="L106" s="239">
        <f ca="1">OFFSET(TblConstr[[#This Row],[Cavern]],-1,0)+TblConstr[[#This Row],[Ch_Cavern]]</f>
        <v>20</v>
      </c>
      <c r="M106" s="240">
        <f ca="1">OFFSET(TblConstr[[#This Row],[Water]],-1,0)+TblConstr[[#This Row],[Ch_Water]]</f>
        <v>20</v>
      </c>
      <c r="N106" s="479">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44347.249999999753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660731</v>
      </c>
      <c r="AL106" s="113">
        <f ca="1">TblProd[[#This Row],[Lumber]]</f>
        <v>69476</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11</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3" cm="1">
        <f t="array" aca="1" ref="BF106" ca="1">IF(TblConstr[[#This Row],[Hour]:[Hour]]&gt;12,OFFSET(TblConstr[[#This Row],[OM]],-12,0),0)+OFFSET(TblConstr[[#This Row],[Tot OM]],-1,0)-TblConstr[[#This Row],[Dest OM]]</f>
        <v>0</v>
      </c>
      <c r="BG106" s="483" cm="1">
        <f t="array" aca="1" ref="BG106" ca="1">IF(TblConstr[[#This Row],[Hour]:[Hour]]&gt;12,OFFSET(TblConstr[[#This Row],[GN]],-12,0),0)+OFFSET(TblConstr[[#This Row],[Tot GN]],-1,0)-TblConstr[[#This Row],[Dest GN]]</f>
        <v>0</v>
      </c>
      <c r="BH106" s="487" cm="1">
        <f t="array" aca="1" ref="BH106" ca="1">IF(TblConstr[[#This Row],[Hour]:[Hour]]&gt;12,OFFSET(TblConstr[[#This Row],[Fac]],-12,0),0)+OFFSET(TblConstr[[#This Row],[Tot Fac]],-1,0)-TblConstr[[#This Row],[Dest Fac]]</f>
        <v>0</v>
      </c>
      <c r="BI106" s="487" cm="1">
        <f t="array" aca="1" ref="BI106" ca="1">IF(TblConstr[[#This Row],[Hour]:[Hour]]&gt;12,OFFSET(TblConstr[[#This Row],[GT]],-12,0),0)+OFFSET(TblConstr[[#This Row],[Tot GT]],-1,0)-TblConstr[[#This Row],[Dest GT]]</f>
        <v>0</v>
      </c>
      <c r="BJ106" s="487" cm="1">
        <f t="array" aca="1" ref="BJ106" ca="1">IF(TblConstr[[#This Row],[Hour]:[Hour]]&gt;12,OFFSET(TblConstr[[#This Row],[Bar]],-12,0),0)+OFFSET(TblConstr[[#This Row],[Tot Bar]],-1,0)-TblConstr[[#This Row],[Dest Bar]]</f>
        <v>0</v>
      </c>
      <c r="BK106" s="487" cm="1">
        <f t="array" aca="1" ref="BK106" ca="1">IF(TblConstr[[#This Row],[Hour]:[Hour]]&gt;12,OFFSET(TblConstr[[#This Row],[Shr]],-12,0),0)+OFFSET(TblConstr[[#This Row],[Tot Shr]],-1,0)-TblConstr[[#This Row],[Dest Shr]]</f>
        <v>0</v>
      </c>
      <c r="BL106" s="491" cm="1">
        <f t="array" aca="1" ref="BL106" ca="1">IF(TblConstr[[#This Row],[Hour]:[Hour]]&gt;12,OFFSET(TblConstr[[#This Row],[Tow]],-12,0),0)+OFFSET(TblConstr[[#This Row],[Tot Tow]],-1,0)-TblConstr[[#This Row],[Dest Tow]]</f>
        <v>0</v>
      </c>
      <c r="BM106" s="491" cm="1">
        <f t="array" aca="1" ref="BM106" ca="1">IF(TblConstr[[#This Row],[Hour]:[Hour]]&gt;12,OFFSET(TblConstr[[#This Row],[Tem]],-12,0),0)+OFFSET(TblConstr[[#This Row],[Tot Tem]],-1,0)-TblConstr[[#This Row],[Dest Tem]]</f>
        <v>0</v>
      </c>
      <c r="BN106" s="491"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44347.249999999753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1">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99</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11</v>
      </c>
      <c r="DI106" s="49">
        <f t="shared" ca="1" si="19"/>
        <v>0</v>
      </c>
      <c r="DJ106" s="49">
        <f t="shared" ca="1" si="20"/>
        <v>0</v>
      </c>
    </row>
    <row r="107" spans="1:114" x14ac:dyDescent="0.2">
      <c r="A107" s="228">
        <f>TblRezone[[#This Row],[Hour]]</f>
        <v>104</v>
      </c>
      <c r="B107" s="229">
        <f ca="1">SUM(TblConstr[[#This Row],[Plain]:[Water]])</f>
        <v>159</v>
      </c>
      <c r="C107" s="230">
        <f ca="1">SUM(TblConstr[[#This Row],[Tot Hom]:[Tot Doc]])</f>
        <v>91</v>
      </c>
      <c r="D107" s="230">
        <f t="shared" si="21"/>
        <v>0</v>
      </c>
      <c r="E107" s="231"/>
      <c r="F107" s="74">
        <f ca="1">TblConstr[[#This Row],[Barren]]+TblConstr[[#This Row],[Buildings]]+TblConstr[[#This Row],[Incoming]]</f>
        <v>250</v>
      </c>
      <c r="G107" s="242">
        <f ca="1">OFFSET(TblConstr[[#This Row],[Plain]],-1,0)+TblConstr[[#This Row],[Ch_Plain]]</f>
        <v>39</v>
      </c>
      <c r="H107" s="236">
        <f ca="1">OFFSET(TblConstr[[#This Row],[Forest]],-1,0)+TblConstr[[#This Row],[Ch_Forest]]</f>
        <v>20</v>
      </c>
      <c r="I107" s="481">
        <f ca="1">OFFSET(TblConstr[[#This Row],[Mountain]],-1,0)+TblConstr[[#This Row],[Ch_Mountain]]</f>
        <v>20</v>
      </c>
      <c r="J107" s="485">
        <f ca="1">OFFSET(TblConstr[[#This Row],[Hill]],-1,0)+TblConstr[[#This Row],[Ch_Hill]]</f>
        <v>20</v>
      </c>
      <c r="K107" s="489">
        <f ca="1">OFFSET(TblConstr[[#This Row],[Swamp]],-1,0)+TblConstr[[#This Row],[Ch_Swamp]]</f>
        <v>20</v>
      </c>
      <c r="L107" s="239">
        <f ca="1">OFFSET(TblConstr[[#This Row],[Cavern]],-1,0)+TblConstr[[#This Row],[Ch_Cavern]]</f>
        <v>20</v>
      </c>
      <c r="M107" s="240">
        <f ca="1">OFFSET(TblConstr[[#This Row],[Water]],-1,0)+TblConstr[[#This Row],[Ch_Water]]</f>
        <v>20</v>
      </c>
      <c r="N107" s="479">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44347.291666666417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666230</v>
      </c>
      <c r="AL107" s="113">
        <f ca="1">TblProd[[#This Row],[Lumber]]</f>
        <v>69781</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11</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3" cm="1">
        <f t="array" aca="1" ref="BF107" ca="1">IF(TblConstr[[#This Row],[Hour]:[Hour]]&gt;12,OFFSET(TblConstr[[#This Row],[OM]],-12,0),0)+OFFSET(TblConstr[[#This Row],[Tot OM]],-1,0)-TblConstr[[#This Row],[Dest OM]]</f>
        <v>0</v>
      </c>
      <c r="BG107" s="483" cm="1">
        <f t="array" aca="1" ref="BG107" ca="1">IF(TblConstr[[#This Row],[Hour]:[Hour]]&gt;12,OFFSET(TblConstr[[#This Row],[GN]],-12,0),0)+OFFSET(TblConstr[[#This Row],[Tot GN]],-1,0)-TblConstr[[#This Row],[Dest GN]]</f>
        <v>0</v>
      </c>
      <c r="BH107" s="487" cm="1">
        <f t="array" aca="1" ref="BH107" ca="1">IF(TblConstr[[#This Row],[Hour]:[Hour]]&gt;12,OFFSET(TblConstr[[#This Row],[Fac]],-12,0),0)+OFFSET(TblConstr[[#This Row],[Tot Fac]],-1,0)-TblConstr[[#This Row],[Dest Fac]]</f>
        <v>0</v>
      </c>
      <c r="BI107" s="487" cm="1">
        <f t="array" aca="1" ref="BI107" ca="1">IF(TblConstr[[#This Row],[Hour]:[Hour]]&gt;12,OFFSET(TblConstr[[#This Row],[GT]],-12,0),0)+OFFSET(TblConstr[[#This Row],[Tot GT]],-1,0)-TblConstr[[#This Row],[Dest GT]]</f>
        <v>0</v>
      </c>
      <c r="BJ107" s="487" cm="1">
        <f t="array" aca="1" ref="BJ107" ca="1">IF(TblConstr[[#This Row],[Hour]:[Hour]]&gt;12,OFFSET(TblConstr[[#This Row],[Bar]],-12,0),0)+OFFSET(TblConstr[[#This Row],[Tot Bar]],-1,0)-TblConstr[[#This Row],[Dest Bar]]</f>
        <v>0</v>
      </c>
      <c r="BK107" s="487" cm="1">
        <f t="array" aca="1" ref="BK107" ca="1">IF(TblConstr[[#This Row],[Hour]:[Hour]]&gt;12,OFFSET(TblConstr[[#This Row],[Shr]],-12,0),0)+OFFSET(TblConstr[[#This Row],[Tot Shr]],-1,0)-TblConstr[[#This Row],[Dest Shr]]</f>
        <v>0</v>
      </c>
      <c r="BL107" s="491" cm="1">
        <f t="array" aca="1" ref="BL107" ca="1">IF(TblConstr[[#This Row],[Hour]:[Hour]]&gt;12,OFFSET(TblConstr[[#This Row],[Tow]],-12,0),0)+OFFSET(TblConstr[[#This Row],[Tot Tow]],-1,0)-TblConstr[[#This Row],[Dest Tow]]</f>
        <v>0</v>
      </c>
      <c r="BM107" s="491" cm="1">
        <f t="array" aca="1" ref="BM107" ca="1">IF(TblConstr[[#This Row],[Hour]:[Hour]]&gt;12,OFFSET(TblConstr[[#This Row],[Tem]],-12,0),0)+OFFSET(TblConstr[[#This Row],[Tot Tem]],-1,0)-TblConstr[[#This Row],[Dest Tem]]</f>
        <v>0</v>
      </c>
      <c r="BN107" s="491"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44347.291666666417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1">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99</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11</v>
      </c>
      <c r="DI107" s="49">
        <f t="shared" ca="1" si="19"/>
        <v>0</v>
      </c>
      <c r="DJ107" s="49">
        <f t="shared" ca="1" si="20"/>
        <v>0</v>
      </c>
    </row>
    <row r="108" spans="1:114" x14ac:dyDescent="0.2">
      <c r="A108" s="228">
        <f>TblRezone[[#This Row],[Hour]]</f>
        <v>105</v>
      </c>
      <c r="B108" s="229">
        <f ca="1">SUM(TblConstr[[#This Row],[Plain]:[Water]])</f>
        <v>159</v>
      </c>
      <c r="C108" s="230">
        <f ca="1">SUM(TblConstr[[#This Row],[Tot Hom]:[Tot Doc]])</f>
        <v>91</v>
      </c>
      <c r="D108" s="230">
        <f t="shared" si="21"/>
        <v>0</v>
      </c>
      <c r="E108" s="231"/>
      <c r="F108" s="74">
        <f ca="1">TblConstr[[#This Row],[Barren]]+TblConstr[[#This Row],[Buildings]]+TblConstr[[#This Row],[Incoming]]</f>
        <v>250</v>
      </c>
      <c r="G108" s="242">
        <f ca="1">OFFSET(TblConstr[[#This Row],[Plain]],-1,0)+TblConstr[[#This Row],[Ch_Plain]]</f>
        <v>39</v>
      </c>
      <c r="H108" s="236">
        <f ca="1">OFFSET(TblConstr[[#This Row],[Forest]],-1,0)+TblConstr[[#This Row],[Ch_Forest]]</f>
        <v>20</v>
      </c>
      <c r="I108" s="481">
        <f ca="1">OFFSET(TblConstr[[#This Row],[Mountain]],-1,0)+TblConstr[[#This Row],[Ch_Mountain]]</f>
        <v>20</v>
      </c>
      <c r="J108" s="485">
        <f ca="1">OFFSET(TblConstr[[#This Row],[Hill]],-1,0)+TblConstr[[#This Row],[Ch_Hill]]</f>
        <v>20</v>
      </c>
      <c r="K108" s="489">
        <f ca="1">OFFSET(TblConstr[[#This Row],[Swamp]],-1,0)+TblConstr[[#This Row],[Ch_Swamp]]</f>
        <v>20</v>
      </c>
      <c r="L108" s="239">
        <f ca="1">OFFSET(TblConstr[[#This Row],[Cavern]],-1,0)+TblConstr[[#This Row],[Ch_Cavern]]</f>
        <v>20</v>
      </c>
      <c r="M108" s="240">
        <f ca="1">OFFSET(TblConstr[[#This Row],[Water]],-1,0)+TblConstr[[#This Row],[Ch_Water]]</f>
        <v>20</v>
      </c>
      <c r="N108" s="479">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44347.333333333081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671729</v>
      </c>
      <c r="AL108" s="113">
        <f ca="1">TblProd[[#This Row],[Lumber]]</f>
        <v>70083</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11</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3" cm="1">
        <f t="array" aca="1" ref="BF108" ca="1">IF(TblConstr[[#This Row],[Hour]:[Hour]]&gt;12,OFFSET(TblConstr[[#This Row],[OM]],-12,0),0)+OFFSET(TblConstr[[#This Row],[Tot OM]],-1,0)-TblConstr[[#This Row],[Dest OM]]</f>
        <v>0</v>
      </c>
      <c r="BG108" s="483" cm="1">
        <f t="array" aca="1" ref="BG108" ca="1">IF(TblConstr[[#This Row],[Hour]:[Hour]]&gt;12,OFFSET(TblConstr[[#This Row],[GN]],-12,0),0)+OFFSET(TblConstr[[#This Row],[Tot GN]],-1,0)-TblConstr[[#This Row],[Dest GN]]</f>
        <v>0</v>
      </c>
      <c r="BH108" s="487" cm="1">
        <f t="array" aca="1" ref="BH108" ca="1">IF(TblConstr[[#This Row],[Hour]:[Hour]]&gt;12,OFFSET(TblConstr[[#This Row],[Fac]],-12,0),0)+OFFSET(TblConstr[[#This Row],[Tot Fac]],-1,0)-TblConstr[[#This Row],[Dest Fac]]</f>
        <v>0</v>
      </c>
      <c r="BI108" s="487" cm="1">
        <f t="array" aca="1" ref="BI108" ca="1">IF(TblConstr[[#This Row],[Hour]:[Hour]]&gt;12,OFFSET(TblConstr[[#This Row],[GT]],-12,0),0)+OFFSET(TblConstr[[#This Row],[Tot GT]],-1,0)-TblConstr[[#This Row],[Dest GT]]</f>
        <v>0</v>
      </c>
      <c r="BJ108" s="487" cm="1">
        <f t="array" aca="1" ref="BJ108" ca="1">IF(TblConstr[[#This Row],[Hour]:[Hour]]&gt;12,OFFSET(TblConstr[[#This Row],[Bar]],-12,0),0)+OFFSET(TblConstr[[#This Row],[Tot Bar]],-1,0)-TblConstr[[#This Row],[Dest Bar]]</f>
        <v>0</v>
      </c>
      <c r="BK108" s="487" cm="1">
        <f t="array" aca="1" ref="BK108" ca="1">IF(TblConstr[[#This Row],[Hour]:[Hour]]&gt;12,OFFSET(TblConstr[[#This Row],[Shr]],-12,0),0)+OFFSET(TblConstr[[#This Row],[Tot Shr]],-1,0)-TblConstr[[#This Row],[Dest Shr]]</f>
        <v>0</v>
      </c>
      <c r="BL108" s="491" cm="1">
        <f t="array" aca="1" ref="BL108" ca="1">IF(TblConstr[[#This Row],[Hour]:[Hour]]&gt;12,OFFSET(TblConstr[[#This Row],[Tow]],-12,0),0)+OFFSET(TblConstr[[#This Row],[Tot Tow]],-1,0)-TblConstr[[#This Row],[Dest Tow]]</f>
        <v>0</v>
      </c>
      <c r="BM108" s="491" cm="1">
        <f t="array" aca="1" ref="BM108" ca="1">IF(TblConstr[[#This Row],[Hour]:[Hour]]&gt;12,OFFSET(TblConstr[[#This Row],[Tem]],-12,0),0)+OFFSET(TblConstr[[#This Row],[Tot Tem]],-1,0)-TblConstr[[#This Row],[Dest Tem]]</f>
        <v>0</v>
      </c>
      <c r="BN108" s="491"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44347.333333333081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1">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99</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11</v>
      </c>
      <c r="DI108" s="49">
        <f t="shared" ca="1" si="19"/>
        <v>0</v>
      </c>
      <c r="DJ108" s="49">
        <f t="shared" ca="1" si="20"/>
        <v>0</v>
      </c>
    </row>
    <row r="109" spans="1:114" x14ac:dyDescent="0.2">
      <c r="A109" s="228">
        <f>TblRezone[[#This Row],[Hour]]</f>
        <v>106</v>
      </c>
      <c r="B109" s="229">
        <f ca="1">SUM(TblConstr[[#This Row],[Plain]:[Water]])</f>
        <v>159</v>
      </c>
      <c r="C109" s="230">
        <f ca="1">SUM(TblConstr[[#This Row],[Tot Hom]:[Tot Doc]])</f>
        <v>91</v>
      </c>
      <c r="D109" s="230">
        <f t="shared" si="21"/>
        <v>0</v>
      </c>
      <c r="E109" s="231"/>
      <c r="F109" s="74">
        <f ca="1">TblConstr[[#This Row],[Barren]]+TblConstr[[#This Row],[Buildings]]+TblConstr[[#This Row],[Incoming]]</f>
        <v>250</v>
      </c>
      <c r="G109" s="242">
        <f ca="1">OFFSET(TblConstr[[#This Row],[Plain]],-1,0)+TblConstr[[#This Row],[Ch_Plain]]</f>
        <v>39</v>
      </c>
      <c r="H109" s="236">
        <f ca="1">OFFSET(TblConstr[[#This Row],[Forest]],-1,0)+TblConstr[[#This Row],[Ch_Forest]]</f>
        <v>20</v>
      </c>
      <c r="I109" s="481">
        <f ca="1">OFFSET(TblConstr[[#This Row],[Mountain]],-1,0)+TblConstr[[#This Row],[Ch_Mountain]]</f>
        <v>20</v>
      </c>
      <c r="J109" s="485">
        <f ca="1">OFFSET(TblConstr[[#This Row],[Hill]],-1,0)+TblConstr[[#This Row],[Ch_Hill]]</f>
        <v>20</v>
      </c>
      <c r="K109" s="489">
        <f ca="1">OFFSET(TblConstr[[#This Row],[Swamp]],-1,0)+TblConstr[[#This Row],[Ch_Swamp]]</f>
        <v>20</v>
      </c>
      <c r="L109" s="239">
        <f ca="1">OFFSET(TblConstr[[#This Row],[Cavern]],-1,0)+TblConstr[[#This Row],[Ch_Cavern]]</f>
        <v>20</v>
      </c>
      <c r="M109" s="240">
        <f ca="1">OFFSET(TblConstr[[#This Row],[Water]],-1,0)+TblConstr[[#This Row],[Ch_Water]]</f>
        <v>20</v>
      </c>
      <c r="N109" s="479">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44347.374999999745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677228</v>
      </c>
      <c r="AL109" s="113">
        <f ca="1">TblProd[[#This Row],[Lumber]]</f>
        <v>70382</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11</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3" cm="1">
        <f t="array" aca="1" ref="BF109" ca="1">IF(TblConstr[[#This Row],[Hour]:[Hour]]&gt;12,OFFSET(TblConstr[[#This Row],[OM]],-12,0),0)+OFFSET(TblConstr[[#This Row],[Tot OM]],-1,0)-TblConstr[[#This Row],[Dest OM]]</f>
        <v>0</v>
      </c>
      <c r="BG109" s="483" cm="1">
        <f t="array" aca="1" ref="BG109" ca="1">IF(TblConstr[[#This Row],[Hour]:[Hour]]&gt;12,OFFSET(TblConstr[[#This Row],[GN]],-12,0),0)+OFFSET(TblConstr[[#This Row],[Tot GN]],-1,0)-TblConstr[[#This Row],[Dest GN]]</f>
        <v>0</v>
      </c>
      <c r="BH109" s="487" cm="1">
        <f t="array" aca="1" ref="BH109" ca="1">IF(TblConstr[[#This Row],[Hour]:[Hour]]&gt;12,OFFSET(TblConstr[[#This Row],[Fac]],-12,0),0)+OFFSET(TblConstr[[#This Row],[Tot Fac]],-1,0)-TblConstr[[#This Row],[Dest Fac]]</f>
        <v>0</v>
      </c>
      <c r="BI109" s="487" cm="1">
        <f t="array" aca="1" ref="BI109" ca="1">IF(TblConstr[[#This Row],[Hour]:[Hour]]&gt;12,OFFSET(TblConstr[[#This Row],[GT]],-12,0),0)+OFFSET(TblConstr[[#This Row],[Tot GT]],-1,0)-TblConstr[[#This Row],[Dest GT]]</f>
        <v>0</v>
      </c>
      <c r="BJ109" s="487" cm="1">
        <f t="array" aca="1" ref="BJ109" ca="1">IF(TblConstr[[#This Row],[Hour]:[Hour]]&gt;12,OFFSET(TblConstr[[#This Row],[Bar]],-12,0),0)+OFFSET(TblConstr[[#This Row],[Tot Bar]],-1,0)-TblConstr[[#This Row],[Dest Bar]]</f>
        <v>0</v>
      </c>
      <c r="BK109" s="487" cm="1">
        <f t="array" aca="1" ref="BK109" ca="1">IF(TblConstr[[#This Row],[Hour]:[Hour]]&gt;12,OFFSET(TblConstr[[#This Row],[Shr]],-12,0),0)+OFFSET(TblConstr[[#This Row],[Tot Shr]],-1,0)-TblConstr[[#This Row],[Dest Shr]]</f>
        <v>0</v>
      </c>
      <c r="BL109" s="491" cm="1">
        <f t="array" aca="1" ref="BL109" ca="1">IF(TblConstr[[#This Row],[Hour]:[Hour]]&gt;12,OFFSET(TblConstr[[#This Row],[Tow]],-12,0),0)+OFFSET(TblConstr[[#This Row],[Tot Tow]],-1,0)-TblConstr[[#This Row],[Dest Tow]]</f>
        <v>0</v>
      </c>
      <c r="BM109" s="491" cm="1">
        <f t="array" aca="1" ref="BM109" ca="1">IF(TblConstr[[#This Row],[Hour]:[Hour]]&gt;12,OFFSET(TblConstr[[#This Row],[Tem]],-12,0),0)+OFFSET(TblConstr[[#This Row],[Tot Tem]],-1,0)-TblConstr[[#This Row],[Dest Tem]]</f>
        <v>0</v>
      </c>
      <c r="BN109" s="491"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44347.374999999745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1">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99</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11</v>
      </c>
      <c r="DI109" s="49">
        <f t="shared" ca="1" si="19"/>
        <v>0</v>
      </c>
      <c r="DJ109" s="49">
        <f t="shared" ca="1" si="20"/>
        <v>0</v>
      </c>
    </row>
    <row r="110" spans="1:114" x14ac:dyDescent="0.2">
      <c r="A110" s="228">
        <f>TblRezone[[#This Row],[Hour]]</f>
        <v>107</v>
      </c>
      <c r="B110" s="229">
        <f ca="1">SUM(TblConstr[[#This Row],[Plain]:[Water]])</f>
        <v>159</v>
      </c>
      <c r="C110" s="230">
        <f ca="1">SUM(TblConstr[[#This Row],[Tot Hom]:[Tot Doc]])</f>
        <v>91</v>
      </c>
      <c r="D110" s="230">
        <f t="shared" si="21"/>
        <v>0</v>
      </c>
      <c r="E110" s="231"/>
      <c r="F110" s="74">
        <f ca="1">TblConstr[[#This Row],[Barren]]+TblConstr[[#This Row],[Buildings]]+TblConstr[[#This Row],[Incoming]]</f>
        <v>250</v>
      </c>
      <c r="G110" s="242">
        <f ca="1">OFFSET(TblConstr[[#This Row],[Plain]],-1,0)+TblConstr[[#This Row],[Ch_Plain]]</f>
        <v>39</v>
      </c>
      <c r="H110" s="236">
        <f ca="1">OFFSET(TblConstr[[#This Row],[Forest]],-1,0)+TblConstr[[#This Row],[Ch_Forest]]</f>
        <v>20</v>
      </c>
      <c r="I110" s="481">
        <f ca="1">OFFSET(TblConstr[[#This Row],[Mountain]],-1,0)+TblConstr[[#This Row],[Ch_Mountain]]</f>
        <v>20</v>
      </c>
      <c r="J110" s="485">
        <f ca="1">OFFSET(TblConstr[[#This Row],[Hill]],-1,0)+TblConstr[[#This Row],[Ch_Hill]]</f>
        <v>20</v>
      </c>
      <c r="K110" s="489">
        <f ca="1">OFFSET(TblConstr[[#This Row],[Swamp]],-1,0)+TblConstr[[#This Row],[Ch_Swamp]]</f>
        <v>20</v>
      </c>
      <c r="L110" s="239">
        <f ca="1">OFFSET(TblConstr[[#This Row],[Cavern]],-1,0)+TblConstr[[#This Row],[Ch_Cavern]]</f>
        <v>20</v>
      </c>
      <c r="M110" s="240">
        <f ca="1">OFFSET(TblConstr[[#This Row],[Water]],-1,0)+TblConstr[[#This Row],[Ch_Water]]</f>
        <v>20</v>
      </c>
      <c r="N110" s="479">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44347.41666666641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682727</v>
      </c>
      <c r="AL110" s="113">
        <f ca="1">TblProd[[#This Row],[Lumber]]</f>
        <v>70678</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11</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3" cm="1">
        <f t="array" aca="1" ref="BF110" ca="1">IF(TblConstr[[#This Row],[Hour]:[Hour]]&gt;12,OFFSET(TblConstr[[#This Row],[OM]],-12,0),0)+OFFSET(TblConstr[[#This Row],[Tot OM]],-1,0)-TblConstr[[#This Row],[Dest OM]]</f>
        <v>0</v>
      </c>
      <c r="BG110" s="483" cm="1">
        <f t="array" aca="1" ref="BG110" ca="1">IF(TblConstr[[#This Row],[Hour]:[Hour]]&gt;12,OFFSET(TblConstr[[#This Row],[GN]],-12,0),0)+OFFSET(TblConstr[[#This Row],[Tot GN]],-1,0)-TblConstr[[#This Row],[Dest GN]]</f>
        <v>0</v>
      </c>
      <c r="BH110" s="487" cm="1">
        <f t="array" aca="1" ref="BH110" ca="1">IF(TblConstr[[#This Row],[Hour]:[Hour]]&gt;12,OFFSET(TblConstr[[#This Row],[Fac]],-12,0),0)+OFFSET(TblConstr[[#This Row],[Tot Fac]],-1,0)-TblConstr[[#This Row],[Dest Fac]]</f>
        <v>0</v>
      </c>
      <c r="BI110" s="487" cm="1">
        <f t="array" aca="1" ref="BI110" ca="1">IF(TblConstr[[#This Row],[Hour]:[Hour]]&gt;12,OFFSET(TblConstr[[#This Row],[GT]],-12,0),0)+OFFSET(TblConstr[[#This Row],[Tot GT]],-1,0)-TblConstr[[#This Row],[Dest GT]]</f>
        <v>0</v>
      </c>
      <c r="BJ110" s="487" cm="1">
        <f t="array" aca="1" ref="BJ110" ca="1">IF(TblConstr[[#This Row],[Hour]:[Hour]]&gt;12,OFFSET(TblConstr[[#This Row],[Bar]],-12,0),0)+OFFSET(TblConstr[[#This Row],[Tot Bar]],-1,0)-TblConstr[[#This Row],[Dest Bar]]</f>
        <v>0</v>
      </c>
      <c r="BK110" s="487" cm="1">
        <f t="array" aca="1" ref="BK110" ca="1">IF(TblConstr[[#This Row],[Hour]:[Hour]]&gt;12,OFFSET(TblConstr[[#This Row],[Shr]],-12,0),0)+OFFSET(TblConstr[[#This Row],[Tot Shr]],-1,0)-TblConstr[[#This Row],[Dest Shr]]</f>
        <v>0</v>
      </c>
      <c r="BL110" s="491" cm="1">
        <f t="array" aca="1" ref="BL110" ca="1">IF(TblConstr[[#This Row],[Hour]:[Hour]]&gt;12,OFFSET(TblConstr[[#This Row],[Tow]],-12,0),0)+OFFSET(TblConstr[[#This Row],[Tot Tow]],-1,0)-TblConstr[[#This Row],[Dest Tow]]</f>
        <v>0</v>
      </c>
      <c r="BM110" s="491" cm="1">
        <f t="array" aca="1" ref="BM110" ca="1">IF(TblConstr[[#This Row],[Hour]:[Hour]]&gt;12,OFFSET(TblConstr[[#This Row],[Tem]],-12,0),0)+OFFSET(TblConstr[[#This Row],[Tot Tem]],-1,0)-TblConstr[[#This Row],[Dest Tem]]</f>
        <v>0</v>
      </c>
      <c r="BN110" s="491"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44347.41666666641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1">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99</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11</v>
      </c>
      <c r="DI110" s="49">
        <f t="shared" ca="1" si="19"/>
        <v>0</v>
      </c>
      <c r="DJ110" s="49">
        <f t="shared" ca="1" si="20"/>
        <v>0</v>
      </c>
    </row>
    <row r="111" spans="1:114" x14ac:dyDescent="0.2">
      <c r="A111" s="228">
        <f>TblRezone[[#This Row],[Hour]]</f>
        <v>108</v>
      </c>
      <c r="B111" s="229">
        <f ca="1">SUM(TblConstr[[#This Row],[Plain]:[Water]])</f>
        <v>159</v>
      </c>
      <c r="C111" s="230">
        <f ca="1">SUM(TblConstr[[#This Row],[Tot Hom]:[Tot Doc]])</f>
        <v>91</v>
      </c>
      <c r="D111" s="230">
        <f t="shared" si="21"/>
        <v>0</v>
      </c>
      <c r="E111" s="231"/>
      <c r="F111" s="74">
        <f ca="1">TblConstr[[#This Row],[Barren]]+TblConstr[[#This Row],[Buildings]]+TblConstr[[#This Row],[Incoming]]</f>
        <v>250</v>
      </c>
      <c r="G111" s="242">
        <f ca="1">OFFSET(TblConstr[[#This Row],[Plain]],-1,0)+TblConstr[[#This Row],[Ch_Plain]]</f>
        <v>39</v>
      </c>
      <c r="H111" s="236">
        <f ca="1">OFFSET(TblConstr[[#This Row],[Forest]],-1,0)+TblConstr[[#This Row],[Ch_Forest]]</f>
        <v>20</v>
      </c>
      <c r="I111" s="481">
        <f ca="1">OFFSET(TblConstr[[#This Row],[Mountain]],-1,0)+TblConstr[[#This Row],[Ch_Mountain]]</f>
        <v>20</v>
      </c>
      <c r="J111" s="485">
        <f ca="1">OFFSET(TblConstr[[#This Row],[Hill]],-1,0)+TblConstr[[#This Row],[Ch_Hill]]</f>
        <v>20</v>
      </c>
      <c r="K111" s="489">
        <f ca="1">OFFSET(TblConstr[[#This Row],[Swamp]],-1,0)+TblConstr[[#This Row],[Ch_Swamp]]</f>
        <v>20</v>
      </c>
      <c r="L111" s="239">
        <f ca="1">OFFSET(TblConstr[[#This Row],[Cavern]],-1,0)+TblConstr[[#This Row],[Ch_Cavern]]</f>
        <v>20</v>
      </c>
      <c r="M111" s="240">
        <f ca="1">OFFSET(TblConstr[[#This Row],[Water]],-1,0)+TblConstr[[#This Row],[Ch_Water]]</f>
        <v>20</v>
      </c>
      <c r="N111" s="479">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44347.458333333074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688226</v>
      </c>
      <c r="AL111" s="113">
        <f ca="1">TblProd[[#This Row],[Lumber]]</f>
        <v>70971</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11</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3" cm="1">
        <f t="array" aca="1" ref="BF111" ca="1">IF(TblConstr[[#This Row],[Hour]:[Hour]]&gt;12,OFFSET(TblConstr[[#This Row],[OM]],-12,0),0)+OFFSET(TblConstr[[#This Row],[Tot OM]],-1,0)-TblConstr[[#This Row],[Dest OM]]</f>
        <v>0</v>
      </c>
      <c r="BG111" s="483" cm="1">
        <f t="array" aca="1" ref="BG111" ca="1">IF(TblConstr[[#This Row],[Hour]:[Hour]]&gt;12,OFFSET(TblConstr[[#This Row],[GN]],-12,0),0)+OFFSET(TblConstr[[#This Row],[Tot GN]],-1,0)-TblConstr[[#This Row],[Dest GN]]</f>
        <v>0</v>
      </c>
      <c r="BH111" s="487" cm="1">
        <f t="array" aca="1" ref="BH111" ca="1">IF(TblConstr[[#This Row],[Hour]:[Hour]]&gt;12,OFFSET(TblConstr[[#This Row],[Fac]],-12,0),0)+OFFSET(TblConstr[[#This Row],[Tot Fac]],-1,0)-TblConstr[[#This Row],[Dest Fac]]</f>
        <v>0</v>
      </c>
      <c r="BI111" s="487" cm="1">
        <f t="array" aca="1" ref="BI111" ca="1">IF(TblConstr[[#This Row],[Hour]:[Hour]]&gt;12,OFFSET(TblConstr[[#This Row],[GT]],-12,0),0)+OFFSET(TblConstr[[#This Row],[Tot GT]],-1,0)-TblConstr[[#This Row],[Dest GT]]</f>
        <v>0</v>
      </c>
      <c r="BJ111" s="487" cm="1">
        <f t="array" aca="1" ref="BJ111" ca="1">IF(TblConstr[[#This Row],[Hour]:[Hour]]&gt;12,OFFSET(TblConstr[[#This Row],[Bar]],-12,0),0)+OFFSET(TblConstr[[#This Row],[Tot Bar]],-1,0)-TblConstr[[#This Row],[Dest Bar]]</f>
        <v>0</v>
      </c>
      <c r="BK111" s="487" cm="1">
        <f t="array" aca="1" ref="BK111" ca="1">IF(TblConstr[[#This Row],[Hour]:[Hour]]&gt;12,OFFSET(TblConstr[[#This Row],[Shr]],-12,0),0)+OFFSET(TblConstr[[#This Row],[Tot Shr]],-1,0)-TblConstr[[#This Row],[Dest Shr]]</f>
        <v>0</v>
      </c>
      <c r="BL111" s="491" cm="1">
        <f t="array" aca="1" ref="BL111" ca="1">IF(TblConstr[[#This Row],[Hour]:[Hour]]&gt;12,OFFSET(TblConstr[[#This Row],[Tow]],-12,0),0)+OFFSET(TblConstr[[#This Row],[Tot Tow]],-1,0)-TblConstr[[#This Row],[Dest Tow]]</f>
        <v>0</v>
      </c>
      <c r="BM111" s="491" cm="1">
        <f t="array" aca="1" ref="BM111" ca="1">IF(TblConstr[[#This Row],[Hour]:[Hour]]&gt;12,OFFSET(TblConstr[[#This Row],[Tem]],-12,0),0)+OFFSET(TblConstr[[#This Row],[Tot Tem]],-1,0)-TblConstr[[#This Row],[Dest Tem]]</f>
        <v>0</v>
      </c>
      <c r="BN111" s="491"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44347.458333333074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1">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99</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11</v>
      </c>
      <c r="DI111" s="49">
        <f t="shared" ca="1" si="19"/>
        <v>0</v>
      </c>
      <c r="DJ111" s="49">
        <f t="shared" ca="1" si="20"/>
        <v>0</v>
      </c>
    </row>
    <row r="112" spans="1:114" x14ac:dyDescent="0.2">
      <c r="A112" s="228">
        <f>TblRezone[[#This Row],[Hour]]</f>
        <v>109</v>
      </c>
      <c r="B112" s="229">
        <f ca="1">SUM(TblConstr[[#This Row],[Plain]:[Water]])</f>
        <v>159</v>
      </c>
      <c r="C112" s="230">
        <f ca="1">SUM(TblConstr[[#This Row],[Tot Hom]:[Tot Doc]])</f>
        <v>91</v>
      </c>
      <c r="D112" s="230">
        <f t="shared" si="21"/>
        <v>0</v>
      </c>
      <c r="E112" s="231"/>
      <c r="F112" s="74">
        <f ca="1">TblConstr[[#This Row],[Barren]]+TblConstr[[#This Row],[Buildings]]+TblConstr[[#This Row],[Incoming]]</f>
        <v>250</v>
      </c>
      <c r="G112" s="242">
        <f ca="1">OFFSET(TblConstr[[#This Row],[Plain]],-1,0)+TblConstr[[#This Row],[Ch_Plain]]</f>
        <v>39</v>
      </c>
      <c r="H112" s="236">
        <f ca="1">OFFSET(TblConstr[[#This Row],[Forest]],-1,0)+TblConstr[[#This Row],[Ch_Forest]]</f>
        <v>20</v>
      </c>
      <c r="I112" s="481">
        <f ca="1">OFFSET(TblConstr[[#This Row],[Mountain]],-1,0)+TblConstr[[#This Row],[Ch_Mountain]]</f>
        <v>20</v>
      </c>
      <c r="J112" s="485">
        <f ca="1">OFFSET(TblConstr[[#This Row],[Hill]],-1,0)+TblConstr[[#This Row],[Ch_Hill]]</f>
        <v>20</v>
      </c>
      <c r="K112" s="489">
        <f ca="1">OFFSET(TblConstr[[#This Row],[Swamp]],-1,0)+TblConstr[[#This Row],[Ch_Swamp]]</f>
        <v>20</v>
      </c>
      <c r="L112" s="239">
        <f ca="1">OFFSET(TblConstr[[#This Row],[Cavern]],-1,0)+TblConstr[[#This Row],[Ch_Cavern]]</f>
        <v>20</v>
      </c>
      <c r="M112" s="240">
        <f ca="1">OFFSET(TblConstr[[#This Row],[Water]],-1,0)+TblConstr[[#This Row],[Ch_Water]]</f>
        <v>20</v>
      </c>
      <c r="N112" s="479">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44347.499999999738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693725</v>
      </c>
      <c r="AL112" s="113">
        <f ca="1">TblProd[[#This Row],[Lumber]]</f>
        <v>71261</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11</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3" cm="1">
        <f t="array" aca="1" ref="BF112" ca="1">IF(TblConstr[[#This Row],[Hour]:[Hour]]&gt;12,OFFSET(TblConstr[[#This Row],[OM]],-12,0),0)+OFFSET(TblConstr[[#This Row],[Tot OM]],-1,0)-TblConstr[[#This Row],[Dest OM]]</f>
        <v>0</v>
      </c>
      <c r="BG112" s="483" cm="1">
        <f t="array" aca="1" ref="BG112" ca="1">IF(TblConstr[[#This Row],[Hour]:[Hour]]&gt;12,OFFSET(TblConstr[[#This Row],[GN]],-12,0),0)+OFFSET(TblConstr[[#This Row],[Tot GN]],-1,0)-TblConstr[[#This Row],[Dest GN]]</f>
        <v>0</v>
      </c>
      <c r="BH112" s="487" cm="1">
        <f t="array" aca="1" ref="BH112" ca="1">IF(TblConstr[[#This Row],[Hour]:[Hour]]&gt;12,OFFSET(TblConstr[[#This Row],[Fac]],-12,0),0)+OFFSET(TblConstr[[#This Row],[Tot Fac]],-1,0)-TblConstr[[#This Row],[Dest Fac]]</f>
        <v>0</v>
      </c>
      <c r="BI112" s="487" cm="1">
        <f t="array" aca="1" ref="BI112" ca="1">IF(TblConstr[[#This Row],[Hour]:[Hour]]&gt;12,OFFSET(TblConstr[[#This Row],[GT]],-12,0),0)+OFFSET(TblConstr[[#This Row],[Tot GT]],-1,0)-TblConstr[[#This Row],[Dest GT]]</f>
        <v>0</v>
      </c>
      <c r="BJ112" s="487" cm="1">
        <f t="array" aca="1" ref="BJ112" ca="1">IF(TblConstr[[#This Row],[Hour]:[Hour]]&gt;12,OFFSET(TblConstr[[#This Row],[Bar]],-12,0),0)+OFFSET(TblConstr[[#This Row],[Tot Bar]],-1,0)-TblConstr[[#This Row],[Dest Bar]]</f>
        <v>0</v>
      </c>
      <c r="BK112" s="487" cm="1">
        <f t="array" aca="1" ref="BK112" ca="1">IF(TblConstr[[#This Row],[Hour]:[Hour]]&gt;12,OFFSET(TblConstr[[#This Row],[Shr]],-12,0),0)+OFFSET(TblConstr[[#This Row],[Tot Shr]],-1,0)-TblConstr[[#This Row],[Dest Shr]]</f>
        <v>0</v>
      </c>
      <c r="BL112" s="491" cm="1">
        <f t="array" aca="1" ref="BL112" ca="1">IF(TblConstr[[#This Row],[Hour]:[Hour]]&gt;12,OFFSET(TblConstr[[#This Row],[Tow]],-12,0),0)+OFFSET(TblConstr[[#This Row],[Tot Tow]],-1,0)-TblConstr[[#This Row],[Dest Tow]]</f>
        <v>0</v>
      </c>
      <c r="BM112" s="491" cm="1">
        <f t="array" aca="1" ref="BM112" ca="1">IF(TblConstr[[#This Row],[Hour]:[Hour]]&gt;12,OFFSET(TblConstr[[#This Row],[Tem]],-12,0),0)+OFFSET(TblConstr[[#This Row],[Tot Tem]],-1,0)-TblConstr[[#This Row],[Dest Tem]]</f>
        <v>0</v>
      </c>
      <c r="BN112" s="491"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44347.499999999738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1">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99</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11</v>
      </c>
      <c r="DI112" s="49">
        <f t="shared" ca="1" si="19"/>
        <v>0</v>
      </c>
      <c r="DJ112" s="49">
        <f t="shared" ca="1" si="20"/>
        <v>0</v>
      </c>
    </row>
    <row r="113" spans="1:114" x14ac:dyDescent="0.2">
      <c r="A113" s="228">
        <f>TblRezone[[#This Row],[Hour]]</f>
        <v>110</v>
      </c>
      <c r="B113" s="229">
        <f ca="1">SUM(TblConstr[[#This Row],[Plain]:[Water]])</f>
        <v>159</v>
      </c>
      <c r="C113" s="230">
        <f ca="1">SUM(TblConstr[[#This Row],[Tot Hom]:[Tot Doc]])</f>
        <v>91</v>
      </c>
      <c r="D113" s="230">
        <f t="shared" si="21"/>
        <v>0</v>
      </c>
      <c r="E113" s="231"/>
      <c r="F113" s="74">
        <f ca="1">TblConstr[[#This Row],[Barren]]+TblConstr[[#This Row],[Buildings]]+TblConstr[[#This Row],[Incoming]]</f>
        <v>250</v>
      </c>
      <c r="G113" s="242">
        <f ca="1">OFFSET(TblConstr[[#This Row],[Plain]],-1,0)+TblConstr[[#This Row],[Ch_Plain]]</f>
        <v>39</v>
      </c>
      <c r="H113" s="236">
        <f ca="1">OFFSET(TblConstr[[#This Row],[Forest]],-1,0)+TblConstr[[#This Row],[Ch_Forest]]</f>
        <v>20</v>
      </c>
      <c r="I113" s="481">
        <f ca="1">OFFSET(TblConstr[[#This Row],[Mountain]],-1,0)+TblConstr[[#This Row],[Ch_Mountain]]</f>
        <v>20</v>
      </c>
      <c r="J113" s="485">
        <f ca="1">OFFSET(TblConstr[[#This Row],[Hill]],-1,0)+TblConstr[[#This Row],[Ch_Hill]]</f>
        <v>20</v>
      </c>
      <c r="K113" s="489">
        <f ca="1">OFFSET(TblConstr[[#This Row],[Swamp]],-1,0)+TblConstr[[#This Row],[Ch_Swamp]]</f>
        <v>20</v>
      </c>
      <c r="L113" s="239">
        <f ca="1">OFFSET(TblConstr[[#This Row],[Cavern]],-1,0)+TblConstr[[#This Row],[Ch_Cavern]]</f>
        <v>20</v>
      </c>
      <c r="M113" s="240">
        <f ca="1">OFFSET(TblConstr[[#This Row],[Water]],-1,0)+TblConstr[[#This Row],[Ch_Water]]</f>
        <v>20</v>
      </c>
      <c r="N113" s="479">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44347.541666666402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699224</v>
      </c>
      <c r="AL113" s="113">
        <f ca="1">TblProd[[#This Row],[Lumber]]</f>
        <v>71548</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11</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3" cm="1">
        <f t="array" aca="1" ref="BF113" ca="1">IF(TblConstr[[#This Row],[Hour]:[Hour]]&gt;12,OFFSET(TblConstr[[#This Row],[OM]],-12,0),0)+OFFSET(TblConstr[[#This Row],[Tot OM]],-1,0)-TblConstr[[#This Row],[Dest OM]]</f>
        <v>0</v>
      </c>
      <c r="BG113" s="483" cm="1">
        <f t="array" aca="1" ref="BG113" ca="1">IF(TblConstr[[#This Row],[Hour]:[Hour]]&gt;12,OFFSET(TblConstr[[#This Row],[GN]],-12,0),0)+OFFSET(TblConstr[[#This Row],[Tot GN]],-1,0)-TblConstr[[#This Row],[Dest GN]]</f>
        <v>0</v>
      </c>
      <c r="BH113" s="487" cm="1">
        <f t="array" aca="1" ref="BH113" ca="1">IF(TblConstr[[#This Row],[Hour]:[Hour]]&gt;12,OFFSET(TblConstr[[#This Row],[Fac]],-12,0),0)+OFFSET(TblConstr[[#This Row],[Tot Fac]],-1,0)-TblConstr[[#This Row],[Dest Fac]]</f>
        <v>0</v>
      </c>
      <c r="BI113" s="487" cm="1">
        <f t="array" aca="1" ref="BI113" ca="1">IF(TblConstr[[#This Row],[Hour]:[Hour]]&gt;12,OFFSET(TblConstr[[#This Row],[GT]],-12,0),0)+OFFSET(TblConstr[[#This Row],[Tot GT]],-1,0)-TblConstr[[#This Row],[Dest GT]]</f>
        <v>0</v>
      </c>
      <c r="BJ113" s="487" cm="1">
        <f t="array" aca="1" ref="BJ113" ca="1">IF(TblConstr[[#This Row],[Hour]:[Hour]]&gt;12,OFFSET(TblConstr[[#This Row],[Bar]],-12,0),0)+OFFSET(TblConstr[[#This Row],[Tot Bar]],-1,0)-TblConstr[[#This Row],[Dest Bar]]</f>
        <v>0</v>
      </c>
      <c r="BK113" s="487" cm="1">
        <f t="array" aca="1" ref="BK113" ca="1">IF(TblConstr[[#This Row],[Hour]:[Hour]]&gt;12,OFFSET(TblConstr[[#This Row],[Shr]],-12,0),0)+OFFSET(TblConstr[[#This Row],[Tot Shr]],-1,0)-TblConstr[[#This Row],[Dest Shr]]</f>
        <v>0</v>
      </c>
      <c r="BL113" s="491" cm="1">
        <f t="array" aca="1" ref="BL113" ca="1">IF(TblConstr[[#This Row],[Hour]:[Hour]]&gt;12,OFFSET(TblConstr[[#This Row],[Tow]],-12,0),0)+OFFSET(TblConstr[[#This Row],[Tot Tow]],-1,0)-TblConstr[[#This Row],[Dest Tow]]</f>
        <v>0</v>
      </c>
      <c r="BM113" s="491" cm="1">
        <f t="array" aca="1" ref="BM113" ca="1">IF(TblConstr[[#This Row],[Hour]:[Hour]]&gt;12,OFFSET(TblConstr[[#This Row],[Tem]],-12,0),0)+OFFSET(TblConstr[[#This Row],[Tot Tem]],-1,0)-TblConstr[[#This Row],[Dest Tem]]</f>
        <v>0</v>
      </c>
      <c r="BN113" s="491"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44347.541666666402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1">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99</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11</v>
      </c>
      <c r="DI113" s="49">
        <f t="shared" ca="1" si="19"/>
        <v>0</v>
      </c>
      <c r="DJ113" s="49">
        <f t="shared" ca="1" si="20"/>
        <v>0</v>
      </c>
    </row>
    <row r="114" spans="1:114" x14ac:dyDescent="0.2">
      <c r="A114" s="228">
        <f>TblRezone[[#This Row],[Hour]]</f>
        <v>111</v>
      </c>
      <c r="B114" s="229">
        <f ca="1">SUM(TblConstr[[#This Row],[Plain]:[Water]])</f>
        <v>159</v>
      </c>
      <c r="C114" s="230">
        <f ca="1">SUM(TblConstr[[#This Row],[Tot Hom]:[Tot Doc]])</f>
        <v>91</v>
      </c>
      <c r="D114" s="230">
        <f t="shared" si="21"/>
        <v>0</v>
      </c>
      <c r="E114" s="231"/>
      <c r="F114" s="74">
        <f ca="1">TblConstr[[#This Row],[Barren]]+TblConstr[[#This Row],[Buildings]]+TblConstr[[#This Row],[Incoming]]</f>
        <v>250</v>
      </c>
      <c r="G114" s="242">
        <f ca="1">OFFSET(TblConstr[[#This Row],[Plain]],-1,0)+TblConstr[[#This Row],[Ch_Plain]]</f>
        <v>39</v>
      </c>
      <c r="H114" s="236">
        <f ca="1">OFFSET(TblConstr[[#This Row],[Forest]],-1,0)+TblConstr[[#This Row],[Ch_Forest]]</f>
        <v>20</v>
      </c>
      <c r="I114" s="481">
        <f ca="1">OFFSET(TblConstr[[#This Row],[Mountain]],-1,0)+TblConstr[[#This Row],[Ch_Mountain]]</f>
        <v>20</v>
      </c>
      <c r="J114" s="485">
        <f ca="1">OFFSET(TblConstr[[#This Row],[Hill]],-1,0)+TblConstr[[#This Row],[Ch_Hill]]</f>
        <v>20</v>
      </c>
      <c r="K114" s="489">
        <f ca="1">OFFSET(TblConstr[[#This Row],[Swamp]],-1,0)+TblConstr[[#This Row],[Ch_Swamp]]</f>
        <v>20</v>
      </c>
      <c r="L114" s="239">
        <f ca="1">OFFSET(TblConstr[[#This Row],[Cavern]],-1,0)+TblConstr[[#This Row],[Ch_Cavern]]</f>
        <v>20</v>
      </c>
      <c r="M114" s="240">
        <f ca="1">OFFSET(TblConstr[[#This Row],[Water]],-1,0)+TblConstr[[#This Row],[Ch_Water]]</f>
        <v>20</v>
      </c>
      <c r="N114" s="479">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44347.583333333067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704723</v>
      </c>
      <c r="AL114" s="113">
        <f ca="1">TblProd[[#This Row],[Lumber]]</f>
        <v>71833</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11</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3" cm="1">
        <f t="array" aca="1" ref="BF114" ca="1">IF(TblConstr[[#This Row],[Hour]:[Hour]]&gt;12,OFFSET(TblConstr[[#This Row],[OM]],-12,0),0)+OFFSET(TblConstr[[#This Row],[Tot OM]],-1,0)-TblConstr[[#This Row],[Dest OM]]</f>
        <v>0</v>
      </c>
      <c r="BG114" s="483" cm="1">
        <f t="array" aca="1" ref="BG114" ca="1">IF(TblConstr[[#This Row],[Hour]:[Hour]]&gt;12,OFFSET(TblConstr[[#This Row],[GN]],-12,0),0)+OFFSET(TblConstr[[#This Row],[Tot GN]],-1,0)-TblConstr[[#This Row],[Dest GN]]</f>
        <v>0</v>
      </c>
      <c r="BH114" s="487" cm="1">
        <f t="array" aca="1" ref="BH114" ca="1">IF(TblConstr[[#This Row],[Hour]:[Hour]]&gt;12,OFFSET(TblConstr[[#This Row],[Fac]],-12,0),0)+OFFSET(TblConstr[[#This Row],[Tot Fac]],-1,0)-TblConstr[[#This Row],[Dest Fac]]</f>
        <v>0</v>
      </c>
      <c r="BI114" s="487" cm="1">
        <f t="array" aca="1" ref="BI114" ca="1">IF(TblConstr[[#This Row],[Hour]:[Hour]]&gt;12,OFFSET(TblConstr[[#This Row],[GT]],-12,0),0)+OFFSET(TblConstr[[#This Row],[Tot GT]],-1,0)-TblConstr[[#This Row],[Dest GT]]</f>
        <v>0</v>
      </c>
      <c r="BJ114" s="487" cm="1">
        <f t="array" aca="1" ref="BJ114" ca="1">IF(TblConstr[[#This Row],[Hour]:[Hour]]&gt;12,OFFSET(TblConstr[[#This Row],[Bar]],-12,0),0)+OFFSET(TblConstr[[#This Row],[Tot Bar]],-1,0)-TblConstr[[#This Row],[Dest Bar]]</f>
        <v>0</v>
      </c>
      <c r="BK114" s="487" cm="1">
        <f t="array" aca="1" ref="BK114" ca="1">IF(TblConstr[[#This Row],[Hour]:[Hour]]&gt;12,OFFSET(TblConstr[[#This Row],[Shr]],-12,0),0)+OFFSET(TblConstr[[#This Row],[Tot Shr]],-1,0)-TblConstr[[#This Row],[Dest Shr]]</f>
        <v>0</v>
      </c>
      <c r="BL114" s="491" cm="1">
        <f t="array" aca="1" ref="BL114" ca="1">IF(TblConstr[[#This Row],[Hour]:[Hour]]&gt;12,OFFSET(TblConstr[[#This Row],[Tow]],-12,0),0)+OFFSET(TblConstr[[#This Row],[Tot Tow]],-1,0)-TblConstr[[#This Row],[Dest Tow]]</f>
        <v>0</v>
      </c>
      <c r="BM114" s="491" cm="1">
        <f t="array" aca="1" ref="BM114" ca="1">IF(TblConstr[[#This Row],[Hour]:[Hour]]&gt;12,OFFSET(TblConstr[[#This Row],[Tem]],-12,0),0)+OFFSET(TblConstr[[#This Row],[Tot Tem]],-1,0)-TblConstr[[#This Row],[Dest Tem]]</f>
        <v>0</v>
      </c>
      <c r="BN114" s="491"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44347.583333333067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1">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99</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11</v>
      </c>
      <c r="DI114" s="49">
        <f t="shared" ca="1" si="19"/>
        <v>0</v>
      </c>
      <c r="DJ114" s="49">
        <f t="shared" ca="1" si="20"/>
        <v>0</v>
      </c>
    </row>
    <row r="115" spans="1:114" x14ac:dyDescent="0.2">
      <c r="A115" s="228">
        <f>TblRezone[[#This Row],[Hour]]</f>
        <v>112</v>
      </c>
      <c r="B115" s="229">
        <f ca="1">SUM(TblConstr[[#This Row],[Plain]:[Water]])</f>
        <v>159</v>
      </c>
      <c r="C115" s="230">
        <f ca="1">SUM(TblConstr[[#This Row],[Tot Hom]:[Tot Doc]])</f>
        <v>91</v>
      </c>
      <c r="D115" s="230">
        <f t="shared" si="21"/>
        <v>0</v>
      </c>
      <c r="E115" s="231"/>
      <c r="F115" s="74">
        <f ca="1">TblConstr[[#This Row],[Barren]]+TblConstr[[#This Row],[Buildings]]+TblConstr[[#This Row],[Incoming]]</f>
        <v>250</v>
      </c>
      <c r="G115" s="242">
        <f ca="1">OFFSET(TblConstr[[#This Row],[Plain]],-1,0)+TblConstr[[#This Row],[Ch_Plain]]</f>
        <v>39</v>
      </c>
      <c r="H115" s="236">
        <f ca="1">OFFSET(TblConstr[[#This Row],[Forest]],-1,0)+TblConstr[[#This Row],[Ch_Forest]]</f>
        <v>20</v>
      </c>
      <c r="I115" s="481">
        <f ca="1">OFFSET(TblConstr[[#This Row],[Mountain]],-1,0)+TblConstr[[#This Row],[Ch_Mountain]]</f>
        <v>20</v>
      </c>
      <c r="J115" s="485">
        <f ca="1">OFFSET(TblConstr[[#This Row],[Hill]],-1,0)+TblConstr[[#This Row],[Ch_Hill]]</f>
        <v>20</v>
      </c>
      <c r="K115" s="489">
        <f ca="1">OFFSET(TblConstr[[#This Row],[Swamp]],-1,0)+TblConstr[[#This Row],[Ch_Swamp]]</f>
        <v>20</v>
      </c>
      <c r="L115" s="239">
        <f ca="1">OFFSET(TblConstr[[#This Row],[Cavern]],-1,0)+TblConstr[[#This Row],[Ch_Cavern]]</f>
        <v>20</v>
      </c>
      <c r="M115" s="240">
        <f ca="1">OFFSET(TblConstr[[#This Row],[Water]],-1,0)+TblConstr[[#This Row],[Ch_Water]]</f>
        <v>20</v>
      </c>
      <c r="N115" s="479">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44347.624999999731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710222</v>
      </c>
      <c r="AL115" s="113">
        <f ca="1">TblProd[[#This Row],[Lumber]]</f>
        <v>72115</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11</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3" cm="1">
        <f t="array" aca="1" ref="BF115" ca="1">IF(TblConstr[[#This Row],[Hour]:[Hour]]&gt;12,OFFSET(TblConstr[[#This Row],[OM]],-12,0),0)+OFFSET(TblConstr[[#This Row],[Tot OM]],-1,0)-TblConstr[[#This Row],[Dest OM]]</f>
        <v>0</v>
      </c>
      <c r="BG115" s="483" cm="1">
        <f t="array" aca="1" ref="BG115" ca="1">IF(TblConstr[[#This Row],[Hour]:[Hour]]&gt;12,OFFSET(TblConstr[[#This Row],[GN]],-12,0),0)+OFFSET(TblConstr[[#This Row],[Tot GN]],-1,0)-TblConstr[[#This Row],[Dest GN]]</f>
        <v>0</v>
      </c>
      <c r="BH115" s="487" cm="1">
        <f t="array" aca="1" ref="BH115" ca="1">IF(TblConstr[[#This Row],[Hour]:[Hour]]&gt;12,OFFSET(TblConstr[[#This Row],[Fac]],-12,0),0)+OFFSET(TblConstr[[#This Row],[Tot Fac]],-1,0)-TblConstr[[#This Row],[Dest Fac]]</f>
        <v>0</v>
      </c>
      <c r="BI115" s="487" cm="1">
        <f t="array" aca="1" ref="BI115" ca="1">IF(TblConstr[[#This Row],[Hour]:[Hour]]&gt;12,OFFSET(TblConstr[[#This Row],[GT]],-12,0),0)+OFFSET(TblConstr[[#This Row],[Tot GT]],-1,0)-TblConstr[[#This Row],[Dest GT]]</f>
        <v>0</v>
      </c>
      <c r="BJ115" s="487" cm="1">
        <f t="array" aca="1" ref="BJ115" ca="1">IF(TblConstr[[#This Row],[Hour]:[Hour]]&gt;12,OFFSET(TblConstr[[#This Row],[Bar]],-12,0),0)+OFFSET(TblConstr[[#This Row],[Tot Bar]],-1,0)-TblConstr[[#This Row],[Dest Bar]]</f>
        <v>0</v>
      </c>
      <c r="BK115" s="487" cm="1">
        <f t="array" aca="1" ref="BK115" ca="1">IF(TblConstr[[#This Row],[Hour]:[Hour]]&gt;12,OFFSET(TblConstr[[#This Row],[Shr]],-12,0),0)+OFFSET(TblConstr[[#This Row],[Tot Shr]],-1,0)-TblConstr[[#This Row],[Dest Shr]]</f>
        <v>0</v>
      </c>
      <c r="BL115" s="491" cm="1">
        <f t="array" aca="1" ref="BL115" ca="1">IF(TblConstr[[#This Row],[Hour]:[Hour]]&gt;12,OFFSET(TblConstr[[#This Row],[Tow]],-12,0),0)+OFFSET(TblConstr[[#This Row],[Tot Tow]],-1,0)-TblConstr[[#This Row],[Dest Tow]]</f>
        <v>0</v>
      </c>
      <c r="BM115" s="491" cm="1">
        <f t="array" aca="1" ref="BM115" ca="1">IF(TblConstr[[#This Row],[Hour]:[Hour]]&gt;12,OFFSET(TblConstr[[#This Row],[Tem]],-12,0),0)+OFFSET(TblConstr[[#This Row],[Tot Tem]],-1,0)-TblConstr[[#This Row],[Dest Tem]]</f>
        <v>0</v>
      </c>
      <c r="BN115" s="491"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44347.624999999731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1">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99</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11</v>
      </c>
      <c r="DI115" s="49">
        <f t="shared" ca="1" si="19"/>
        <v>0</v>
      </c>
      <c r="DJ115" s="49">
        <f t="shared" ca="1" si="20"/>
        <v>0</v>
      </c>
    </row>
    <row r="116" spans="1:114" x14ac:dyDescent="0.2">
      <c r="A116" s="228">
        <f>TblRezone[[#This Row],[Hour]]</f>
        <v>113</v>
      </c>
      <c r="B116" s="229">
        <f ca="1">SUM(TblConstr[[#This Row],[Plain]:[Water]])</f>
        <v>159</v>
      </c>
      <c r="C116" s="230">
        <f ca="1">SUM(TblConstr[[#This Row],[Tot Hom]:[Tot Doc]])</f>
        <v>91</v>
      </c>
      <c r="D116" s="230">
        <f t="shared" si="21"/>
        <v>0</v>
      </c>
      <c r="E116" s="231"/>
      <c r="F116" s="74">
        <f ca="1">TblConstr[[#This Row],[Barren]]+TblConstr[[#This Row],[Buildings]]+TblConstr[[#This Row],[Incoming]]</f>
        <v>250</v>
      </c>
      <c r="G116" s="242">
        <f ca="1">OFFSET(TblConstr[[#This Row],[Plain]],-1,0)+TblConstr[[#This Row],[Ch_Plain]]</f>
        <v>39</v>
      </c>
      <c r="H116" s="236">
        <f ca="1">OFFSET(TblConstr[[#This Row],[Forest]],-1,0)+TblConstr[[#This Row],[Ch_Forest]]</f>
        <v>20</v>
      </c>
      <c r="I116" s="481">
        <f ca="1">OFFSET(TblConstr[[#This Row],[Mountain]],-1,0)+TblConstr[[#This Row],[Ch_Mountain]]</f>
        <v>20</v>
      </c>
      <c r="J116" s="485">
        <f ca="1">OFFSET(TblConstr[[#This Row],[Hill]],-1,0)+TblConstr[[#This Row],[Ch_Hill]]</f>
        <v>20</v>
      </c>
      <c r="K116" s="489">
        <f ca="1">OFFSET(TblConstr[[#This Row],[Swamp]],-1,0)+TblConstr[[#This Row],[Ch_Swamp]]</f>
        <v>20</v>
      </c>
      <c r="L116" s="239">
        <f ca="1">OFFSET(TblConstr[[#This Row],[Cavern]],-1,0)+TblConstr[[#This Row],[Ch_Cavern]]</f>
        <v>20</v>
      </c>
      <c r="M116" s="240">
        <f ca="1">OFFSET(TblConstr[[#This Row],[Water]],-1,0)+TblConstr[[#This Row],[Ch_Water]]</f>
        <v>20</v>
      </c>
      <c r="N116" s="479">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44347.666666666395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715721</v>
      </c>
      <c r="AL116" s="113">
        <f ca="1">TblProd[[#This Row],[Lumber]]</f>
        <v>72394</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11</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3" cm="1">
        <f t="array" aca="1" ref="BF116" ca="1">IF(TblConstr[[#This Row],[Hour]:[Hour]]&gt;12,OFFSET(TblConstr[[#This Row],[OM]],-12,0),0)+OFFSET(TblConstr[[#This Row],[Tot OM]],-1,0)-TblConstr[[#This Row],[Dest OM]]</f>
        <v>0</v>
      </c>
      <c r="BG116" s="483" cm="1">
        <f t="array" aca="1" ref="BG116" ca="1">IF(TblConstr[[#This Row],[Hour]:[Hour]]&gt;12,OFFSET(TblConstr[[#This Row],[GN]],-12,0),0)+OFFSET(TblConstr[[#This Row],[Tot GN]],-1,0)-TblConstr[[#This Row],[Dest GN]]</f>
        <v>0</v>
      </c>
      <c r="BH116" s="487" cm="1">
        <f t="array" aca="1" ref="BH116" ca="1">IF(TblConstr[[#This Row],[Hour]:[Hour]]&gt;12,OFFSET(TblConstr[[#This Row],[Fac]],-12,0),0)+OFFSET(TblConstr[[#This Row],[Tot Fac]],-1,0)-TblConstr[[#This Row],[Dest Fac]]</f>
        <v>0</v>
      </c>
      <c r="BI116" s="487" cm="1">
        <f t="array" aca="1" ref="BI116" ca="1">IF(TblConstr[[#This Row],[Hour]:[Hour]]&gt;12,OFFSET(TblConstr[[#This Row],[GT]],-12,0),0)+OFFSET(TblConstr[[#This Row],[Tot GT]],-1,0)-TblConstr[[#This Row],[Dest GT]]</f>
        <v>0</v>
      </c>
      <c r="BJ116" s="487" cm="1">
        <f t="array" aca="1" ref="BJ116" ca="1">IF(TblConstr[[#This Row],[Hour]:[Hour]]&gt;12,OFFSET(TblConstr[[#This Row],[Bar]],-12,0),0)+OFFSET(TblConstr[[#This Row],[Tot Bar]],-1,0)-TblConstr[[#This Row],[Dest Bar]]</f>
        <v>0</v>
      </c>
      <c r="BK116" s="487" cm="1">
        <f t="array" aca="1" ref="BK116" ca="1">IF(TblConstr[[#This Row],[Hour]:[Hour]]&gt;12,OFFSET(TblConstr[[#This Row],[Shr]],-12,0),0)+OFFSET(TblConstr[[#This Row],[Tot Shr]],-1,0)-TblConstr[[#This Row],[Dest Shr]]</f>
        <v>0</v>
      </c>
      <c r="BL116" s="491" cm="1">
        <f t="array" aca="1" ref="BL116" ca="1">IF(TblConstr[[#This Row],[Hour]:[Hour]]&gt;12,OFFSET(TblConstr[[#This Row],[Tow]],-12,0),0)+OFFSET(TblConstr[[#This Row],[Tot Tow]],-1,0)-TblConstr[[#This Row],[Dest Tow]]</f>
        <v>0</v>
      </c>
      <c r="BM116" s="491" cm="1">
        <f t="array" aca="1" ref="BM116" ca="1">IF(TblConstr[[#This Row],[Hour]:[Hour]]&gt;12,OFFSET(TblConstr[[#This Row],[Tem]],-12,0),0)+OFFSET(TblConstr[[#This Row],[Tot Tem]],-1,0)-TblConstr[[#This Row],[Dest Tem]]</f>
        <v>0</v>
      </c>
      <c r="BN116" s="491"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44347.666666666395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1">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99</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11</v>
      </c>
      <c r="DI116" s="49">
        <f t="shared" ca="1" si="19"/>
        <v>0</v>
      </c>
      <c r="DJ116" s="49">
        <f t="shared" ca="1" si="20"/>
        <v>0</v>
      </c>
    </row>
    <row r="117" spans="1:114" x14ac:dyDescent="0.2">
      <c r="A117" s="228">
        <f>TblRezone[[#This Row],[Hour]]</f>
        <v>114</v>
      </c>
      <c r="B117" s="229">
        <f ca="1">SUM(TblConstr[[#This Row],[Plain]:[Water]])</f>
        <v>159</v>
      </c>
      <c r="C117" s="230">
        <f ca="1">SUM(TblConstr[[#This Row],[Tot Hom]:[Tot Doc]])</f>
        <v>91</v>
      </c>
      <c r="D117" s="230">
        <f t="shared" si="21"/>
        <v>0</v>
      </c>
      <c r="E117" s="231"/>
      <c r="F117" s="74">
        <f ca="1">TblConstr[[#This Row],[Barren]]+TblConstr[[#This Row],[Buildings]]+TblConstr[[#This Row],[Incoming]]</f>
        <v>250</v>
      </c>
      <c r="G117" s="242">
        <f ca="1">OFFSET(TblConstr[[#This Row],[Plain]],-1,0)+TblConstr[[#This Row],[Ch_Plain]]</f>
        <v>39</v>
      </c>
      <c r="H117" s="236">
        <f ca="1">OFFSET(TblConstr[[#This Row],[Forest]],-1,0)+TblConstr[[#This Row],[Ch_Forest]]</f>
        <v>20</v>
      </c>
      <c r="I117" s="481">
        <f ca="1">OFFSET(TblConstr[[#This Row],[Mountain]],-1,0)+TblConstr[[#This Row],[Ch_Mountain]]</f>
        <v>20</v>
      </c>
      <c r="J117" s="485">
        <f ca="1">OFFSET(TblConstr[[#This Row],[Hill]],-1,0)+TblConstr[[#This Row],[Ch_Hill]]</f>
        <v>20</v>
      </c>
      <c r="K117" s="489">
        <f ca="1">OFFSET(TblConstr[[#This Row],[Swamp]],-1,0)+TblConstr[[#This Row],[Ch_Swamp]]</f>
        <v>20</v>
      </c>
      <c r="L117" s="239">
        <f ca="1">OFFSET(TblConstr[[#This Row],[Cavern]],-1,0)+TblConstr[[#This Row],[Ch_Cavern]]</f>
        <v>20</v>
      </c>
      <c r="M117" s="240">
        <f ca="1">OFFSET(TblConstr[[#This Row],[Water]],-1,0)+TblConstr[[#This Row],[Ch_Water]]</f>
        <v>20</v>
      </c>
      <c r="N117" s="479">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44347.708333333059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721220</v>
      </c>
      <c r="AL117" s="113">
        <f ca="1">TblProd[[#This Row],[Lumber]]</f>
        <v>72670</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11</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3" cm="1">
        <f t="array" aca="1" ref="BF117" ca="1">IF(TblConstr[[#This Row],[Hour]:[Hour]]&gt;12,OFFSET(TblConstr[[#This Row],[OM]],-12,0),0)+OFFSET(TblConstr[[#This Row],[Tot OM]],-1,0)-TblConstr[[#This Row],[Dest OM]]</f>
        <v>0</v>
      </c>
      <c r="BG117" s="483" cm="1">
        <f t="array" aca="1" ref="BG117" ca="1">IF(TblConstr[[#This Row],[Hour]:[Hour]]&gt;12,OFFSET(TblConstr[[#This Row],[GN]],-12,0),0)+OFFSET(TblConstr[[#This Row],[Tot GN]],-1,0)-TblConstr[[#This Row],[Dest GN]]</f>
        <v>0</v>
      </c>
      <c r="BH117" s="487" cm="1">
        <f t="array" aca="1" ref="BH117" ca="1">IF(TblConstr[[#This Row],[Hour]:[Hour]]&gt;12,OFFSET(TblConstr[[#This Row],[Fac]],-12,0),0)+OFFSET(TblConstr[[#This Row],[Tot Fac]],-1,0)-TblConstr[[#This Row],[Dest Fac]]</f>
        <v>0</v>
      </c>
      <c r="BI117" s="487" cm="1">
        <f t="array" aca="1" ref="BI117" ca="1">IF(TblConstr[[#This Row],[Hour]:[Hour]]&gt;12,OFFSET(TblConstr[[#This Row],[GT]],-12,0),0)+OFFSET(TblConstr[[#This Row],[Tot GT]],-1,0)-TblConstr[[#This Row],[Dest GT]]</f>
        <v>0</v>
      </c>
      <c r="BJ117" s="487" cm="1">
        <f t="array" aca="1" ref="BJ117" ca="1">IF(TblConstr[[#This Row],[Hour]:[Hour]]&gt;12,OFFSET(TblConstr[[#This Row],[Bar]],-12,0),0)+OFFSET(TblConstr[[#This Row],[Tot Bar]],-1,0)-TblConstr[[#This Row],[Dest Bar]]</f>
        <v>0</v>
      </c>
      <c r="BK117" s="487" cm="1">
        <f t="array" aca="1" ref="BK117" ca="1">IF(TblConstr[[#This Row],[Hour]:[Hour]]&gt;12,OFFSET(TblConstr[[#This Row],[Shr]],-12,0),0)+OFFSET(TblConstr[[#This Row],[Tot Shr]],-1,0)-TblConstr[[#This Row],[Dest Shr]]</f>
        <v>0</v>
      </c>
      <c r="BL117" s="491" cm="1">
        <f t="array" aca="1" ref="BL117" ca="1">IF(TblConstr[[#This Row],[Hour]:[Hour]]&gt;12,OFFSET(TblConstr[[#This Row],[Tow]],-12,0),0)+OFFSET(TblConstr[[#This Row],[Tot Tow]],-1,0)-TblConstr[[#This Row],[Dest Tow]]</f>
        <v>0</v>
      </c>
      <c r="BM117" s="491" cm="1">
        <f t="array" aca="1" ref="BM117" ca="1">IF(TblConstr[[#This Row],[Hour]:[Hour]]&gt;12,OFFSET(TblConstr[[#This Row],[Tem]],-12,0),0)+OFFSET(TblConstr[[#This Row],[Tot Tem]],-1,0)-TblConstr[[#This Row],[Dest Tem]]</f>
        <v>0</v>
      </c>
      <c r="BN117" s="491"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44347.708333333059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1">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99</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11</v>
      </c>
      <c r="DI117" s="49">
        <f t="shared" ca="1" si="19"/>
        <v>0</v>
      </c>
      <c r="DJ117" s="49">
        <f t="shared" ca="1" si="20"/>
        <v>0</v>
      </c>
    </row>
    <row r="118" spans="1:114" x14ac:dyDescent="0.2">
      <c r="A118" s="228">
        <f>TblRezone[[#This Row],[Hour]]</f>
        <v>115</v>
      </c>
      <c r="B118" s="229">
        <f ca="1">SUM(TblConstr[[#This Row],[Plain]:[Water]])</f>
        <v>159</v>
      </c>
      <c r="C118" s="230">
        <f ca="1">SUM(TblConstr[[#This Row],[Tot Hom]:[Tot Doc]])</f>
        <v>91</v>
      </c>
      <c r="D118" s="230">
        <f t="shared" si="21"/>
        <v>0</v>
      </c>
      <c r="E118" s="231"/>
      <c r="F118" s="74">
        <f ca="1">TblConstr[[#This Row],[Barren]]+TblConstr[[#This Row],[Buildings]]+TblConstr[[#This Row],[Incoming]]</f>
        <v>250</v>
      </c>
      <c r="G118" s="242">
        <f ca="1">OFFSET(TblConstr[[#This Row],[Plain]],-1,0)+TblConstr[[#This Row],[Ch_Plain]]</f>
        <v>39</v>
      </c>
      <c r="H118" s="236">
        <f ca="1">OFFSET(TblConstr[[#This Row],[Forest]],-1,0)+TblConstr[[#This Row],[Ch_Forest]]</f>
        <v>20</v>
      </c>
      <c r="I118" s="481">
        <f ca="1">OFFSET(TblConstr[[#This Row],[Mountain]],-1,0)+TblConstr[[#This Row],[Ch_Mountain]]</f>
        <v>20</v>
      </c>
      <c r="J118" s="485">
        <f ca="1">OFFSET(TblConstr[[#This Row],[Hill]],-1,0)+TblConstr[[#This Row],[Ch_Hill]]</f>
        <v>20</v>
      </c>
      <c r="K118" s="489">
        <f ca="1">OFFSET(TblConstr[[#This Row],[Swamp]],-1,0)+TblConstr[[#This Row],[Ch_Swamp]]</f>
        <v>20</v>
      </c>
      <c r="L118" s="239">
        <f ca="1">OFFSET(TblConstr[[#This Row],[Cavern]],-1,0)+TblConstr[[#This Row],[Ch_Cavern]]</f>
        <v>20</v>
      </c>
      <c r="M118" s="240">
        <f ca="1">OFFSET(TblConstr[[#This Row],[Water]],-1,0)+TblConstr[[#This Row],[Ch_Water]]</f>
        <v>20</v>
      </c>
      <c r="N118" s="479">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44347.749999999724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726719</v>
      </c>
      <c r="AL118" s="113">
        <f ca="1">TblProd[[#This Row],[Lumber]]</f>
        <v>72943</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11</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3" cm="1">
        <f t="array" aca="1" ref="BF118" ca="1">IF(TblConstr[[#This Row],[Hour]:[Hour]]&gt;12,OFFSET(TblConstr[[#This Row],[OM]],-12,0),0)+OFFSET(TblConstr[[#This Row],[Tot OM]],-1,0)-TblConstr[[#This Row],[Dest OM]]</f>
        <v>0</v>
      </c>
      <c r="BG118" s="483" cm="1">
        <f t="array" aca="1" ref="BG118" ca="1">IF(TblConstr[[#This Row],[Hour]:[Hour]]&gt;12,OFFSET(TblConstr[[#This Row],[GN]],-12,0),0)+OFFSET(TblConstr[[#This Row],[Tot GN]],-1,0)-TblConstr[[#This Row],[Dest GN]]</f>
        <v>0</v>
      </c>
      <c r="BH118" s="487" cm="1">
        <f t="array" aca="1" ref="BH118" ca="1">IF(TblConstr[[#This Row],[Hour]:[Hour]]&gt;12,OFFSET(TblConstr[[#This Row],[Fac]],-12,0),0)+OFFSET(TblConstr[[#This Row],[Tot Fac]],-1,0)-TblConstr[[#This Row],[Dest Fac]]</f>
        <v>0</v>
      </c>
      <c r="BI118" s="487" cm="1">
        <f t="array" aca="1" ref="BI118" ca="1">IF(TblConstr[[#This Row],[Hour]:[Hour]]&gt;12,OFFSET(TblConstr[[#This Row],[GT]],-12,0),0)+OFFSET(TblConstr[[#This Row],[Tot GT]],-1,0)-TblConstr[[#This Row],[Dest GT]]</f>
        <v>0</v>
      </c>
      <c r="BJ118" s="487" cm="1">
        <f t="array" aca="1" ref="BJ118" ca="1">IF(TblConstr[[#This Row],[Hour]:[Hour]]&gt;12,OFFSET(TblConstr[[#This Row],[Bar]],-12,0),0)+OFFSET(TblConstr[[#This Row],[Tot Bar]],-1,0)-TblConstr[[#This Row],[Dest Bar]]</f>
        <v>0</v>
      </c>
      <c r="BK118" s="487" cm="1">
        <f t="array" aca="1" ref="BK118" ca="1">IF(TblConstr[[#This Row],[Hour]:[Hour]]&gt;12,OFFSET(TblConstr[[#This Row],[Shr]],-12,0),0)+OFFSET(TblConstr[[#This Row],[Tot Shr]],-1,0)-TblConstr[[#This Row],[Dest Shr]]</f>
        <v>0</v>
      </c>
      <c r="BL118" s="491" cm="1">
        <f t="array" aca="1" ref="BL118" ca="1">IF(TblConstr[[#This Row],[Hour]:[Hour]]&gt;12,OFFSET(TblConstr[[#This Row],[Tow]],-12,0),0)+OFFSET(TblConstr[[#This Row],[Tot Tow]],-1,0)-TblConstr[[#This Row],[Dest Tow]]</f>
        <v>0</v>
      </c>
      <c r="BM118" s="491" cm="1">
        <f t="array" aca="1" ref="BM118" ca="1">IF(TblConstr[[#This Row],[Hour]:[Hour]]&gt;12,OFFSET(TblConstr[[#This Row],[Tem]],-12,0),0)+OFFSET(TblConstr[[#This Row],[Tot Tem]],-1,0)-TblConstr[[#This Row],[Dest Tem]]</f>
        <v>0</v>
      </c>
      <c r="BN118" s="491"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44347.749999999724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1">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99</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11</v>
      </c>
      <c r="DI118" s="49">
        <f t="shared" ca="1" si="19"/>
        <v>0</v>
      </c>
      <c r="DJ118" s="49">
        <f t="shared" ca="1" si="20"/>
        <v>0</v>
      </c>
    </row>
    <row r="119" spans="1:114" x14ac:dyDescent="0.2">
      <c r="A119" s="228">
        <f>TblRezone[[#This Row],[Hour]]</f>
        <v>116</v>
      </c>
      <c r="B119" s="229">
        <f ca="1">SUM(TblConstr[[#This Row],[Plain]:[Water]])</f>
        <v>159</v>
      </c>
      <c r="C119" s="230">
        <f ca="1">SUM(TblConstr[[#This Row],[Tot Hom]:[Tot Doc]])</f>
        <v>91</v>
      </c>
      <c r="D119" s="230">
        <f t="shared" si="21"/>
        <v>0</v>
      </c>
      <c r="E119" s="231"/>
      <c r="F119" s="74">
        <f ca="1">TblConstr[[#This Row],[Barren]]+TblConstr[[#This Row],[Buildings]]+TblConstr[[#This Row],[Incoming]]</f>
        <v>250</v>
      </c>
      <c r="G119" s="242">
        <f ca="1">OFFSET(TblConstr[[#This Row],[Plain]],-1,0)+TblConstr[[#This Row],[Ch_Plain]]</f>
        <v>39</v>
      </c>
      <c r="H119" s="236">
        <f ca="1">OFFSET(TblConstr[[#This Row],[Forest]],-1,0)+TblConstr[[#This Row],[Ch_Forest]]</f>
        <v>20</v>
      </c>
      <c r="I119" s="481">
        <f ca="1">OFFSET(TblConstr[[#This Row],[Mountain]],-1,0)+TblConstr[[#This Row],[Ch_Mountain]]</f>
        <v>20</v>
      </c>
      <c r="J119" s="485">
        <f ca="1">OFFSET(TblConstr[[#This Row],[Hill]],-1,0)+TblConstr[[#This Row],[Ch_Hill]]</f>
        <v>20</v>
      </c>
      <c r="K119" s="489">
        <f ca="1">OFFSET(TblConstr[[#This Row],[Swamp]],-1,0)+TblConstr[[#This Row],[Ch_Swamp]]</f>
        <v>20</v>
      </c>
      <c r="L119" s="239">
        <f ca="1">OFFSET(TblConstr[[#This Row],[Cavern]],-1,0)+TblConstr[[#This Row],[Ch_Cavern]]</f>
        <v>20</v>
      </c>
      <c r="M119" s="240">
        <f ca="1">OFFSET(TblConstr[[#This Row],[Water]],-1,0)+TblConstr[[#This Row],[Ch_Water]]</f>
        <v>20</v>
      </c>
      <c r="N119" s="479">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44347.791666666388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732218</v>
      </c>
      <c r="AL119" s="113">
        <f ca="1">TblProd[[#This Row],[Lumber]]</f>
        <v>73214</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11</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3" cm="1">
        <f t="array" aca="1" ref="BF119" ca="1">IF(TblConstr[[#This Row],[Hour]:[Hour]]&gt;12,OFFSET(TblConstr[[#This Row],[OM]],-12,0),0)+OFFSET(TblConstr[[#This Row],[Tot OM]],-1,0)-TblConstr[[#This Row],[Dest OM]]</f>
        <v>0</v>
      </c>
      <c r="BG119" s="483" cm="1">
        <f t="array" aca="1" ref="BG119" ca="1">IF(TblConstr[[#This Row],[Hour]:[Hour]]&gt;12,OFFSET(TblConstr[[#This Row],[GN]],-12,0),0)+OFFSET(TblConstr[[#This Row],[Tot GN]],-1,0)-TblConstr[[#This Row],[Dest GN]]</f>
        <v>0</v>
      </c>
      <c r="BH119" s="487" cm="1">
        <f t="array" aca="1" ref="BH119" ca="1">IF(TblConstr[[#This Row],[Hour]:[Hour]]&gt;12,OFFSET(TblConstr[[#This Row],[Fac]],-12,0),0)+OFFSET(TblConstr[[#This Row],[Tot Fac]],-1,0)-TblConstr[[#This Row],[Dest Fac]]</f>
        <v>0</v>
      </c>
      <c r="BI119" s="487" cm="1">
        <f t="array" aca="1" ref="BI119" ca="1">IF(TblConstr[[#This Row],[Hour]:[Hour]]&gt;12,OFFSET(TblConstr[[#This Row],[GT]],-12,0),0)+OFFSET(TblConstr[[#This Row],[Tot GT]],-1,0)-TblConstr[[#This Row],[Dest GT]]</f>
        <v>0</v>
      </c>
      <c r="BJ119" s="487" cm="1">
        <f t="array" aca="1" ref="BJ119" ca="1">IF(TblConstr[[#This Row],[Hour]:[Hour]]&gt;12,OFFSET(TblConstr[[#This Row],[Bar]],-12,0),0)+OFFSET(TblConstr[[#This Row],[Tot Bar]],-1,0)-TblConstr[[#This Row],[Dest Bar]]</f>
        <v>0</v>
      </c>
      <c r="BK119" s="487" cm="1">
        <f t="array" aca="1" ref="BK119" ca="1">IF(TblConstr[[#This Row],[Hour]:[Hour]]&gt;12,OFFSET(TblConstr[[#This Row],[Shr]],-12,0),0)+OFFSET(TblConstr[[#This Row],[Tot Shr]],-1,0)-TblConstr[[#This Row],[Dest Shr]]</f>
        <v>0</v>
      </c>
      <c r="BL119" s="491" cm="1">
        <f t="array" aca="1" ref="BL119" ca="1">IF(TblConstr[[#This Row],[Hour]:[Hour]]&gt;12,OFFSET(TblConstr[[#This Row],[Tow]],-12,0),0)+OFFSET(TblConstr[[#This Row],[Tot Tow]],-1,0)-TblConstr[[#This Row],[Dest Tow]]</f>
        <v>0</v>
      </c>
      <c r="BM119" s="491" cm="1">
        <f t="array" aca="1" ref="BM119" ca="1">IF(TblConstr[[#This Row],[Hour]:[Hour]]&gt;12,OFFSET(TblConstr[[#This Row],[Tem]],-12,0),0)+OFFSET(TblConstr[[#This Row],[Tot Tem]],-1,0)-TblConstr[[#This Row],[Dest Tem]]</f>
        <v>0</v>
      </c>
      <c r="BN119" s="491"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44347.791666666388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1">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99</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11</v>
      </c>
      <c r="DI119" s="49">
        <f t="shared" ca="1" si="19"/>
        <v>0</v>
      </c>
      <c r="DJ119" s="49">
        <f t="shared" ca="1" si="20"/>
        <v>0</v>
      </c>
    </row>
    <row r="120" spans="1:114" x14ac:dyDescent="0.2">
      <c r="A120" s="228">
        <f>TblRezone[[#This Row],[Hour]]</f>
        <v>117</v>
      </c>
      <c r="B120" s="229">
        <f ca="1">SUM(TblConstr[[#This Row],[Plain]:[Water]])</f>
        <v>159</v>
      </c>
      <c r="C120" s="230">
        <f ca="1">SUM(TblConstr[[#This Row],[Tot Hom]:[Tot Doc]])</f>
        <v>91</v>
      </c>
      <c r="D120" s="230">
        <f t="shared" si="21"/>
        <v>0</v>
      </c>
      <c r="E120" s="231"/>
      <c r="F120" s="74">
        <f ca="1">TblConstr[[#This Row],[Barren]]+TblConstr[[#This Row],[Buildings]]+TblConstr[[#This Row],[Incoming]]</f>
        <v>250</v>
      </c>
      <c r="G120" s="242">
        <f ca="1">OFFSET(TblConstr[[#This Row],[Plain]],-1,0)+TblConstr[[#This Row],[Ch_Plain]]</f>
        <v>39</v>
      </c>
      <c r="H120" s="236">
        <f ca="1">OFFSET(TblConstr[[#This Row],[Forest]],-1,0)+TblConstr[[#This Row],[Ch_Forest]]</f>
        <v>20</v>
      </c>
      <c r="I120" s="481">
        <f ca="1">OFFSET(TblConstr[[#This Row],[Mountain]],-1,0)+TblConstr[[#This Row],[Ch_Mountain]]</f>
        <v>20</v>
      </c>
      <c r="J120" s="485">
        <f ca="1">OFFSET(TblConstr[[#This Row],[Hill]],-1,0)+TblConstr[[#This Row],[Ch_Hill]]</f>
        <v>20</v>
      </c>
      <c r="K120" s="489">
        <f ca="1">OFFSET(TblConstr[[#This Row],[Swamp]],-1,0)+TblConstr[[#This Row],[Ch_Swamp]]</f>
        <v>20</v>
      </c>
      <c r="L120" s="239">
        <f ca="1">OFFSET(TblConstr[[#This Row],[Cavern]],-1,0)+TblConstr[[#This Row],[Ch_Cavern]]</f>
        <v>20</v>
      </c>
      <c r="M120" s="240">
        <f ca="1">OFFSET(TblConstr[[#This Row],[Water]],-1,0)+TblConstr[[#This Row],[Ch_Water]]</f>
        <v>20</v>
      </c>
      <c r="N120" s="479">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44347.833333333052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737717</v>
      </c>
      <c r="AL120" s="113">
        <f ca="1">TblProd[[#This Row],[Lumber]]</f>
        <v>73482</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11</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3" cm="1">
        <f t="array" aca="1" ref="BF120" ca="1">IF(TblConstr[[#This Row],[Hour]:[Hour]]&gt;12,OFFSET(TblConstr[[#This Row],[OM]],-12,0),0)+OFFSET(TblConstr[[#This Row],[Tot OM]],-1,0)-TblConstr[[#This Row],[Dest OM]]</f>
        <v>0</v>
      </c>
      <c r="BG120" s="483" cm="1">
        <f t="array" aca="1" ref="BG120" ca="1">IF(TblConstr[[#This Row],[Hour]:[Hour]]&gt;12,OFFSET(TblConstr[[#This Row],[GN]],-12,0),0)+OFFSET(TblConstr[[#This Row],[Tot GN]],-1,0)-TblConstr[[#This Row],[Dest GN]]</f>
        <v>0</v>
      </c>
      <c r="BH120" s="487" cm="1">
        <f t="array" aca="1" ref="BH120" ca="1">IF(TblConstr[[#This Row],[Hour]:[Hour]]&gt;12,OFFSET(TblConstr[[#This Row],[Fac]],-12,0),0)+OFFSET(TblConstr[[#This Row],[Tot Fac]],-1,0)-TblConstr[[#This Row],[Dest Fac]]</f>
        <v>0</v>
      </c>
      <c r="BI120" s="487" cm="1">
        <f t="array" aca="1" ref="BI120" ca="1">IF(TblConstr[[#This Row],[Hour]:[Hour]]&gt;12,OFFSET(TblConstr[[#This Row],[GT]],-12,0),0)+OFFSET(TblConstr[[#This Row],[Tot GT]],-1,0)-TblConstr[[#This Row],[Dest GT]]</f>
        <v>0</v>
      </c>
      <c r="BJ120" s="487" cm="1">
        <f t="array" aca="1" ref="BJ120" ca="1">IF(TblConstr[[#This Row],[Hour]:[Hour]]&gt;12,OFFSET(TblConstr[[#This Row],[Bar]],-12,0),0)+OFFSET(TblConstr[[#This Row],[Tot Bar]],-1,0)-TblConstr[[#This Row],[Dest Bar]]</f>
        <v>0</v>
      </c>
      <c r="BK120" s="487" cm="1">
        <f t="array" aca="1" ref="BK120" ca="1">IF(TblConstr[[#This Row],[Hour]:[Hour]]&gt;12,OFFSET(TblConstr[[#This Row],[Shr]],-12,0),0)+OFFSET(TblConstr[[#This Row],[Tot Shr]],-1,0)-TblConstr[[#This Row],[Dest Shr]]</f>
        <v>0</v>
      </c>
      <c r="BL120" s="491" cm="1">
        <f t="array" aca="1" ref="BL120" ca="1">IF(TblConstr[[#This Row],[Hour]:[Hour]]&gt;12,OFFSET(TblConstr[[#This Row],[Tow]],-12,0),0)+OFFSET(TblConstr[[#This Row],[Tot Tow]],-1,0)-TblConstr[[#This Row],[Dest Tow]]</f>
        <v>0</v>
      </c>
      <c r="BM120" s="491" cm="1">
        <f t="array" aca="1" ref="BM120" ca="1">IF(TblConstr[[#This Row],[Hour]:[Hour]]&gt;12,OFFSET(TblConstr[[#This Row],[Tem]],-12,0),0)+OFFSET(TblConstr[[#This Row],[Tot Tem]],-1,0)-TblConstr[[#This Row],[Dest Tem]]</f>
        <v>0</v>
      </c>
      <c r="BN120" s="491"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44347.833333333052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1">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99</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11</v>
      </c>
      <c r="DI120" s="49">
        <f t="shared" ca="1" si="19"/>
        <v>0</v>
      </c>
      <c r="DJ120" s="49">
        <f t="shared" ca="1" si="20"/>
        <v>0</v>
      </c>
    </row>
    <row r="121" spans="1:114" x14ac:dyDescent="0.2">
      <c r="A121" s="228">
        <f>TblRezone[[#This Row],[Hour]]</f>
        <v>118</v>
      </c>
      <c r="B121" s="229">
        <f ca="1">SUM(TblConstr[[#This Row],[Plain]:[Water]])</f>
        <v>159</v>
      </c>
      <c r="C121" s="230">
        <f ca="1">SUM(TblConstr[[#This Row],[Tot Hom]:[Tot Doc]])</f>
        <v>91</v>
      </c>
      <c r="D121" s="230">
        <f t="shared" si="21"/>
        <v>0</v>
      </c>
      <c r="E121" s="231"/>
      <c r="F121" s="74">
        <f ca="1">TblConstr[[#This Row],[Barren]]+TblConstr[[#This Row],[Buildings]]+TblConstr[[#This Row],[Incoming]]</f>
        <v>250</v>
      </c>
      <c r="G121" s="242">
        <f ca="1">OFFSET(TblConstr[[#This Row],[Plain]],-1,0)+TblConstr[[#This Row],[Ch_Plain]]</f>
        <v>39</v>
      </c>
      <c r="H121" s="236">
        <f ca="1">OFFSET(TblConstr[[#This Row],[Forest]],-1,0)+TblConstr[[#This Row],[Ch_Forest]]</f>
        <v>20</v>
      </c>
      <c r="I121" s="481">
        <f ca="1">OFFSET(TblConstr[[#This Row],[Mountain]],-1,0)+TblConstr[[#This Row],[Ch_Mountain]]</f>
        <v>20</v>
      </c>
      <c r="J121" s="485">
        <f ca="1">OFFSET(TblConstr[[#This Row],[Hill]],-1,0)+TblConstr[[#This Row],[Ch_Hill]]</f>
        <v>20</v>
      </c>
      <c r="K121" s="489">
        <f ca="1">OFFSET(TblConstr[[#This Row],[Swamp]],-1,0)+TblConstr[[#This Row],[Ch_Swamp]]</f>
        <v>20</v>
      </c>
      <c r="L121" s="239">
        <f ca="1">OFFSET(TblConstr[[#This Row],[Cavern]],-1,0)+TblConstr[[#This Row],[Ch_Cavern]]</f>
        <v>20</v>
      </c>
      <c r="M121" s="240">
        <f ca="1">OFFSET(TblConstr[[#This Row],[Water]],-1,0)+TblConstr[[#This Row],[Ch_Water]]</f>
        <v>20</v>
      </c>
      <c r="N121" s="479">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44347.874999999716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743216</v>
      </c>
      <c r="AL121" s="113">
        <f ca="1">TblProd[[#This Row],[Lumber]]</f>
        <v>73747</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11</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3" cm="1">
        <f t="array" aca="1" ref="BF121" ca="1">IF(TblConstr[[#This Row],[Hour]:[Hour]]&gt;12,OFFSET(TblConstr[[#This Row],[OM]],-12,0),0)+OFFSET(TblConstr[[#This Row],[Tot OM]],-1,0)-TblConstr[[#This Row],[Dest OM]]</f>
        <v>0</v>
      </c>
      <c r="BG121" s="483" cm="1">
        <f t="array" aca="1" ref="BG121" ca="1">IF(TblConstr[[#This Row],[Hour]:[Hour]]&gt;12,OFFSET(TblConstr[[#This Row],[GN]],-12,0),0)+OFFSET(TblConstr[[#This Row],[Tot GN]],-1,0)-TblConstr[[#This Row],[Dest GN]]</f>
        <v>0</v>
      </c>
      <c r="BH121" s="487" cm="1">
        <f t="array" aca="1" ref="BH121" ca="1">IF(TblConstr[[#This Row],[Hour]:[Hour]]&gt;12,OFFSET(TblConstr[[#This Row],[Fac]],-12,0),0)+OFFSET(TblConstr[[#This Row],[Tot Fac]],-1,0)-TblConstr[[#This Row],[Dest Fac]]</f>
        <v>0</v>
      </c>
      <c r="BI121" s="487" cm="1">
        <f t="array" aca="1" ref="BI121" ca="1">IF(TblConstr[[#This Row],[Hour]:[Hour]]&gt;12,OFFSET(TblConstr[[#This Row],[GT]],-12,0),0)+OFFSET(TblConstr[[#This Row],[Tot GT]],-1,0)-TblConstr[[#This Row],[Dest GT]]</f>
        <v>0</v>
      </c>
      <c r="BJ121" s="487" cm="1">
        <f t="array" aca="1" ref="BJ121" ca="1">IF(TblConstr[[#This Row],[Hour]:[Hour]]&gt;12,OFFSET(TblConstr[[#This Row],[Bar]],-12,0),0)+OFFSET(TblConstr[[#This Row],[Tot Bar]],-1,0)-TblConstr[[#This Row],[Dest Bar]]</f>
        <v>0</v>
      </c>
      <c r="BK121" s="487" cm="1">
        <f t="array" aca="1" ref="BK121" ca="1">IF(TblConstr[[#This Row],[Hour]:[Hour]]&gt;12,OFFSET(TblConstr[[#This Row],[Shr]],-12,0),0)+OFFSET(TblConstr[[#This Row],[Tot Shr]],-1,0)-TblConstr[[#This Row],[Dest Shr]]</f>
        <v>0</v>
      </c>
      <c r="BL121" s="491" cm="1">
        <f t="array" aca="1" ref="BL121" ca="1">IF(TblConstr[[#This Row],[Hour]:[Hour]]&gt;12,OFFSET(TblConstr[[#This Row],[Tow]],-12,0),0)+OFFSET(TblConstr[[#This Row],[Tot Tow]],-1,0)-TblConstr[[#This Row],[Dest Tow]]</f>
        <v>0</v>
      </c>
      <c r="BM121" s="491" cm="1">
        <f t="array" aca="1" ref="BM121" ca="1">IF(TblConstr[[#This Row],[Hour]:[Hour]]&gt;12,OFFSET(TblConstr[[#This Row],[Tem]],-12,0),0)+OFFSET(TblConstr[[#This Row],[Tot Tem]],-1,0)-TblConstr[[#This Row],[Dest Tem]]</f>
        <v>0</v>
      </c>
      <c r="BN121" s="491"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44347.874999999716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1">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99</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11</v>
      </c>
      <c r="DI121" s="49">
        <f t="shared" ca="1" si="19"/>
        <v>0</v>
      </c>
      <c r="DJ121" s="49">
        <f t="shared" ca="1" si="20"/>
        <v>0</v>
      </c>
    </row>
    <row r="122" spans="1:114" x14ac:dyDescent="0.2">
      <c r="A122" s="228">
        <f>TblRezone[[#This Row],[Hour]]</f>
        <v>119</v>
      </c>
      <c r="B122" s="229">
        <f ca="1">SUM(TblConstr[[#This Row],[Plain]:[Water]])</f>
        <v>159</v>
      </c>
      <c r="C122" s="230">
        <f ca="1">SUM(TblConstr[[#This Row],[Tot Hom]:[Tot Doc]])</f>
        <v>91</v>
      </c>
      <c r="D122" s="230">
        <f t="shared" si="21"/>
        <v>0</v>
      </c>
      <c r="E122" s="231"/>
      <c r="F122" s="74">
        <f ca="1">TblConstr[[#This Row],[Barren]]+TblConstr[[#This Row],[Buildings]]+TblConstr[[#This Row],[Incoming]]</f>
        <v>250</v>
      </c>
      <c r="G122" s="242">
        <f ca="1">OFFSET(TblConstr[[#This Row],[Plain]],-1,0)+TblConstr[[#This Row],[Ch_Plain]]</f>
        <v>39</v>
      </c>
      <c r="H122" s="236">
        <f ca="1">OFFSET(TblConstr[[#This Row],[Forest]],-1,0)+TblConstr[[#This Row],[Ch_Forest]]</f>
        <v>20</v>
      </c>
      <c r="I122" s="481">
        <f ca="1">OFFSET(TblConstr[[#This Row],[Mountain]],-1,0)+TblConstr[[#This Row],[Ch_Mountain]]</f>
        <v>20</v>
      </c>
      <c r="J122" s="485">
        <f ca="1">OFFSET(TblConstr[[#This Row],[Hill]],-1,0)+TblConstr[[#This Row],[Ch_Hill]]</f>
        <v>20</v>
      </c>
      <c r="K122" s="489">
        <f ca="1">OFFSET(TblConstr[[#This Row],[Swamp]],-1,0)+TblConstr[[#This Row],[Ch_Swamp]]</f>
        <v>20</v>
      </c>
      <c r="L122" s="239">
        <f ca="1">OFFSET(TblConstr[[#This Row],[Cavern]],-1,0)+TblConstr[[#This Row],[Ch_Cavern]]</f>
        <v>20</v>
      </c>
      <c r="M122" s="240">
        <f ca="1">OFFSET(TblConstr[[#This Row],[Water]],-1,0)+TblConstr[[#This Row],[Ch_Water]]</f>
        <v>20</v>
      </c>
      <c r="N122" s="479">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44347.91666666638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748715</v>
      </c>
      <c r="AL122" s="113">
        <f ca="1">TblProd[[#This Row],[Lumber]]</f>
        <v>74010</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11</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3" cm="1">
        <f t="array" aca="1" ref="BF122" ca="1">IF(TblConstr[[#This Row],[Hour]:[Hour]]&gt;12,OFFSET(TblConstr[[#This Row],[OM]],-12,0),0)+OFFSET(TblConstr[[#This Row],[Tot OM]],-1,0)-TblConstr[[#This Row],[Dest OM]]</f>
        <v>0</v>
      </c>
      <c r="BG122" s="483" cm="1">
        <f t="array" aca="1" ref="BG122" ca="1">IF(TblConstr[[#This Row],[Hour]:[Hour]]&gt;12,OFFSET(TblConstr[[#This Row],[GN]],-12,0),0)+OFFSET(TblConstr[[#This Row],[Tot GN]],-1,0)-TblConstr[[#This Row],[Dest GN]]</f>
        <v>0</v>
      </c>
      <c r="BH122" s="487" cm="1">
        <f t="array" aca="1" ref="BH122" ca="1">IF(TblConstr[[#This Row],[Hour]:[Hour]]&gt;12,OFFSET(TblConstr[[#This Row],[Fac]],-12,0),0)+OFFSET(TblConstr[[#This Row],[Tot Fac]],-1,0)-TblConstr[[#This Row],[Dest Fac]]</f>
        <v>0</v>
      </c>
      <c r="BI122" s="487" cm="1">
        <f t="array" aca="1" ref="BI122" ca="1">IF(TblConstr[[#This Row],[Hour]:[Hour]]&gt;12,OFFSET(TblConstr[[#This Row],[GT]],-12,0),0)+OFFSET(TblConstr[[#This Row],[Tot GT]],-1,0)-TblConstr[[#This Row],[Dest GT]]</f>
        <v>0</v>
      </c>
      <c r="BJ122" s="487" cm="1">
        <f t="array" aca="1" ref="BJ122" ca="1">IF(TblConstr[[#This Row],[Hour]:[Hour]]&gt;12,OFFSET(TblConstr[[#This Row],[Bar]],-12,0),0)+OFFSET(TblConstr[[#This Row],[Tot Bar]],-1,0)-TblConstr[[#This Row],[Dest Bar]]</f>
        <v>0</v>
      </c>
      <c r="BK122" s="487" cm="1">
        <f t="array" aca="1" ref="BK122" ca="1">IF(TblConstr[[#This Row],[Hour]:[Hour]]&gt;12,OFFSET(TblConstr[[#This Row],[Shr]],-12,0),0)+OFFSET(TblConstr[[#This Row],[Tot Shr]],-1,0)-TblConstr[[#This Row],[Dest Shr]]</f>
        <v>0</v>
      </c>
      <c r="BL122" s="491" cm="1">
        <f t="array" aca="1" ref="BL122" ca="1">IF(TblConstr[[#This Row],[Hour]:[Hour]]&gt;12,OFFSET(TblConstr[[#This Row],[Tow]],-12,0),0)+OFFSET(TblConstr[[#This Row],[Tot Tow]],-1,0)-TblConstr[[#This Row],[Dest Tow]]</f>
        <v>0</v>
      </c>
      <c r="BM122" s="491" cm="1">
        <f t="array" aca="1" ref="BM122" ca="1">IF(TblConstr[[#This Row],[Hour]:[Hour]]&gt;12,OFFSET(TblConstr[[#This Row],[Tem]],-12,0),0)+OFFSET(TblConstr[[#This Row],[Tot Tem]],-1,0)-TblConstr[[#This Row],[Dest Tem]]</f>
        <v>0</v>
      </c>
      <c r="BN122" s="491"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44347.91666666638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1">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99</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11</v>
      </c>
      <c r="DI122" s="49">
        <f t="shared" ca="1" si="19"/>
        <v>0</v>
      </c>
      <c r="DJ122" s="49">
        <f t="shared" ca="1" si="20"/>
        <v>0</v>
      </c>
    </row>
    <row r="123" spans="1:114" x14ac:dyDescent="0.2">
      <c r="A123" s="228">
        <f>TblRezone[[#This Row],[Hour]]</f>
        <v>120</v>
      </c>
      <c r="B123" s="229">
        <f ca="1">SUM(TblConstr[[#This Row],[Plain]:[Water]])</f>
        <v>159</v>
      </c>
      <c r="C123" s="230">
        <f ca="1">SUM(TblConstr[[#This Row],[Tot Hom]:[Tot Doc]])</f>
        <v>91</v>
      </c>
      <c r="D123" s="230">
        <f t="shared" si="21"/>
        <v>0</v>
      </c>
      <c r="E123" s="231"/>
      <c r="F123" s="74">
        <f ca="1">TblConstr[[#This Row],[Barren]]+TblConstr[[#This Row],[Buildings]]+TblConstr[[#This Row],[Incoming]]</f>
        <v>250</v>
      </c>
      <c r="G123" s="242">
        <f ca="1">OFFSET(TblConstr[[#This Row],[Plain]],-1,0)+TblConstr[[#This Row],[Ch_Plain]]</f>
        <v>39</v>
      </c>
      <c r="H123" s="236">
        <f ca="1">OFFSET(TblConstr[[#This Row],[Forest]],-1,0)+TblConstr[[#This Row],[Ch_Forest]]</f>
        <v>20</v>
      </c>
      <c r="I123" s="481">
        <f ca="1">OFFSET(TblConstr[[#This Row],[Mountain]],-1,0)+TblConstr[[#This Row],[Ch_Mountain]]</f>
        <v>20</v>
      </c>
      <c r="J123" s="485">
        <f ca="1">OFFSET(TblConstr[[#This Row],[Hill]],-1,0)+TblConstr[[#This Row],[Ch_Hill]]</f>
        <v>20</v>
      </c>
      <c r="K123" s="489">
        <f ca="1">OFFSET(TblConstr[[#This Row],[Swamp]],-1,0)+TblConstr[[#This Row],[Ch_Swamp]]</f>
        <v>20</v>
      </c>
      <c r="L123" s="239">
        <f ca="1">OFFSET(TblConstr[[#This Row],[Cavern]],-1,0)+TblConstr[[#This Row],[Ch_Cavern]]</f>
        <v>20</v>
      </c>
      <c r="M123" s="240">
        <f ca="1">OFFSET(TblConstr[[#This Row],[Water]],-1,0)+TblConstr[[#This Row],[Ch_Water]]</f>
        <v>20</v>
      </c>
      <c r="N123" s="479">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44347.958333333045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754214</v>
      </c>
      <c r="AL123" s="113">
        <f ca="1">TblProd[[#This Row],[Lumber]]</f>
        <v>74270</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11</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3" cm="1">
        <f t="array" aca="1" ref="BF123" ca="1">IF(TblConstr[[#This Row],[Hour]:[Hour]]&gt;12,OFFSET(TblConstr[[#This Row],[OM]],-12,0),0)+OFFSET(TblConstr[[#This Row],[Tot OM]],-1,0)-TblConstr[[#This Row],[Dest OM]]</f>
        <v>0</v>
      </c>
      <c r="BG123" s="483" cm="1">
        <f t="array" aca="1" ref="BG123" ca="1">IF(TblConstr[[#This Row],[Hour]:[Hour]]&gt;12,OFFSET(TblConstr[[#This Row],[GN]],-12,0),0)+OFFSET(TblConstr[[#This Row],[Tot GN]],-1,0)-TblConstr[[#This Row],[Dest GN]]</f>
        <v>0</v>
      </c>
      <c r="BH123" s="487" cm="1">
        <f t="array" aca="1" ref="BH123" ca="1">IF(TblConstr[[#This Row],[Hour]:[Hour]]&gt;12,OFFSET(TblConstr[[#This Row],[Fac]],-12,0),0)+OFFSET(TblConstr[[#This Row],[Tot Fac]],-1,0)-TblConstr[[#This Row],[Dest Fac]]</f>
        <v>0</v>
      </c>
      <c r="BI123" s="487" cm="1">
        <f t="array" aca="1" ref="BI123" ca="1">IF(TblConstr[[#This Row],[Hour]:[Hour]]&gt;12,OFFSET(TblConstr[[#This Row],[GT]],-12,0),0)+OFFSET(TblConstr[[#This Row],[Tot GT]],-1,0)-TblConstr[[#This Row],[Dest GT]]</f>
        <v>0</v>
      </c>
      <c r="BJ123" s="487" cm="1">
        <f t="array" aca="1" ref="BJ123" ca="1">IF(TblConstr[[#This Row],[Hour]:[Hour]]&gt;12,OFFSET(TblConstr[[#This Row],[Bar]],-12,0),0)+OFFSET(TblConstr[[#This Row],[Tot Bar]],-1,0)-TblConstr[[#This Row],[Dest Bar]]</f>
        <v>0</v>
      </c>
      <c r="BK123" s="487" cm="1">
        <f t="array" aca="1" ref="BK123" ca="1">IF(TblConstr[[#This Row],[Hour]:[Hour]]&gt;12,OFFSET(TblConstr[[#This Row],[Shr]],-12,0),0)+OFFSET(TblConstr[[#This Row],[Tot Shr]],-1,0)-TblConstr[[#This Row],[Dest Shr]]</f>
        <v>0</v>
      </c>
      <c r="BL123" s="491" cm="1">
        <f t="array" aca="1" ref="BL123" ca="1">IF(TblConstr[[#This Row],[Hour]:[Hour]]&gt;12,OFFSET(TblConstr[[#This Row],[Tow]],-12,0),0)+OFFSET(TblConstr[[#This Row],[Tot Tow]],-1,0)-TblConstr[[#This Row],[Dest Tow]]</f>
        <v>0</v>
      </c>
      <c r="BM123" s="491" cm="1">
        <f t="array" aca="1" ref="BM123" ca="1">IF(TblConstr[[#This Row],[Hour]:[Hour]]&gt;12,OFFSET(TblConstr[[#This Row],[Tem]],-12,0),0)+OFFSET(TblConstr[[#This Row],[Tot Tem]],-1,0)-TblConstr[[#This Row],[Dest Tem]]</f>
        <v>0</v>
      </c>
      <c r="BN123" s="491"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44347.958333333045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1">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99</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11</v>
      </c>
      <c r="DI123" s="49">
        <f t="shared" ca="1" si="19"/>
        <v>0</v>
      </c>
      <c r="DJ123" s="49">
        <f t="shared" ca="1" si="20"/>
        <v>0</v>
      </c>
    </row>
    <row r="124" spans="1:114" x14ac:dyDescent="0.2">
      <c r="A124" s="228">
        <f>TblRezone[[#This Row],[Hour]]</f>
        <v>121</v>
      </c>
      <c r="B124" s="229">
        <f ca="1">SUM(TblConstr[[#This Row],[Plain]:[Water]])</f>
        <v>159</v>
      </c>
      <c r="C124" s="230">
        <f ca="1">SUM(TblConstr[[#This Row],[Tot Hom]:[Tot Doc]])</f>
        <v>91</v>
      </c>
      <c r="D124" s="230">
        <f t="shared" si="21"/>
        <v>0</v>
      </c>
      <c r="E124" s="231"/>
      <c r="F124" s="74">
        <f ca="1">TblConstr[[#This Row],[Barren]]+TblConstr[[#This Row],[Buildings]]+TblConstr[[#This Row],[Incoming]]</f>
        <v>250</v>
      </c>
      <c r="G124" s="242">
        <f ca="1">OFFSET(TblConstr[[#This Row],[Plain]],-1,0)+TblConstr[[#This Row],[Ch_Plain]]</f>
        <v>39</v>
      </c>
      <c r="H124" s="236">
        <f ca="1">OFFSET(TblConstr[[#This Row],[Forest]],-1,0)+TblConstr[[#This Row],[Ch_Forest]]</f>
        <v>20</v>
      </c>
      <c r="I124" s="481">
        <f ca="1">OFFSET(TblConstr[[#This Row],[Mountain]],-1,0)+TblConstr[[#This Row],[Ch_Mountain]]</f>
        <v>20</v>
      </c>
      <c r="J124" s="485">
        <f ca="1">OFFSET(TblConstr[[#This Row],[Hill]],-1,0)+TblConstr[[#This Row],[Ch_Hill]]</f>
        <v>20</v>
      </c>
      <c r="K124" s="489">
        <f ca="1">OFFSET(TblConstr[[#This Row],[Swamp]],-1,0)+TblConstr[[#This Row],[Ch_Swamp]]</f>
        <v>20</v>
      </c>
      <c r="L124" s="239">
        <f ca="1">OFFSET(TblConstr[[#This Row],[Cavern]],-1,0)+TblConstr[[#This Row],[Ch_Cavern]]</f>
        <v>20</v>
      </c>
      <c r="M124" s="240">
        <f ca="1">OFFSET(TblConstr[[#This Row],[Water]],-1,0)+TblConstr[[#This Row],[Ch_Water]]</f>
        <v>20</v>
      </c>
      <c r="N124" s="479">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44347.999999999709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759713</v>
      </c>
      <c r="AL124" s="113">
        <f ca="1">TblProd[[#This Row],[Lumber]]</f>
        <v>74527</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11</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3" cm="1">
        <f t="array" aca="1" ref="BF124" ca="1">IF(TblConstr[[#This Row],[Hour]:[Hour]]&gt;12,OFFSET(TblConstr[[#This Row],[OM]],-12,0),0)+OFFSET(TblConstr[[#This Row],[Tot OM]],-1,0)-TblConstr[[#This Row],[Dest OM]]</f>
        <v>0</v>
      </c>
      <c r="BG124" s="483" cm="1">
        <f t="array" aca="1" ref="BG124" ca="1">IF(TblConstr[[#This Row],[Hour]:[Hour]]&gt;12,OFFSET(TblConstr[[#This Row],[GN]],-12,0),0)+OFFSET(TblConstr[[#This Row],[Tot GN]],-1,0)-TblConstr[[#This Row],[Dest GN]]</f>
        <v>0</v>
      </c>
      <c r="BH124" s="487" cm="1">
        <f t="array" aca="1" ref="BH124" ca="1">IF(TblConstr[[#This Row],[Hour]:[Hour]]&gt;12,OFFSET(TblConstr[[#This Row],[Fac]],-12,0),0)+OFFSET(TblConstr[[#This Row],[Tot Fac]],-1,0)-TblConstr[[#This Row],[Dest Fac]]</f>
        <v>0</v>
      </c>
      <c r="BI124" s="487" cm="1">
        <f t="array" aca="1" ref="BI124" ca="1">IF(TblConstr[[#This Row],[Hour]:[Hour]]&gt;12,OFFSET(TblConstr[[#This Row],[GT]],-12,0),0)+OFFSET(TblConstr[[#This Row],[Tot GT]],-1,0)-TblConstr[[#This Row],[Dest GT]]</f>
        <v>0</v>
      </c>
      <c r="BJ124" s="487" cm="1">
        <f t="array" aca="1" ref="BJ124" ca="1">IF(TblConstr[[#This Row],[Hour]:[Hour]]&gt;12,OFFSET(TblConstr[[#This Row],[Bar]],-12,0),0)+OFFSET(TblConstr[[#This Row],[Tot Bar]],-1,0)-TblConstr[[#This Row],[Dest Bar]]</f>
        <v>0</v>
      </c>
      <c r="BK124" s="487" cm="1">
        <f t="array" aca="1" ref="BK124" ca="1">IF(TblConstr[[#This Row],[Hour]:[Hour]]&gt;12,OFFSET(TblConstr[[#This Row],[Shr]],-12,0),0)+OFFSET(TblConstr[[#This Row],[Tot Shr]],-1,0)-TblConstr[[#This Row],[Dest Shr]]</f>
        <v>0</v>
      </c>
      <c r="BL124" s="491" cm="1">
        <f t="array" aca="1" ref="BL124" ca="1">IF(TblConstr[[#This Row],[Hour]:[Hour]]&gt;12,OFFSET(TblConstr[[#This Row],[Tow]],-12,0),0)+OFFSET(TblConstr[[#This Row],[Tot Tow]],-1,0)-TblConstr[[#This Row],[Dest Tow]]</f>
        <v>0</v>
      </c>
      <c r="BM124" s="491" cm="1">
        <f t="array" aca="1" ref="BM124" ca="1">IF(TblConstr[[#This Row],[Hour]:[Hour]]&gt;12,OFFSET(TblConstr[[#This Row],[Tem]],-12,0),0)+OFFSET(TblConstr[[#This Row],[Tot Tem]],-1,0)-TblConstr[[#This Row],[Dest Tem]]</f>
        <v>0</v>
      </c>
      <c r="BN124" s="491"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44347.999999999709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1">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99</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11</v>
      </c>
      <c r="DI124" s="49">
        <f t="shared" ca="1" si="19"/>
        <v>0</v>
      </c>
      <c r="DJ124" s="49">
        <f t="shared" ca="1" si="20"/>
        <v>0</v>
      </c>
    </row>
    <row r="125" spans="1:114" x14ac:dyDescent="0.2">
      <c r="A125" s="228">
        <f>TblRezone[[#This Row],[Hour]]</f>
        <v>122</v>
      </c>
      <c r="B125" s="229">
        <f ca="1">SUM(TblConstr[[#This Row],[Plain]:[Water]])</f>
        <v>159</v>
      </c>
      <c r="C125" s="230">
        <f ca="1">SUM(TblConstr[[#This Row],[Tot Hom]:[Tot Doc]])</f>
        <v>91</v>
      </c>
      <c r="D125" s="230">
        <f t="shared" si="21"/>
        <v>0</v>
      </c>
      <c r="E125" s="231"/>
      <c r="F125" s="74">
        <f ca="1">TblConstr[[#This Row],[Barren]]+TblConstr[[#This Row],[Buildings]]+TblConstr[[#This Row],[Incoming]]</f>
        <v>250</v>
      </c>
      <c r="G125" s="242">
        <f ca="1">OFFSET(TblConstr[[#This Row],[Plain]],-1,0)+TblConstr[[#This Row],[Ch_Plain]]</f>
        <v>39</v>
      </c>
      <c r="H125" s="236">
        <f ca="1">OFFSET(TblConstr[[#This Row],[Forest]],-1,0)+TblConstr[[#This Row],[Ch_Forest]]</f>
        <v>20</v>
      </c>
      <c r="I125" s="481">
        <f ca="1">OFFSET(TblConstr[[#This Row],[Mountain]],-1,0)+TblConstr[[#This Row],[Ch_Mountain]]</f>
        <v>20</v>
      </c>
      <c r="J125" s="485">
        <f ca="1">OFFSET(TblConstr[[#This Row],[Hill]],-1,0)+TblConstr[[#This Row],[Ch_Hill]]</f>
        <v>20</v>
      </c>
      <c r="K125" s="489">
        <f ca="1">OFFSET(TblConstr[[#This Row],[Swamp]],-1,0)+TblConstr[[#This Row],[Ch_Swamp]]</f>
        <v>20</v>
      </c>
      <c r="L125" s="239">
        <f ca="1">OFFSET(TblConstr[[#This Row],[Cavern]],-1,0)+TblConstr[[#This Row],[Ch_Cavern]]</f>
        <v>20</v>
      </c>
      <c r="M125" s="240">
        <f ca="1">OFFSET(TblConstr[[#This Row],[Water]],-1,0)+TblConstr[[#This Row],[Ch_Water]]</f>
        <v>20</v>
      </c>
      <c r="N125" s="479">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44348.041666666373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765212</v>
      </c>
      <c r="AL125" s="113">
        <f ca="1">TblProd[[#This Row],[Lumber]]</f>
        <v>74782</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11</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3" cm="1">
        <f t="array" aca="1" ref="BF125" ca="1">IF(TblConstr[[#This Row],[Hour]:[Hour]]&gt;12,OFFSET(TblConstr[[#This Row],[OM]],-12,0),0)+OFFSET(TblConstr[[#This Row],[Tot OM]],-1,0)-TblConstr[[#This Row],[Dest OM]]</f>
        <v>0</v>
      </c>
      <c r="BG125" s="483" cm="1">
        <f t="array" aca="1" ref="BG125" ca="1">IF(TblConstr[[#This Row],[Hour]:[Hour]]&gt;12,OFFSET(TblConstr[[#This Row],[GN]],-12,0),0)+OFFSET(TblConstr[[#This Row],[Tot GN]],-1,0)-TblConstr[[#This Row],[Dest GN]]</f>
        <v>0</v>
      </c>
      <c r="BH125" s="487" cm="1">
        <f t="array" aca="1" ref="BH125" ca="1">IF(TblConstr[[#This Row],[Hour]:[Hour]]&gt;12,OFFSET(TblConstr[[#This Row],[Fac]],-12,0),0)+OFFSET(TblConstr[[#This Row],[Tot Fac]],-1,0)-TblConstr[[#This Row],[Dest Fac]]</f>
        <v>0</v>
      </c>
      <c r="BI125" s="487" cm="1">
        <f t="array" aca="1" ref="BI125" ca="1">IF(TblConstr[[#This Row],[Hour]:[Hour]]&gt;12,OFFSET(TblConstr[[#This Row],[GT]],-12,0),0)+OFFSET(TblConstr[[#This Row],[Tot GT]],-1,0)-TblConstr[[#This Row],[Dest GT]]</f>
        <v>0</v>
      </c>
      <c r="BJ125" s="487" cm="1">
        <f t="array" aca="1" ref="BJ125" ca="1">IF(TblConstr[[#This Row],[Hour]:[Hour]]&gt;12,OFFSET(TblConstr[[#This Row],[Bar]],-12,0),0)+OFFSET(TblConstr[[#This Row],[Tot Bar]],-1,0)-TblConstr[[#This Row],[Dest Bar]]</f>
        <v>0</v>
      </c>
      <c r="BK125" s="487" cm="1">
        <f t="array" aca="1" ref="BK125" ca="1">IF(TblConstr[[#This Row],[Hour]:[Hour]]&gt;12,OFFSET(TblConstr[[#This Row],[Shr]],-12,0),0)+OFFSET(TblConstr[[#This Row],[Tot Shr]],-1,0)-TblConstr[[#This Row],[Dest Shr]]</f>
        <v>0</v>
      </c>
      <c r="BL125" s="491" cm="1">
        <f t="array" aca="1" ref="BL125" ca="1">IF(TblConstr[[#This Row],[Hour]:[Hour]]&gt;12,OFFSET(TblConstr[[#This Row],[Tow]],-12,0),0)+OFFSET(TblConstr[[#This Row],[Tot Tow]],-1,0)-TblConstr[[#This Row],[Dest Tow]]</f>
        <v>0</v>
      </c>
      <c r="BM125" s="491" cm="1">
        <f t="array" aca="1" ref="BM125" ca="1">IF(TblConstr[[#This Row],[Hour]:[Hour]]&gt;12,OFFSET(TblConstr[[#This Row],[Tem]],-12,0),0)+OFFSET(TblConstr[[#This Row],[Tot Tem]],-1,0)-TblConstr[[#This Row],[Dest Tem]]</f>
        <v>0</v>
      </c>
      <c r="BN125" s="491"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44348.041666666373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1">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99</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11</v>
      </c>
      <c r="DI125" s="49">
        <f t="shared" ca="1" si="19"/>
        <v>0</v>
      </c>
      <c r="DJ125" s="49">
        <f t="shared" ca="1" si="20"/>
        <v>0</v>
      </c>
    </row>
    <row r="126" spans="1:114" x14ac:dyDescent="0.2">
      <c r="A126" s="228">
        <f>TblRezone[[#This Row],[Hour]]</f>
        <v>123</v>
      </c>
      <c r="B126" s="229">
        <f ca="1">SUM(TblConstr[[#This Row],[Plain]:[Water]])</f>
        <v>159</v>
      </c>
      <c r="C126" s="230">
        <f ca="1">SUM(TblConstr[[#This Row],[Tot Hom]:[Tot Doc]])</f>
        <v>91</v>
      </c>
      <c r="D126" s="230">
        <f t="shared" si="21"/>
        <v>0</v>
      </c>
      <c r="E126" s="231"/>
      <c r="F126" s="74">
        <f ca="1">TblConstr[[#This Row],[Barren]]+TblConstr[[#This Row],[Buildings]]+TblConstr[[#This Row],[Incoming]]</f>
        <v>250</v>
      </c>
      <c r="G126" s="242">
        <f ca="1">OFFSET(TblConstr[[#This Row],[Plain]],-1,0)+TblConstr[[#This Row],[Ch_Plain]]</f>
        <v>39</v>
      </c>
      <c r="H126" s="236">
        <f ca="1">OFFSET(TblConstr[[#This Row],[Forest]],-1,0)+TblConstr[[#This Row],[Ch_Forest]]</f>
        <v>20</v>
      </c>
      <c r="I126" s="481">
        <f ca="1">OFFSET(TblConstr[[#This Row],[Mountain]],-1,0)+TblConstr[[#This Row],[Ch_Mountain]]</f>
        <v>20</v>
      </c>
      <c r="J126" s="485">
        <f ca="1">OFFSET(TblConstr[[#This Row],[Hill]],-1,0)+TblConstr[[#This Row],[Ch_Hill]]</f>
        <v>20</v>
      </c>
      <c r="K126" s="489">
        <f ca="1">OFFSET(TblConstr[[#This Row],[Swamp]],-1,0)+TblConstr[[#This Row],[Ch_Swamp]]</f>
        <v>20</v>
      </c>
      <c r="L126" s="239">
        <f ca="1">OFFSET(TblConstr[[#This Row],[Cavern]],-1,0)+TblConstr[[#This Row],[Ch_Cavern]]</f>
        <v>20</v>
      </c>
      <c r="M126" s="240">
        <f ca="1">OFFSET(TblConstr[[#This Row],[Water]],-1,0)+TblConstr[[#This Row],[Ch_Water]]</f>
        <v>20</v>
      </c>
      <c r="N126" s="479">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44348.083333333037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770711</v>
      </c>
      <c r="AL126" s="113">
        <f ca="1">TblProd[[#This Row],[Lumber]]</f>
        <v>75034</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11</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3" cm="1">
        <f t="array" aca="1" ref="BF126" ca="1">IF(TblConstr[[#This Row],[Hour]:[Hour]]&gt;12,OFFSET(TblConstr[[#This Row],[OM]],-12,0),0)+OFFSET(TblConstr[[#This Row],[Tot OM]],-1,0)-TblConstr[[#This Row],[Dest OM]]</f>
        <v>0</v>
      </c>
      <c r="BG126" s="483" cm="1">
        <f t="array" aca="1" ref="BG126" ca="1">IF(TblConstr[[#This Row],[Hour]:[Hour]]&gt;12,OFFSET(TblConstr[[#This Row],[GN]],-12,0),0)+OFFSET(TblConstr[[#This Row],[Tot GN]],-1,0)-TblConstr[[#This Row],[Dest GN]]</f>
        <v>0</v>
      </c>
      <c r="BH126" s="487" cm="1">
        <f t="array" aca="1" ref="BH126" ca="1">IF(TblConstr[[#This Row],[Hour]:[Hour]]&gt;12,OFFSET(TblConstr[[#This Row],[Fac]],-12,0),0)+OFFSET(TblConstr[[#This Row],[Tot Fac]],-1,0)-TblConstr[[#This Row],[Dest Fac]]</f>
        <v>0</v>
      </c>
      <c r="BI126" s="487" cm="1">
        <f t="array" aca="1" ref="BI126" ca="1">IF(TblConstr[[#This Row],[Hour]:[Hour]]&gt;12,OFFSET(TblConstr[[#This Row],[GT]],-12,0),0)+OFFSET(TblConstr[[#This Row],[Tot GT]],-1,0)-TblConstr[[#This Row],[Dest GT]]</f>
        <v>0</v>
      </c>
      <c r="BJ126" s="487" cm="1">
        <f t="array" aca="1" ref="BJ126" ca="1">IF(TblConstr[[#This Row],[Hour]:[Hour]]&gt;12,OFFSET(TblConstr[[#This Row],[Bar]],-12,0),0)+OFFSET(TblConstr[[#This Row],[Tot Bar]],-1,0)-TblConstr[[#This Row],[Dest Bar]]</f>
        <v>0</v>
      </c>
      <c r="BK126" s="487" cm="1">
        <f t="array" aca="1" ref="BK126" ca="1">IF(TblConstr[[#This Row],[Hour]:[Hour]]&gt;12,OFFSET(TblConstr[[#This Row],[Shr]],-12,0),0)+OFFSET(TblConstr[[#This Row],[Tot Shr]],-1,0)-TblConstr[[#This Row],[Dest Shr]]</f>
        <v>0</v>
      </c>
      <c r="BL126" s="491" cm="1">
        <f t="array" aca="1" ref="BL126" ca="1">IF(TblConstr[[#This Row],[Hour]:[Hour]]&gt;12,OFFSET(TblConstr[[#This Row],[Tow]],-12,0),0)+OFFSET(TblConstr[[#This Row],[Tot Tow]],-1,0)-TblConstr[[#This Row],[Dest Tow]]</f>
        <v>0</v>
      </c>
      <c r="BM126" s="491" cm="1">
        <f t="array" aca="1" ref="BM126" ca="1">IF(TblConstr[[#This Row],[Hour]:[Hour]]&gt;12,OFFSET(TblConstr[[#This Row],[Tem]],-12,0),0)+OFFSET(TblConstr[[#This Row],[Tot Tem]],-1,0)-TblConstr[[#This Row],[Dest Tem]]</f>
        <v>0</v>
      </c>
      <c r="BN126" s="491"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44348.083333333037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1">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99</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11</v>
      </c>
      <c r="DI126" s="49">
        <f t="shared" ca="1" si="19"/>
        <v>0</v>
      </c>
      <c r="DJ126" s="49">
        <f t="shared" ca="1" si="20"/>
        <v>0</v>
      </c>
    </row>
    <row r="127" spans="1:114" x14ac:dyDescent="0.2">
      <c r="A127" s="228">
        <f>TblRezone[[#This Row],[Hour]]</f>
        <v>124</v>
      </c>
      <c r="B127" s="229">
        <f ca="1">SUM(TblConstr[[#This Row],[Plain]:[Water]])</f>
        <v>159</v>
      </c>
      <c r="C127" s="230">
        <f ca="1">SUM(TblConstr[[#This Row],[Tot Hom]:[Tot Doc]])</f>
        <v>91</v>
      </c>
      <c r="D127" s="230">
        <f t="shared" si="21"/>
        <v>0</v>
      </c>
      <c r="E127" s="231"/>
      <c r="F127" s="74">
        <f ca="1">TblConstr[[#This Row],[Barren]]+TblConstr[[#This Row],[Buildings]]+TblConstr[[#This Row],[Incoming]]</f>
        <v>250</v>
      </c>
      <c r="G127" s="242">
        <f ca="1">OFFSET(TblConstr[[#This Row],[Plain]],-1,0)+TblConstr[[#This Row],[Ch_Plain]]</f>
        <v>39</v>
      </c>
      <c r="H127" s="236">
        <f ca="1">OFFSET(TblConstr[[#This Row],[Forest]],-1,0)+TblConstr[[#This Row],[Ch_Forest]]</f>
        <v>20</v>
      </c>
      <c r="I127" s="481">
        <f ca="1">OFFSET(TblConstr[[#This Row],[Mountain]],-1,0)+TblConstr[[#This Row],[Ch_Mountain]]</f>
        <v>20</v>
      </c>
      <c r="J127" s="485">
        <f ca="1">OFFSET(TblConstr[[#This Row],[Hill]],-1,0)+TblConstr[[#This Row],[Ch_Hill]]</f>
        <v>20</v>
      </c>
      <c r="K127" s="489">
        <f ca="1">OFFSET(TblConstr[[#This Row],[Swamp]],-1,0)+TblConstr[[#This Row],[Ch_Swamp]]</f>
        <v>20</v>
      </c>
      <c r="L127" s="239">
        <f ca="1">OFFSET(TblConstr[[#This Row],[Cavern]],-1,0)+TblConstr[[#This Row],[Ch_Cavern]]</f>
        <v>20</v>
      </c>
      <c r="M127" s="240">
        <f ca="1">OFFSET(TblConstr[[#This Row],[Water]],-1,0)+TblConstr[[#This Row],[Ch_Water]]</f>
        <v>20</v>
      </c>
      <c r="N127" s="479">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44348.124999999702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776210</v>
      </c>
      <c r="AL127" s="113">
        <f ca="1">TblProd[[#This Row],[Lumber]]</f>
        <v>75284</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11</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3" cm="1">
        <f t="array" aca="1" ref="BF127" ca="1">IF(TblConstr[[#This Row],[Hour]:[Hour]]&gt;12,OFFSET(TblConstr[[#This Row],[OM]],-12,0),0)+OFFSET(TblConstr[[#This Row],[Tot OM]],-1,0)-TblConstr[[#This Row],[Dest OM]]</f>
        <v>0</v>
      </c>
      <c r="BG127" s="483" cm="1">
        <f t="array" aca="1" ref="BG127" ca="1">IF(TblConstr[[#This Row],[Hour]:[Hour]]&gt;12,OFFSET(TblConstr[[#This Row],[GN]],-12,0),0)+OFFSET(TblConstr[[#This Row],[Tot GN]],-1,0)-TblConstr[[#This Row],[Dest GN]]</f>
        <v>0</v>
      </c>
      <c r="BH127" s="487" cm="1">
        <f t="array" aca="1" ref="BH127" ca="1">IF(TblConstr[[#This Row],[Hour]:[Hour]]&gt;12,OFFSET(TblConstr[[#This Row],[Fac]],-12,0),0)+OFFSET(TblConstr[[#This Row],[Tot Fac]],-1,0)-TblConstr[[#This Row],[Dest Fac]]</f>
        <v>0</v>
      </c>
      <c r="BI127" s="487" cm="1">
        <f t="array" aca="1" ref="BI127" ca="1">IF(TblConstr[[#This Row],[Hour]:[Hour]]&gt;12,OFFSET(TblConstr[[#This Row],[GT]],-12,0),0)+OFFSET(TblConstr[[#This Row],[Tot GT]],-1,0)-TblConstr[[#This Row],[Dest GT]]</f>
        <v>0</v>
      </c>
      <c r="BJ127" s="487" cm="1">
        <f t="array" aca="1" ref="BJ127" ca="1">IF(TblConstr[[#This Row],[Hour]:[Hour]]&gt;12,OFFSET(TblConstr[[#This Row],[Bar]],-12,0),0)+OFFSET(TblConstr[[#This Row],[Tot Bar]],-1,0)-TblConstr[[#This Row],[Dest Bar]]</f>
        <v>0</v>
      </c>
      <c r="BK127" s="487" cm="1">
        <f t="array" aca="1" ref="BK127" ca="1">IF(TblConstr[[#This Row],[Hour]:[Hour]]&gt;12,OFFSET(TblConstr[[#This Row],[Shr]],-12,0),0)+OFFSET(TblConstr[[#This Row],[Tot Shr]],-1,0)-TblConstr[[#This Row],[Dest Shr]]</f>
        <v>0</v>
      </c>
      <c r="BL127" s="491" cm="1">
        <f t="array" aca="1" ref="BL127" ca="1">IF(TblConstr[[#This Row],[Hour]:[Hour]]&gt;12,OFFSET(TblConstr[[#This Row],[Tow]],-12,0),0)+OFFSET(TblConstr[[#This Row],[Tot Tow]],-1,0)-TblConstr[[#This Row],[Dest Tow]]</f>
        <v>0</v>
      </c>
      <c r="BM127" s="491" cm="1">
        <f t="array" aca="1" ref="BM127" ca="1">IF(TblConstr[[#This Row],[Hour]:[Hour]]&gt;12,OFFSET(TblConstr[[#This Row],[Tem]],-12,0),0)+OFFSET(TblConstr[[#This Row],[Tot Tem]],-1,0)-TblConstr[[#This Row],[Dest Tem]]</f>
        <v>0</v>
      </c>
      <c r="BN127" s="491"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44348.124999999702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1">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99</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11</v>
      </c>
      <c r="DI127" s="49">
        <f t="shared" ca="1" si="19"/>
        <v>0</v>
      </c>
      <c r="DJ127" s="49">
        <f t="shared" ca="1" si="20"/>
        <v>0</v>
      </c>
    </row>
    <row r="128" spans="1:114" x14ac:dyDescent="0.2">
      <c r="A128" s="228">
        <f>TblRezone[[#This Row],[Hour]]</f>
        <v>125</v>
      </c>
      <c r="B128" s="229">
        <f ca="1">SUM(TblConstr[[#This Row],[Plain]:[Water]])</f>
        <v>159</v>
      </c>
      <c r="C128" s="230">
        <f ca="1">SUM(TblConstr[[#This Row],[Tot Hom]:[Tot Doc]])</f>
        <v>91</v>
      </c>
      <c r="D128" s="230">
        <f t="shared" si="21"/>
        <v>0</v>
      </c>
      <c r="E128" s="231"/>
      <c r="F128" s="74">
        <f ca="1">TblConstr[[#This Row],[Barren]]+TblConstr[[#This Row],[Buildings]]+TblConstr[[#This Row],[Incoming]]</f>
        <v>250</v>
      </c>
      <c r="G128" s="242">
        <f ca="1">OFFSET(TblConstr[[#This Row],[Plain]],-1,0)+TblConstr[[#This Row],[Ch_Plain]]</f>
        <v>39</v>
      </c>
      <c r="H128" s="236">
        <f ca="1">OFFSET(TblConstr[[#This Row],[Forest]],-1,0)+TblConstr[[#This Row],[Ch_Forest]]</f>
        <v>20</v>
      </c>
      <c r="I128" s="481">
        <f ca="1">OFFSET(TblConstr[[#This Row],[Mountain]],-1,0)+TblConstr[[#This Row],[Ch_Mountain]]</f>
        <v>20</v>
      </c>
      <c r="J128" s="485">
        <f ca="1">OFFSET(TblConstr[[#This Row],[Hill]],-1,0)+TblConstr[[#This Row],[Ch_Hill]]</f>
        <v>20</v>
      </c>
      <c r="K128" s="489">
        <f ca="1">OFFSET(TblConstr[[#This Row],[Swamp]],-1,0)+TblConstr[[#This Row],[Ch_Swamp]]</f>
        <v>20</v>
      </c>
      <c r="L128" s="239">
        <f ca="1">OFFSET(TblConstr[[#This Row],[Cavern]],-1,0)+TblConstr[[#This Row],[Ch_Cavern]]</f>
        <v>20</v>
      </c>
      <c r="M128" s="240">
        <f ca="1">OFFSET(TblConstr[[#This Row],[Water]],-1,0)+TblConstr[[#This Row],[Ch_Water]]</f>
        <v>20</v>
      </c>
      <c r="N128" s="479">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44348.166666666366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781709</v>
      </c>
      <c r="AL128" s="113">
        <f ca="1">TblProd[[#This Row],[Lumber]]</f>
        <v>75531</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11</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3" cm="1">
        <f t="array" aca="1" ref="BF128" ca="1">IF(TblConstr[[#This Row],[Hour]:[Hour]]&gt;12,OFFSET(TblConstr[[#This Row],[OM]],-12,0),0)+OFFSET(TblConstr[[#This Row],[Tot OM]],-1,0)-TblConstr[[#This Row],[Dest OM]]</f>
        <v>0</v>
      </c>
      <c r="BG128" s="483" cm="1">
        <f t="array" aca="1" ref="BG128" ca="1">IF(TblConstr[[#This Row],[Hour]:[Hour]]&gt;12,OFFSET(TblConstr[[#This Row],[GN]],-12,0),0)+OFFSET(TblConstr[[#This Row],[Tot GN]],-1,0)-TblConstr[[#This Row],[Dest GN]]</f>
        <v>0</v>
      </c>
      <c r="BH128" s="487" cm="1">
        <f t="array" aca="1" ref="BH128" ca="1">IF(TblConstr[[#This Row],[Hour]:[Hour]]&gt;12,OFFSET(TblConstr[[#This Row],[Fac]],-12,0),0)+OFFSET(TblConstr[[#This Row],[Tot Fac]],-1,0)-TblConstr[[#This Row],[Dest Fac]]</f>
        <v>0</v>
      </c>
      <c r="BI128" s="487" cm="1">
        <f t="array" aca="1" ref="BI128" ca="1">IF(TblConstr[[#This Row],[Hour]:[Hour]]&gt;12,OFFSET(TblConstr[[#This Row],[GT]],-12,0),0)+OFFSET(TblConstr[[#This Row],[Tot GT]],-1,0)-TblConstr[[#This Row],[Dest GT]]</f>
        <v>0</v>
      </c>
      <c r="BJ128" s="487" cm="1">
        <f t="array" aca="1" ref="BJ128" ca="1">IF(TblConstr[[#This Row],[Hour]:[Hour]]&gt;12,OFFSET(TblConstr[[#This Row],[Bar]],-12,0),0)+OFFSET(TblConstr[[#This Row],[Tot Bar]],-1,0)-TblConstr[[#This Row],[Dest Bar]]</f>
        <v>0</v>
      </c>
      <c r="BK128" s="487" cm="1">
        <f t="array" aca="1" ref="BK128" ca="1">IF(TblConstr[[#This Row],[Hour]:[Hour]]&gt;12,OFFSET(TblConstr[[#This Row],[Shr]],-12,0),0)+OFFSET(TblConstr[[#This Row],[Tot Shr]],-1,0)-TblConstr[[#This Row],[Dest Shr]]</f>
        <v>0</v>
      </c>
      <c r="BL128" s="491" cm="1">
        <f t="array" aca="1" ref="BL128" ca="1">IF(TblConstr[[#This Row],[Hour]:[Hour]]&gt;12,OFFSET(TblConstr[[#This Row],[Tow]],-12,0),0)+OFFSET(TblConstr[[#This Row],[Tot Tow]],-1,0)-TblConstr[[#This Row],[Dest Tow]]</f>
        <v>0</v>
      </c>
      <c r="BM128" s="491" cm="1">
        <f t="array" aca="1" ref="BM128" ca="1">IF(TblConstr[[#This Row],[Hour]:[Hour]]&gt;12,OFFSET(TblConstr[[#This Row],[Tem]],-12,0),0)+OFFSET(TblConstr[[#This Row],[Tot Tem]],-1,0)-TblConstr[[#This Row],[Dest Tem]]</f>
        <v>0</v>
      </c>
      <c r="BN128" s="491"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44348.166666666366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1">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99</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11</v>
      </c>
      <c r="DI128" s="49">
        <f t="shared" ca="1" si="19"/>
        <v>0</v>
      </c>
      <c r="DJ128" s="49">
        <f t="shared" ca="1" si="20"/>
        <v>0</v>
      </c>
    </row>
    <row r="129" spans="1:114" x14ac:dyDescent="0.2">
      <c r="A129" s="228">
        <f>TblRezone[[#This Row],[Hour]]</f>
        <v>126</v>
      </c>
      <c r="B129" s="229">
        <f ca="1">SUM(TblConstr[[#This Row],[Plain]:[Water]])</f>
        <v>159</v>
      </c>
      <c r="C129" s="230">
        <f ca="1">SUM(TblConstr[[#This Row],[Tot Hom]:[Tot Doc]])</f>
        <v>91</v>
      </c>
      <c r="D129" s="230">
        <f t="shared" si="21"/>
        <v>0</v>
      </c>
      <c r="E129" s="231"/>
      <c r="F129" s="74">
        <f ca="1">TblConstr[[#This Row],[Barren]]+TblConstr[[#This Row],[Buildings]]+TblConstr[[#This Row],[Incoming]]</f>
        <v>250</v>
      </c>
      <c r="G129" s="242">
        <f ca="1">OFFSET(TblConstr[[#This Row],[Plain]],-1,0)+TblConstr[[#This Row],[Ch_Plain]]</f>
        <v>39</v>
      </c>
      <c r="H129" s="236">
        <f ca="1">OFFSET(TblConstr[[#This Row],[Forest]],-1,0)+TblConstr[[#This Row],[Ch_Forest]]</f>
        <v>20</v>
      </c>
      <c r="I129" s="481">
        <f ca="1">OFFSET(TblConstr[[#This Row],[Mountain]],-1,0)+TblConstr[[#This Row],[Ch_Mountain]]</f>
        <v>20</v>
      </c>
      <c r="J129" s="485">
        <f ca="1">OFFSET(TblConstr[[#This Row],[Hill]],-1,0)+TblConstr[[#This Row],[Ch_Hill]]</f>
        <v>20</v>
      </c>
      <c r="K129" s="489">
        <f ca="1">OFFSET(TblConstr[[#This Row],[Swamp]],-1,0)+TblConstr[[#This Row],[Ch_Swamp]]</f>
        <v>20</v>
      </c>
      <c r="L129" s="239">
        <f ca="1">OFFSET(TblConstr[[#This Row],[Cavern]],-1,0)+TblConstr[[#This Row],[Ch_Cavern]]</f>
        <v>20</v>
      </c>
      <c r="M129" s="240">
        <f ca="1">OFFSET(TblConstr[[#This Row],[Water]],-1,0)+TblConstr[[#This Row],[Ch_Water]]</f>
        <v>20</v>
      </c>
      <c r="N129" s="479">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44348.20833333303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787208</v>
      </c>
      <c r="AL129" s="113">
        <f ca="1">TblProd[[#This Row],[Lumber]]</f>
        <v>75776</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11</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3" cm="1">
        <f t="array" aca="1" ref="BF129" ca="1">IF(TblConstr[[#This Row],[Hour]:[Hour]]&gt;12,OFFSET(TblConstr[[#This Row],[OM]],-12,0),0)+OFFSET(TblConstr[[#This Row],[Tot OM]],-1,0)-TblConstr[[#This Row],[Dest OM]]</f>
        <v>0</v>
      </c>
      <c r="BG129" s="483" cm="1">
        <f t="array" aca="1" ref="BG129" ca="1">IF(TblConstr[[#This Row],[Hour]:[Hour]]&gt;12,OFFSET(TblConstr[[#This Row],[GN]],-12,0),0)+OFFSET(TblConstr[[#This Row],[Tot GN]],-1,0)-TblConstr[[#This Row],[Dest GN]]</f>
        <v>0</v>
      </c>
      <c r="BH129" s="487" cm="1">
        <f t="array" aca="1" ref="BH129" ca="1">IF(TblConstr[[#This Row],[Hour]:[Hour]]&gt;12,OFFSET(TblConstr[[#This Row],[Fac]],-12,0),0)+OFFSET(TblConstr[[#This Row],[Tot Fac]],-1,0)-TblConstr[[#This Row],[Dest Fac]]</f>
        <v>0</v>
      </c>
      <c r="BI129" s="487" cm="1">
        <f t="array" aca="1" ref="BI129" ca="1">IF(TblConstr[[#This Row],[Hour]:[Hour]]&gt;12,OFFSET(TblConstr[[#This Row],[GT]],-12,0),0)+OFFSET(TblConstr[[#This Row],[Tot GT]],-1,0)-TblConstr[[#This Row],[Dest GT]]</f>
        <v>0</v>
      </c>
      <c r="BJ129" s="487" cm="1">
        <f t="array" aca="1" ref="BJ129" ca="1">IF(TblConstr[[#This Row],[Hour]:[Hour]]&gt;12,OFFSET(TblConstr[[#This Row],[Bar]],-12,0),0)+OFFSET(TblConstr[[#This Row],[Tot Bar]],-1,0)-TblConstr[[#This Row],[Dest Bar]]</f>
        <v>0</v>
      </c>
      <c r="BK129" s="487" cm="1">
        <f t="array" aca="1" ref="BK129" ca="1">IF(TblConstr[[#This Row],[Hour]:[Hour]]&gt;12,OFFSET(TblConstr[[#This Row],[Shr]],-12,0),0)+OFFSET(TblConstr[[#This Row],[Tot Shr]],-1,0)-TblConstr[[#This Row],[Dest Shr]]</f>
        <v>0</v>
      </c>
      <c r="BL129" s="491" cm="1">
        <f t="array" aca="1" ref="BL129" ca="1">IF(TblConstr[[#This Row],[Hour]:[Hour]]&gt;12,OFFSET(TblConstr[[#This Row],[Tow]],-12,0),0)+OFFSET(TblConstr[[#This Row],[Tot Tow]],-1,0)-TblConstr[[#This Row],[Dest Tow]]</f>
        <v>0</v>
      </c>
      <c r="BM129" s="491" cm="1">
        <f t="array" aca="1" ref="BM129" ca="1">IF(TblConstr[[#This Row],[Hour]:[Hour]]&gt;12,OFFSET(TblConstr[[#This Row],[Tem]],-12,0),0)+OFFSET(TblConstr[[#This Row],[Tot Tem]],-1,0)-TblConstr[[#This Row],[Dest Tem]]</f>
        <v>0</v>
      </c>
      <c r="BN129" s="491"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44348.20833333303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1">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99</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11</v>
      </c>
      <c r="DI129" s="49">
        <f t="shared" ca="1" si="19"/>
        <v>0</v>
      </c>
      <c r="DJ129" s="49">
        <f t="shared" ca="1" si="20"/>
        <v>0</v>
      </c>
    </row>
    <row r="130" spans="1:114" x14ac:dyDescent="0.2">
      <c r="A130" s="228">
        <f>TblRezone[[#This Row],[Hour]]</f>
        <v>127</v>
      </c>
      <c r="B130" s="229">
        <f ca="1">SUM(TblConstr[[#This Row],[Plain]:[Water]])</f>
        <v>159</v>
      </c>
      <c r="C130" s="230">
        <f ca="1">SUM(TblConstr[[#This Row],[Tot Hom]:[Tot Doc]])</f>
        <v>91</v>
      </c>
      <c r="D130" s="230">
        <f t="shared" si="21"/>
        <v>0</v>
      </c>
      <c r="E130" s="231"/>
      <c r="F130" s="74">
        <f ca="1">TblConstr[[#This Row],[Barren]]+TblConstr[[#This Row],[Buildings]]+TblConstr[[#This Row],[Incoming]]</f>
        <v>250</v>
      </c>
      <c r="G130" s="242">
        <f ca="1">OFFSET(TblConstr[[#This Row],[Plain]],-1,0)+TblConstr[[#This Row],[Ch_Plain]]</f>
        <v>39</v>
      </c>
      <c r="H130" s="236">
        <f ca="1">OFFSET(TblConstr[[#This Row],[Forest]],-1,0)+TblConstr[[#This Row],[Ch_Forest]]</f>
        <v>20</v>
      </c>
      <c r="I130" s="481">
        <f ca="1">OFFSET(TblConstr[[#This Row],[Mountain]],-1,0)+TblConstr[[#This Row],[Ch_Mountain]]</f>
        <v>20</v>
      </c>
      <c r="J130" s="485">
        <f ca="1">OFFSET(TblConstr[[#This Row],[Hill]],-1,0)+TblConstr[[#This Row],[Ch_Hill]]</f>
        <v>20</v>
      </c>
      <c r="K130" s="489">
        <f ca="1">OFFSET(TblConstr[[#This Row],[Swamp]],-1,0)+TblConstr[[#This Row],[Ch_Swamp]]</f>
        <v>20</v>
      </c>
      <c r="L130" s="239">
        <f ca="1">OFFSET(TblConstr[[#This Row],[Cavern]],-1,0)+TblConstr[[#This Row],[Ch_Cavern]]</f>
        <v>20</v>
      </c>
      <c r="M130" s="240">
        <f ca="1">OFFSET(TblConstr[[#This Row],[Water]],-1,0)+TblConstr[[#This Row],[Ch_Water]]</f>
        <v>20</v>
      </c>
      <c r="N130" s="479">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44348.249999999694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792707</v>
      </c>
      <c r="AL130" s="113">
        <f ca="1">TblProd[[#This Row],[Lumber]]</f>
        <v>76018</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11</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3" cm="1">
        <f t="array" aca="1" ref="BF130" ca="1">IF(TblConstr[[#This Row],[Hour]:[Hour]]&gt;12,OFFSET(TblConstr[[#This Row],[OM]],-12,0),0)+OFFSET(TblConstr[[#This Row],[Tot OM]],-1,0)-TblConstr[[#This Row],[Dest OM]]</f>
        <v>0</v>
      </c>
      <c r="BG130" s="483" cm="1">
        <f t="array" aca="1" ref="BG130" ca="1">IF(TblConstr[[#This Row],[Hour]:[Hour]]&gt;12,OFFSET(TblConstr[[#This Row],[GN]],-12,0),0)+OFFSET(TblConstr[[#This Row],[Tot GN]],-1,0)-TblConstr[[#This Row],[Dest GN]]</f>
        <v>0</v>
      </c>
      <c r="BH130" s="487" cm="1">
        <f t="array" aca="1" ref="BH130" ca="1">IF(TblConstr[[#This Row],[Hour]:[Hour]]&gt;12,OFFSET(TblConstr[[#This Row],[Fac]],-12,0),0)+OFFSET(TblConstr[[#This Row],[Tot Fac]],-1,0)-TblConstr[[#This Row],[Dest Fac]]</f>
        <v>0</v>
      </c>
      <c r="BI130" s="487" cm="1">
        <f t="array" aca="1" ref="BI130" ca="1">IF(TblConstr[[#This Row],[Hour]:[Hour]]&gt;12,OFFSET(TblConstr[[#This Row],[GT]],-12,0),0)+OFFSET(TblConstr[[#This Row],[Tot GT]],-1,0)-TblConstr[[#This Row],[Dest GT]]</f>
        <v>0</v>
      </c>
      <c r="BJ130" s="487" cm="1">
        <f t="array" aca="1" ref="BJ130" ca="1">IF(TblConstr[[#This Row],[Hour]:[Hour]]&gt;12,OFFSET(TblConstr[[#This Row],[Bar]],-12,0),0)+OFFSET(TblConstr[[#This Row],[Tot Bar]],-1,0)-TblConstr[[#This Row],[Dest Bar]]</f>
        <v>0</v>
      </c>
      <c r="BK130" s="487" cm="1">
        <f t="array" aca="1" ref="BK130" ca="1">IF(TblConstr[[#This Row],[Hour]:[Hour]]&gt;12,OFFSET(TblConstr[[#This Row],[Shr]],-12,0),0)+OFFSET(TblConstr[[#This Row],[Tot Shr]],-1,0)-TblConstr[[#This Row],[Dest Shr]]</f>
        <v>0</v>
      </c>
      <c r="BL130" s="491" cm="1">
        <f t="array" aca="1" ref="BL130" ca="1">IF(TblConstr[[#This Row],[Hour]:[Hour]]&gt;12,OFFSET(TblConstr[[#This Row],[Tow]],-12,0),0)+OFFSET(TblConstr[[#This Row],[Tot Tow]],-1,0)-TblConstr[[#This Row],[Dest Tow]]</f>
        <v>0</v>
      </c>
      <c r="BM130" s="491" cm="1">
        <f t="array" aca="1" ref="BM130" ca="1">IF(TblConstr[[#This Row],[Hour]:[Hour]]&gt;12,OFFSET(TblConstr[[#This Row],[Tem]],-12,0),0)+OFFSET(TblConstr[[#This Row],[Tot Tem]],-1,0)-TblConstr[[#This Row],[Dest Tem]]</f>
        <v>0</v>
      </c>
      <c r="BN130" s="491"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44348.249999999694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1">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99</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11</v>
      </c>
      <c r="DI130" s="49">
        <f t="shared" ca="1" si="19"/>
        <v>0</v>
      </c>
      <c r="DJ130" s="49">
        <f t="shared" ca="1" si="20"/>
        <v>0</v>
      </c>
    </row>
    <row r="131" spans="1:114" x14ac:dyDescent="0.2">
      <c r="A131" s="228">
        <f>TblRezone[[#This Row],[Hour]]</f>
        <v>128</v>
      </c>
      <c r="B131" s="229">
        <f ca="1">SUM(TblConstr[[#This Row],[Plain]:[Water]])</f>
        <v>159</v>
      </c>
      <c r="C131" s="230">
        <f ca="1">SUM(TblConstr[[#This Row],[Tot Hom]:[Tot Doc]])</f>
        <v>91</v>
      </c>
      <c r="D131" s="230">
        <f t="shared" si="21"/>
        <v>0</v>
      </c>
      <c r="E131" s="231"/>
      <c r="F131" s="74">
        <f ca="1">TblConstr[[#This Row],[Barren]]+TblConstr[[#This Row],[Buildings]]+TblConstr[[#This Row],[Incoming]]</f>
        <v>250</v>
      </c>
      <c r="G131" s="242">
        <f ca="1">OFFSET(TblConstr[[#This Row],[Plain]],-1,0)+TblConstr[[#This Row],[Ch_Plain]]</f>
        <v>39</v>
      </c>
      <c r="H131" s="236">
        <f ca="1">OFFSET(TblConstr[[#This Row],[Forest]],-1,0)+TblConstr[[#This Row],[Ch_Forest]]</f>
        <v>20</v>
      </c>
      <c r="I131" s="481">
        <f ca="1">OFFSET(TblConstr[[#This Row],[Mountain]],-1,0)+TblConstr[[#This Row],[Ch_Mountain]]</f>
        <v>20</v>
      </c>
      <c r="J131" s="485">
        <f ca="1">OFFSET(TblConstr[[#This Row],[Hill]],-1,0)+TblConstr[[#This Row],[Ch_Hill]]</f>
        <v>20</v>
      </c>
      <c r="K131" s="489">
        <f ca="1">OFFSET(TblConstr[[#This Row],[Swamp]],-1,0)+TblConstr[[#This Row],[Ch_Swamp]]</f>
        <v>20</v>
      </c>
      <c r="L131" s="239">
        <f ca="1">OFFSET(TblConstr[[#This Row],[Cavern]],-1,0)+TblConstr[[#This Row],[Ch_Cavern]]</f>
        <v>20</v>
      </c>
      <c r="M131" s="240">
        <f ca="1">OFFSET(TblConstr[[#This Row],[Water]],-1,0)+TblConstr[[#This Row],[Ch_Water]]</f>
        <v>20</v>
      </c>
      <c r="N131" s="479">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44348.291666666359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798206</v>
      </c>
      <c r="AL131" s="113">
        <f ca="1">TblProd[[#This Row],[Lumber]]</f>
        <v>76258</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11</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3" cm="1">
        <f t="array" aca="1" ref="BF131" ca="1">IF(TblConstr[[#This Row],[Hour]:[Hour]]&gt;12,OFFSET(TblConstr[[#This Row],[OM]],-12,0),0)+OFFSET(TblConstr[[#This Row],[Tot OM]],-1,0)-TblConstr[[#This Row],[Dest OM]]</f>
        <v>0</v>
      </c>
      <c r="BG131" s="483" cm="1">
        <f t="array" aca="1" ref="BG131" ca="1">IF(TblConstr[[#This Row],[Hour]:[Hour]]&gt;12,OFFSET(TblConstr[[#This Row],[GN]],-12,0),0)+OFFSET(TblConstr[[#This Row],[Tot GN]],-1,0)-TblConstr[[#This Row],[Dest GN]]</f>
        <v>0</v>
      </c>
      <c r="BH131" s="487" cm="1">
        <f t="array" aca="1" ref="BH131" ca="1">IF(TblConstr[[#This Row],[Hour]:[Hour]]&gt;12,OFFSET(TblConstr[[#This Row],[Fac]],-12,0),0)+OFFSET(TblConstr[[#This Row],[Tot Fac]],-1,0)-TblConstr[[#This Row],[Dest Fac]]</f>
        <v>0</v>
      </c>
      <c r="BI131" s="487" cm="1">
        <f t="array" aca="1" ref="BI131" ca="1">IF(TblConstr[[#This Row],[Hour]:[Hour]]&gt;12,OFFSET(TblConstr[[#This Row],[GT]],-12,0),0)+OFFSET(TblConstr[[#This Row],[Tot GT]],-1,0)-TblConstr[[#This Row],[Dest GT]]</f>
        <v>0</v>
      </c>
      <c r="BJ131" s="487" cm="1">
        <f t="array" aca="1" ref="BJ131" ca="1">IF(TblConstr[[#This Row],[Hour]:[Hour]]&gt;12,OFFSET(TblConstr[[#This Row],[Bar]],-12,0),0)+OFFSET(TblConstr[[#This Row],[Tot Bar]],-1,0)-TblConstr[[#This Row],[Dest Bar]]</f>
        <v>0</v>
      </c>
      <c r="BK131" s="487" cm="1">
        <f t="array" aca="1" ref="BK131" ca="1">IF(TblConstr[[#This Row],[Hour]:[Hour]]&gt;12,OFFSET(TblConstr[[#This Row],[Shr]],-12,0),0)+OFFSET(TblConstr[[#This Row],[Tot Shr]],-1,0)-TblConstr[[#This Row],[Dest Shr]]</f>
        <v>0</v>
      </c>
      <c r="BL131" s="491" cm="1">
        <f t="array" aca="1" ref="BL131" ca="1">IF(TblConstr[[#This Row],[Hour]:[Hour]]&gt;12,OFFSET(TblConstr[[#This Row],[Tow]],-12,0),0)+OFFSET(TblConstr[[#This Row],[Tot Tow]],-1,0)-TblConstr[[#This Row],[Dest Tow]]</f>
        <v>0</v>
      </c>
      <c r="BM131" s="491" cm="1">
        <f t="array" aca="1" ref="BM131" ca="1">IF(TblConstr[[#This Row],[Hour]:[Hour]]&gt;12,OFFSET(TblConstr[[#This Row],[Tem]],-12,0),0)+OFFSET(TblConstr[[#This Row],[Tot Tem]],-1,0)-TblConstr[[#This Row],[Dest Tem]]</f>
        <v>0</v>
      </c>
      <c r="BN131" s="491"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44348.291666666359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1">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99</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11</v>
      </c>
      <c r="DI131" s="49">
        <f t="shared" ca="1" si="19"/>
        <v>0</v>
      </c>
      <c r="DJ131" s="49">
        <f t="shared" ca="1" si="20"/>
        <v>0</v>
      </c>
    </row>
    <row r="132" spans="1:114" x14ac:dyDescent="0.2">
      <c r="A132" s="228">
        <f>TblRezone[[#This Row],[Hour]]</f>
        <v>129</v>
      </c>
      <c r="B132" s="229">
        <f ca="1">SUM(TblConstr[[#This Row],[Plain]:[Water]])</f>
        <v>159</v>
      </c>
      <c r="C132" s="230">
        <f ca="1">SUM(TblConstr[[#This Row],[Tot Hom]:[Tot Doc]])</f>
        <v>91</v>
      </c>
      <c r="D132" s="230">
        <f>SUM(O121:AG132)</f>
        <v>0</v>
      </c>
      <c r="E132" s="231"/>
      <c r="F132" s="74">
        <f ca="1">TblConstr[[#This Row],[Barren]]+TblConstr[[#This Row],[Buildings]]+TblConstr[[#This Row],[Incoming]]</f>
        <v>250</v>
      </c>
      <c r="G132" s="242">
        <f ca="1">OFFSET(TblConstr[[#This Row],[Plain]],-1,0)+TblConstr[[#This Row],[Ch_Plain]]</f>
        <v>39</v>
      </c>
      <c r="H132" s="236">
        <f ca="1">OFFSET(TblConstr[[#This Row],[Forest]],-1,0)+TblConstr[[#This Row],[Ch_Forest]]</f>
        <v>20</v>
      </c>
      <c r="I132" s="481">
        <f ca="1">OFFSET(TblConstr[[#This Row],[Mountain]],-1,0)+TblConstr[[#This Row],[Ch_Mountain]]</f>
        <v>20</v>
      </c>
      <c r="J132" s="485">
        <f ca="1">OFFSET(TblConstr[[#This Row],[Hill]],-1,0)+TblConstr[[#This Row],[Ch_Hill]]</f>
        <v>20</v>
      </c>
      <c r="K132" s="489">
        <f ca="1">OFFSET(TblConstr[[#This Row],[Swamp]],-1,0)+TblConstr[[#This Row],[Ch_Swamp]]</f>
        <v>20</v>
      </c>
      <c r="L132" s="239">
        <f ca="1">OFFSET(TblConstr[[#This Row],[Cavern]],-1,0)+TblConstr[[#This Row],[Ch_Cavern]]</f>
        <v>20</v>
      </c>
      <c r="M132" s="240">
        <f ca="1">OFFSET(TblConstr[[#This Row],[Water]],-1,0)+TblConstr[[#This Row],[Ch_Water]]</f>
        <v>20</v>
      </c>
      <c r="N132" s="479">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44348.333333333023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803705</v>
      </c>
      <c r="AL132" s="113">
        <f ca="1">TblProd[[#This Row],[Lumber]]</f>
        <v>76495</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11</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3" cm="1">
        <f t="array" aca="1" ref="BF132" ca="1">IF(TblConstr[[#This Row],[Hour]:[Hour]]&gt;12,OFFSET(TblConstr[[#This Row],[OM]],-12,0),0)+OFFSET(TblConstr[[#This Row],[Tot OM]],-1,0)-TblConstr[[#This Row],[Dest OM]]</f>
        <v>0</v>
      </c>
      <c r="BG132" s="483" cm="1">
        <f t="array" aca="1" ref="BG132" ca="1">IF(TblConstr[[#This Row],[Hour]:[Hour]]&gt;12,OFFSET(TblConstr[[#This Row],[GN]],-12,0),0)+OFFSET(TblConstr[[#This Row],[Tot GN]],-1,0)-TblConstr[[#This Row],[Dest GN]]</f>
        <v>0</v>
      </c>
      <c r="BH132" s="487" cm="1">
        <f t="array" aca="1" ref="BH132" ca="1">IF(TblConstr[[#This Row],[Hour]:[Hour]]&gt;12,OFFSET(TblConstr[[#This Row],[Fac]],-12,0),0)+OFFSET(TblConstr[[#This Row],[Tot Fac]],-1,0)-TblConstr[[#This Row],[Dest Fac]]</f>
        <v>0</v>
      </c>
      <c r="BI132" s="487" cm="1">
        <f t="array" aca="1" ref="BI132" ca="1">IF(TblConstr[[#This Row],[Hour]:[Hour]]&gt;12,OFFSET(TblConstr[[#This Row],[GT]],-12,0),0)+OFFSET(TblConstr[[#This Row],[Tot GT]],-1,0)-TblConstr[[#This Row],[Dest GT]]</f>
        <v>0</v>
      </c>
      <c r="BJ132" s="487" cm="1">
        <f t="array" aca="1" ref="BJ132" ca="1">IF(TblConstr[[#This Row],[Hour]:[Hour]]&gt;12,OFFSET(TblConstr[[#This Row],[Bar]],-12,0),0)+OFFSET(TblConstr[[#This Row],[Tot Bar]],-1,0)-TblConstr[[#This Row],[Dest Bar]]</f>
        <v>0</v>
      </c>
      <c r="BK132" s="487" cm="1">
        <f t="array" aca="1" ref="BK132" ca="1">IF(TblConstr[[#This Row],[Hour]:[Hour]]&gt;12,OFFSET(TblConstr[[#This Row],[Shr]],-12,0),0)+OFFSET(TblConstr[[#This Row],[Tot Shr]],-1,0)-TblConstr[[#This Row],[Dest Shr]]</f>
        <v>0</v>
      </c>
      <c r="BL132" s="491" cm="1">
        <f t="array" aca="1" ref="BL132" ca="1">IF(TblConstr[[#This Row],[Hour]:[Hour]]&gt;12,OFFSET(TblConstr[[#This Row],[Tow]],-12,0),0)+OFFSET(TblConstr[[#This Row],[Tot Tow]],-1,0)-TblConstr[[#This Row],[Dest Tow]]</f>
        <v>0</v>
      </c>
      <c r="BM132" s="491" cm="1">
        <f t="array" aca="1" ref="BM132" ca="1">IF(TblConstr[[#This Row],[Hour]:[Hour]]&gt;12,OFFSET(TblConstr[[#This Row],[Tem]],-12,0),0)+OFFSET(TblConstr[[#This Row],[Tot Tem]],-1,0)-TblConstr[[#This Row],[Dest Tem]]</f>
        <v>0</v>
      </c>
      <c r="BN132" s="491"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44348.333333333023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1">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99</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11</v>
      </c>
      <c r="DI132" s="49">
        <f ca="1">MAX(BA132-BA131,0)</f>
        <v>0</v>
      </c>
      <c r="DJ132" s="49">
        <f ca="1">MAX(BQ132-BQ131,0)</f>
        <v>0</v>
      </c>
    </row>
    <row r="133" spans="1:114" x14ac:dyDescent="0.2">
      <c r="A133" s="228">
        <f>TblRezone[[#This Row],[Hour]]</f>
        <v>130</v>
      </c>
      <c r="B133" s="229">
        <f ca="1">SUM(TblConstr[[#This Row],[Plain]:[Water]])</f>
        <v>159</v>
      </c>
      <c r="C133" s="230">
        <f ca="1">SUM(TblConstr[[#This Row],[Tot Hom]:[Tot Doc]])</f>
        <v>91</v>
      </c>
      <c r="D133" s="230">
        <f>SUM(O122:AG133)</f>
        <v>0</v>
      </c>
      <c r="E133" s="231"/>
      <c r="F133" s="74">
        <f ca="1">TblConstr[[#This Row],[Barren]]+TblConstr[[#This Row],[Buildings]]+TblConstr[[#This Row],[Incoming]]</f>
        <v>250</v>
      </c>
      <c r="G133" s="242">
        <f ca="1">OFFSET(TblConstr[[#This Row],[Plain]],-1,0)+TblConstr[[#This Row],[Ch_Plain]]</f>
        <v>39</v>
      </c>
      <c r="H133" s="236">
        <f ca="1">OFFSET(TblConstr[[#This Row],[Forest]],-1,0)+TblConstr[[#This Row],[Ch_Forest]]</f>
        <v>20</v>
      </c>
      <c r="I133" s="481">
        <f ca="1">OFFSET(TblConstr[[#This Row],[Mountain]],-1,0)+TblConstr[[#This Row],[Ch_Mountain]]</f>
        <v>20</v>
      </c>
      <c r="J133" s="485">
        <f ca="1">OFFSET(TblConstr[[#This Row],[Hill]],-1,0)+TblConstr[[#This Row],[Ch_Hill]]</f>
        <v>20</v>
      </c>
      <c r="K133" s="489">
        <f ca="1">OFFSET(TblConstr[[#This Row],[Swamp]],-1,0)+TblConstr[[#This Row],[Ch_Swamp]]</f>
        <v>20</v>
      </c>
      <c r="L133" s="239">
        <f ca="1">OFFSET(TblConstr[[#This Row],[Cavern]],-1,0)+TblConstr[[#This Row],[Ch_Cavern]]</f>
        <v>20</v>
      </c>
      <c r="M133" s="240">
        <f ca="1">OFFSET(TblConstr[[#This Row],[Water]],-1,0)+TblConstr[[#This Row],[Ch_Water]]</f>
        <v>20</v>
      </c>
      <c r="N133" s="479">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44348.374999999687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809204</v>
      </c>
      <c r="AL133" s="113">
        <f ca="1">TblProd[[#This Row],[Lumber]]</f>
        <v>76730</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11</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3" cm="1">
        <f t="array" aca="1" ref="BF133" ca="1">IF(TblConstr[[#This Row],[Hour]:[Hour]]&gt;12,OFFSET(TblConstr[[#This Row],[OM]],-12,0),0)+OFFSET(TblConstr[[#This Row],[Tot OM]],-1,0)-TblConstr[[#This Row],[Dest OM]]</f>
        <v>0</v>
      </c>
      <c r="BG133" s="483" cm="1">
        <f t="array" aca="1" ref="BG133" ca="1">IF(TblConstr[[#This Row],[Hour]:[Hour]]&gt;12,OFFSET(TblConstr[[#This Row],[GN]],-12,0),0)+OFFSET(TblConstr[[#This Row],[Tot GN]],-1,0)-TblConstr[[#This Row],[Dest GN]]</f>
        <v>0</v>
      </c>
      <c r="BH133" s="487" cm="1">
        <f t="array" aca="1" ref="BH133" ca="1">IF(TblConstr[[#This Row],[Hour]:[Hour]]&gt;12,OFFSET(TblConstr[[#This Row],[Fac]],-12,0),0)+OFFSET(TblConstr[[#This Row],[Tot Fac]],-1,0)-TblConstr[[#This Row],[Dest Fac]]</f>
        <v>0</v>
      </c>
      <c r="BI133" s="487" cm="1">
        <f t="array" aca="1" ref="BI133" ca="1">IF(TblConstr[[#This Row],[Hour]:[Hour]]&gt;12,OFFSET(TblConstr[[#This Row],[GT]],-12,0),0)+OFFSET(TblConstr[[#This Row],[Tot GT]],-1,0)-TblConstr[[#This Row],[Dest GT]]</f>
        <v>0</v>
      </c>
      <c r="BJ133" s="487" cm="1">
        <f t="array" aca="1" ref="BJ133" ca="1">IF(TblConstr[[#This Row],[Hour]:[Hour]]&gt;12,OFFSET(TblConstr[[#This Row],[Bar]],-12,0),0)+OFFSET(TblConstr[[#This Row],[Tot Bar]],-1,0)-TblConstr[[#This Row],[Dest Bar]]</f>
        <v>0</v>
      </c>
      <c r="BK133" s="487" cm="1">
        <f t="array" aca="1" ref="BK133" ca="1">IF(TblConstr[[#This Row],[Hour]:[Hour]]&gt;12,OFFSET(TblConstr[[#This Row],[Shr]],-12,0),0)+OFFSET(TblConstr[[#This Row],[Tot Shr]],-1,0)-TblConstr[[#This Row],[Dest Shr]]</f>
        <v>0</v>
      </c>
      <c r="BL133" s="491" cm="1">
        <f t="array" aca="1" ref="BL133" ca="1">IF(TblConstr[[#This Row],[Hour]:[Hour]]&gt;12,OFFSET(TblConstr[[#This Row],[Tow]],-12,0),0)+OFFSET(TblConstr[[#This Row],[Tot Tow]],-1,0)-TblConstr[[#This Row],[Dest Tow]]</f>
        <v>0</v>
      </c>
      <c r="BM133" s="491" cm="1">
        <f t="array" aca="1" ref="BM133" ca="1">IF(TblConstr[[#This Row],[Hour]:[Hour]]&gt;12,OFFSET(TblConstr[[#This Row],[Tem]],-12,0),0)+OFFSET(TblConstr[[#This Row],[Tot Tem]],-1,0)-TblConstr[[#This Row],[Dest Tem]]</f>
        <v>0</v>
      </c>
      <c r="BN133" s="491"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44348.374999999687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1">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99</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11</v>
      </c>
      <c r="DI133" s="49">
        <f t="shared" ca="1" si="19"/>
        <v>0</v>
      </c>
      <c r="DJ133" s="49">
        <f t="shared" ca="1" si="20"/>
        <v>0</v>
      </c>
    </row>
    <row r="134" spans="1:114" x14ac:dyDescent="0.2">
      <c r="A134" s="228">
        <f>TblRezone[[#This Row],[Hour]]</f>
        <v>131</v>
      </c>
      <c r="B134" s="229">
        <f ca="1">SUM(TblConstr[[#This Row],[Plain]:[Water]])</f>
        <v>159</v>
      </c>
      <c r="C134" s="230">
        <f ca="1">SUM(TblConstr[[#This Row],[Tot Hom]:[Tot Doc]])</f>
        <v>91</v>
      </c>
      <c r="D134" s="230">
        <f>SUM(O123:AG134)</f>
        <v>0</v>
      </c>
      <c r="E134" s="231"/>
      <c r="F134" s="74">
        <f ca="1">TblConstr[[#This Row],[Barren]]+TblConstr[[#This Row],[Buildings]]+TblConstr[[#This Row],[Incoming]]</f>
        <v>250</v>
      </c>
      <c r="G134" s="242">
        <f ca="1">OFFSET(TblConstr[[#This Row],[Plain]],-1,0)+TblConstr[[#This Row],[Ch_Plain]]</f>
        <v>39</v>
      </c>
      <c r="H134" s="236">
        <f ca="1">OFFSET(TblConstr[[#This Row],[Forest]],-1,0)+TblConstr[[#This Row],[Ch_Forest]]</f>
        <v>20</v>
      </c>
      <c r="I134" s="481">
        <f ca="1">OFFSET(TblConstr[[#This Row],[Mountain]],-1,0)+TblConstr[[#This Row],[Ch_Mountain]]</f>
        <v>20</v>
      </c>
      <c r="J134" s="485">
        <f ca="1">OFFSET(TblConstr[[#This Row],[Hill]],-1,0)+TblConstr[[#This Row],[Ch_Hill]]</f>
        <v>20</v>
      </c>
      <c r="K134" s="489">
        <f ca="1">OFFSET(TblConstr[[#This Row],[Swamp]],-1,0)+TblConstr[[#This Row],[Ch_Swamp]]</f>
        <v>20</v>
      </c>
      <c r="L134" s="239">
        <f ca="1">OFFSET(TblConstr[[#This Row],[Cavern]],-1,0)+TblConstr[[#This Row],[Ch_Cavern]]</f>
        <v>20</v>
      </c>
      <c r="M134" s="240">
        <f ca="1">OFFSET(TblConstr[[#This Row],[Water]],-1,0)+TblConstr[[#This Row],[Ch_Water]]</f>
        <v>20</v>
      </c>
      <c r="N134" s="479">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44348.416666666351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814703</v>
      </c>
      <c r="AL134" s="113">
        <f ca="1">TblProd[[#This Row],[Lumber]]</f>
        <v>76963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11</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3" cm="1">
        <f t="array" aca="1" ref="BF134" ca="1">IF(TblConstr[[#This Row],[Hour]:[Hour]]&gt;12,OFFSET(TblConstr[[#This Row],[OM]],-12,0),0)+OFFSET(TblConstr[[#This Row],[Tot OM]],-1,0)-TblConstr[[#This Row],[Dest OM]]</f>
        <v>0</v>
      </c>
      <c r="BG134" s="483" cm="1">
        <f t="array" aca="1" ref="BG134" ca="1">IF(TblConstr[[#This Row],[Hour]:[Hour]]&gt;12,OFFSET(TblConstr[[#This Row],[GN]],-12,0),0)+OFFSET(TblConstr[[#This Row],[Tot GN]],-1,0)-TblConstr[[#This Row],[Dest GN]]</f>
        <v>0</v>
      </c>
      <c r="BH134" s="487" cm="1">
        <f t="array" aca="1" ref="BH134" ca="1">IF(TblConstr[[#This Row],[Hour]:[Hour]]&gt;12,OFFSET(TblConstr[[#This Row],[Fac]],-12,0),0)+OFFSET(TblConstr[[#This Row],[Tot Fac]],-1,0)-TblConstr[[#This Row],[Dest Fac]]</f>
        <v>0</v>
      </c>
      <c r="BI134" s="487" cm="1">
        <f t="array" aca="1" ref="BI134" ca="1">IF(TblConstr[[#This Row],[Hour]:[Hour]]&gt;12,OFFSET(TblConstr[[#This Row],[GT]],-12,0),0)+OFFSET(TblConstr[[#This Row],[Tot GT]],-1,0)-TblConstr[[#This Row],[Dest GT]]</f>
        <v>0</v>
      </c>
      <c r="BJ134" s="487" cm="1">
        <f t="array" aca="1" ref="BJ134" ca="1">IF(TblConstr[[#This Row],[Hour]:[Hour]]&gt;12,OFFSET(TblConstr[[#This Row],[Bar]],-12,0),0)+OFFSET(TblConstr[[#This Row],[Tot Bar]],-1,0)-TblConstr[[#This Row],[Dest Bar]]</f>
        <v>0</v>
      </c>
      <c r="BK134" s="487" cm="1">
        <f t="array" aca="1" ref="BK134" ca="1">IF(TblConstr[[#This Row],[Hour]:[Hour]]&gt;12,OFFSET(TblConstr[[#This Row],[Shr]],-12,0),0)+OFFSET(TblConstr[[#This Row],[Tot Shr]],-1,0)-TblConstr[[#This Row],[Dest Shr]]</f>
        <v>0</v>
      </c>
      <c r="BL134" s="491" cm="1">
        <f t="array" aca="1" ref="BL134" ca="1">IF(TblConstr[[#This Row],[Hour]:[Hour]]&gt;12,OFFSET(TblConstr[[#This Row],[Tow]],-12,0),0)+OFFSET(TblConstr[[#This Row],[Tot Tow]],-1,0)-TblConstr[[#This Row],[Dest Tow]]</f>
        <v>0</v>
      </c>
      <c r="BM134" s="491" cm="1">
        <f t="array" aca="1" ref="BM134" ca="1">IF(TblConstr[[#This Row],[Hour]:[Hour]]&gt;12,OFFSET(TblConstr[[#This Row],[Tem]],-12,0),0)+OFFSET(TblConstr[[#This Row],[Tot Tem]],-1,0)-TblConstr[[#This Row],[Dest Tem]]</f>
        <v>0</v>
      </c>
      <c r="BN134" s="491"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44348.416666666351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1">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99</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11</v>
      </c>
      <c r="DI134" s="49">
        <f ca="1">MAX(BA134-BA133,0)</f>
        <v>0</v>
      </c>
      <c r="DJ134" s="49">
        <f ca="1">MAX(BQ134-BQ133,0)</f>
        <v>0</v>
      </c>
    </row>
    <row r="135" spans="1:114" x14ac:dyDescent="0.2">
      <c r="A135" s="228">
        <f>TblRezone[[#This Row],[Hour]]</f>
        <v>132</v>
      </c>
      <c r="B135" s="229">
        <f ca="1">SUM(TblConstr[[#This Row],[Plain]:[Water]])</f>
        <v>159</v>
      </c>
      <c r="C135" s="230">
        <f ca="1">SUM(TblConstr[[#This Row],[Tot Hom]:[Tot Doc]])</f>
        <v>91</v>
      </c>
      <c r="D135" s="230">
        <f>SUM(O124:AG135)</f>
        <v>0</v>
      </c>
      <c r="E135" s="231"/>
      <c r="F135" s="74">
        <f ca="1">TblConstr[[#This Row],[Barren]]+TblConstr[[#This Row],[Buildings]]+TblConstr[[#This Row],[Incoming]]</f>
        <v>250</v>
      </c>
      <c r="G135" s="242">
        <f ca="1">OFFSET(TblConstr[[#This Row],[Plain]],-1,0)+TblConstr[[#This Row],[Ch_Plain]]</f>
        <v>39</v>
      </c>
      <c r="H135" s="236">
        <f ca="1">OFFSET(TblConstr[[#This Row],[Forest]],-1,0)+TblConstr[[#This Row],[Ch_Forest]]</f>
        <v>20</v>
      </c>
      <c r="I135" s="481">
        <f ca="1">OFFSET(TblConstr[[#This Row],[Mountain]],-1,0)+TblConstr[[#This Row],[Ch_Mountain]]</f>
        <v>20</v>
      </c>
      <c r="J135" s="485">
        <f ca="1">OFFSET(TblConstr[[#This Row],[Hill]],-1,0)+TblConstr[[#This Row],[Ch_Hill]]</f>
        <v>20</v>
      </c>
      <c r="K135" s="489">
        <f ca="1">OFFSET(TblConstr[[#This Row],[Swamp]],-1,0)+TblConstr[[#This Row],[Ch_Swamp]]</f>
        <v>20</v>
      </c>
      <c r="L135" s="239">
        <f ca="1">OFFSET(TblConstr[[#This Row],[Cavern]],-1,0)+TblConstr[[#This Row],[Ch_Cavern]]</f>
        <v>20</v>
      </c>
      <c r="M135" s="240">
        <f ca="1">OFFSET(TblConstr[[#This Row],[Water]],-1,0)+TblConstr[[#This Row],[Ch_Water]]</f>
        <v>20</v>
      </c>
      <c r="N135" s="479">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44348.458333333016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820202</v>
      </c>
      <c r="AL135" s="113">
        <f ca="1">TblProd[[#This Row],[Lumber]]</f>
        <v>77193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11</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3" cm="1">
        <f t="array" aca="1" ref="BF135" ca="1">IF(TblConstr[[#This Row],[Hour]:[Hour]]&gt;12,OFFSET(TblConstr[[#This Row],[OM]],-12,0),0)+OFFSET(TblConstr[[#This Row],[Tot OM]],-1,0)-TblConstr[[#This Row],[Dest OM]]</f>
        <v>0</v>
      </c>
      <c r="BG135" s="483" cm="1">
        <f t="array" aca="1" ref="BG135" ca="1">IF(TblConstr[[#This Row],[Hour]:[Hour]]&gt;12,OFFSET(TblConstr[[#This Row],[GN]],-12,0),0)+OFFSET(TblConstr[[#This Row],[Tot GN]],-1,0)-TblConstr[[#This Row],[Dest GN]]</f>
        <v>0</v>
      </c>
      <c r="BH135" s="487" cm="1">
        <f t="array" aca="1" ref="BH135" ca="1">IF(TblConstr[[#This Row],[Hour]:[Hour]]&gt;12,OFFSET(TblConstr[[#This Row],[Fac]],-12,0),0)+OFFSET(TblConstr[[#This Row],[Tot Fac]],-1,0)-TblConstr[[#This Row],[Dest Fac]]</f>
        <v>0</v>
      </c>
      <c r="BI135" s="487" cm="1">
        <f t="array" aca="1" ref="BI135" ca="1">IF(TblConstr[[#This Row],[Hour]:[Hour]]&gt;12,OFFSET(TblConstr[[#This Row],[GT]],-12,0),0)+OFFSET(TblConstr[[#This Row],[Tot GT]],-1,0)-TblConstr[[#This Row],[Dest GT]]</f>
        <v>0</v>
      </c>
      <c r="BJ135" s="487" cm="1">
        <f t="array" aca="1" ref="BJ135" ca="1">IF(TblConstr[[#This Row],[Hour]:[Hour]]&gt;12,OFFSET(TblConstr[[#This Row],[Bar]],-12,0),0)+OFFSET(TblConstr[[#This Row],[Tot Bar]],-1,0)-TblConstr[[#This Row],[Dest Bar]]</f>
        <v>0</v>
      </c>
      <c r="BK135" s="487" cm="1">
        <f t="array" aca="1" ref="BK135" ca="1">IF(TblConstr[[#This Row],[Hour]:[Hour]]&gt;12,OFFSET(TblConstr[[#This Row],[Shr]],-12,0),0)+OFFSET(TblConstr[[#This Row],[Tot Shr]],-1,0)-TblConstr[[#This Row],[Dest Shr]]</f>
        <v>0</v>
      </c>
      <c r="BL135" s="491" cm="1">
        <f t="array" aca="1" ref="BL135" ca="1">IF(TblConstr[[#This Row],[Hour]:[Hour]]&gt;12,OFFSET(TblConstr[[#This Row],[Tow]],-12,0),0)+OFFSET(TblConstr[[#This Row],[Tot Tow]],-1,0)-TblConstr[[#This Row],[Dest Tow]]</f>
        <v>0</v>
      </c>
      <c r="BM135" s="491" cm="1">
        <f t="array" aca="1" ref="BM135" ca="1">IF(TblConstr[[#This Row],[Hour]:[Hour]]&gt;12,OFFSET(TblConstr[[#This Row],[Tem]],-12,0),0)+OFFSET(TblConstr[[#This Row],[Tot Tem]],-1,0)-TblConstr[[#This Row],[Dest Tem]]</f>
        <v>0</v>
      </c>
      <c r="BN135" s="491"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44348.458333333016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1">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99</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11</v>
      </c>
      <c r="DI135" s="49">
        <f ca="1">MAX(BA135-BA134,0)</f>
        <v>0</v>
      </c>
      <c r="DJ135" s="49">
        <f ca="1">MAX(BQ135-BQ134,0)</f>
        <v>0</v>
      </c>
    </row>
    <row r="136" spans="1:114" x14ac:dyDescent="0.2">
      <c r="A136" s="228">
        <f>TblRezone[[#This Row],[Hour]]</f>
        <v>133</v>
      </c>
      <c r="B136" s="229">
        <f ca="1">SUM(TblConstr[[#This Row],[Plain]:[Water]])</f>
        <v>159</v>
      </c>
      <c r="C136" s="230">
        <f ca="1">SUM(TblConstr[[#This Row],[Tot Hom]:[Tot Doc]])</f>
        <v>91</v>
      </c>
      <c r="D136" s="230">
        <f>SUM(O125:AG136)</f>
        <v>0</v>
      </c>
      <c r="E136" s="231"/>
      <c r="F136" s="74">
        <f ca="1">TblConstr[[#This Row],[Barren]]+TblConstr[[#This Row],[Buildings]]+TblConstr[[#This Row],[Incoming]]</f>
        <v>250</v>
      </c>
      <c r="G136" s="242">
        <f ca="1">OFFSET(TblConstr[[#This Row],[Plain]],-1,0)+TblConstr[[#This Row],[Ch_Plain]]</f>
        <v>39</v>
      </c>
      <c r="H136" s="236">
        <f ca="1">OFFSET(TblConstr[[#This Row],[Forest]],-1,0)+TblConstr[[#This Row],[Ch_Forest]]</f>
        <v>20</v>
      </c>
      <c r="I136" s="481">
        <f ca="1">OFFSET(TblConstr[[#This Row],[Mountain]],-1,0)+TblConstr[[#This Row],[Ch_Mountain]]</f>
        <v>20</v>
      </c>
      <c r="J136" s="485">
        <f ca="1">OFFSET(TblConstr[[#This Row],[Hill]],-1,0)+TblConstr[[#This Row],[Ch_Hill]]</f>
        <v>20</v>
      </c>
      <c r="K136" s="489">
        <f ca="1">OFFSET(TblConstr[[#This Row],[Swamp]],-1,0)+TblConstr[[#This Row],[Ch_Swamp]]</f>
        <v>20</v>
      </c>
      <c r="L136" s="239">
        <f ca="1">OFFSET(TblConstr[[#This Row],[Cavern]],-1,0)+TblConstr[[#This Row],[Ch_Cavern]]</f>
        <v>20</v>
      </c>
      <c r="M136" s="240">
        <f ca="1">OFFSET(TblConstr[[#This Row],[Water]],-1,0)+TblConstr[[#This Row],[Ch_Water]]</f>
        <v>20</v>
      </c>
      <c r="N136" s="479">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44348.49999999968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825701</v>
      </c>
      <c r="AL136" s="113">
        <f ca="1">TblProd[[#This Row],[Lumber]]</f>
        <v>77421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11</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3" cm="1">
        <f t="array" aca="1" ref="BF136" ca="1">IF(TblConstr[[#This Row],[Hour]:[Hour]]&gt;12,OFFSET(TblConstr[[#This Row],[OM]],-12,0),0)+OFFSET(TblConstr[[#This Row],[Tot OM]],-1,0)-TblConstr[[#This Row],[Dest OM]]</f>
        <v>0</v>
      </c>
      <c r="BG136" s="483" cm="1">
        <f t="array" aca="1" ref="BG136" ca="1">IF(TblConstr[[#This Row],[Hour]:[Hour]]&gt;12,OFFSET(TblConstr[[#This Row],[GN]],-12,0),0)+OFFSET(TblConstr[[#This Row],[Tot GN]],-1,0)-TblConstr[[#This Row],[Dest GN]]</f>
        <v>0</v>
      </c>
      <c r="BH136" s="487" cm="1">
        <f t="array" aca="1" ref="BH136" ca="1">IF(TblConstr[[#This Row],[Hour]:[Hour]]&gt;12,OFFSET(TblConstr[[#This Row],[Fac]],-12,0),0)+OFFSET(TblConstr[[#This Row],[Tot Fac]],-1,0)-TblConstr[[#This Row],[Dest Fac]]</f>
        <v>0</v>
      </c>
      <c r="BI136" s="487" cm="1">
        <f t="array" aca="1" ref="BI136" ca="1">IF(TblConstr[[#This Row],[Hour]:[Hour]]&gt;12,OFFSET(TblConstr[[#This Row],[GT]],-12,0),0)+OFFSET(TblConstr[[#This Row],[Tot GT]],-1,0)-TblConstr[[#This Row],[Dest GT]]</f>
        <v>0</v>
      </c>
      <c r="BJ136" s="487" cm="1">
        <f t="array" aca="1" ref="BJ136" ca="1">IF(TblConstr[[#This Row],[Hour]:[Hour]]&gt;12,OFFSET(TblConstr[[#This Row],[Bar]],-12,0),0)+OFFSET(TblConstr[[#This Row],[Tot Bar]],-1,0)-TblConstr[[#This Row],[Dest Bar]]</f>
        <v>0</v>
      </c>
      <c r="BK136" s="487" cm="1">
        <f t="array" aca="1" ref="BK136" ca="1">IF(TblConstr[[#This Row],[Hour]:[Hour]]&gt;12,OFFSET(TblConstr[[#This Row],[Shr]],-12,0),0)+OFFSET(TblConstr[[#This Row],[Tot Shr]],-1,0)-TblConstr[[#This Row],[Dest Shr]]</f>
        <v>0</v>
      </c>
      <c r="BL136" s="491" cm="1">
        <f t="array" aca="1" ref="BL136" ca="1">IF(TblConstr[[#This Row],[Hour]:[Hour]]&gt;12,OFFSET(TblConstr[[#This Row],[Tow]],-12,0),0)+OFFSET(TblConstr[[#This Row],[Tot Tow]],-1,0)-TblConstr[[#This Row],[Dest Tow]]</f>
        <v>0</v>
      </c>
      <c r="BM136" s="491" cm="1">
        <f t="array" aca="1" ref="BM136" ca="1">IF(TblConstr[[#This Row],[Hour]:[Hour]]&gt;12,OFFSET(TblConstr[[#This Row],[Tem]],-12,0),0)+OFFSET(TblConstr[[#This Row],[Tot Tem]],-1,0)-TblConstr[[#This Row],[Dest Tem]]</f>
        <v>0</v>
      </c>
      <c r="BN136" s="491"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44348.49999999968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1">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99</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11</v>
      </c>
      <c r="DI136" s="49">
        <f ca="1">MAX(BA136-BA135,0)</f>
        <v>0</v>
      </c>
      <c r="DJ136" s="49">
        <f ca="1">MAX(BQ136-BQ135,0)</f>
        <v>0</v>
      </c>
    </row>
    <row r="1269" spans="1:2" x14ac:dyDescent="0.2">
      <c r="A1269" s="590" t="s">
        <v>327</v>
      </c>
      <c r="B1269" s="563"/>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4" priority="67" stopIfTrue="1">
      <formula>XEZ137&lt;0</formula>
    </cfRule>
  </conditionalFormatting>
  <conditionalFormatting sqref="A137:D1268 A1271:D65537 F1271:H65537 F137:H1268">
    <cfRule type="expression" dxfId="713" priority="68" stopIfTrue="1">
      <formula>XEV137&lt;0</formula>
    </cfRule>
  </conditionalFormatting>
  <conditionalFormatting sqref="E1271:E65537 E137:E1268">
    <cfRule type="expression" dxfId="712" priority="69" stopIfTrue="1">
      <formula>XEU137&lt;0</formula>
    </cfRule>
  </conditionalFormatting>
  <conditionalFormatting sqref="DI1271:DJ52023 O1271:AG52052 O137:AG1268 BV1271:DH52052 BV137:DJ1268">
    <cfRule type="expression" dxfId="711" priority="70" stopIfTrue="1">
      <formula>ROW()-2=#REF!</formula>
    </cfRule>
  </conditionalFormatting>
  <conditionalFormatting sqref="A1269:AG1270 BV1269:DJ1270">
    <cfRule type="expression" dxfId="710" priority="71" stopIfTrue="1">
      <formula>$A$1270&gt;144</formula>
    </cfRule>
  </conditionalFormatting>
  <conditionalFormatting sqref="K1271:L65537 K137:L1268">
    <cfRule type="expression" dxfId="709" priority="89" stopIfTrue="1">
      <formula>A137&lt;0</formula>
    </cfRule>
  </conditionalFormatting>
  <conditionalFormatting sqref="AY4:BQ136">
    <cfRule type="expression" dxfId="708" priority="1" stopIfTrue="1">
      <formula>OR(AY4&lt;0,ROW()-3=$A$1270)</formula>
    </cfRule>
  </conditionalFormatting>
  <conditionalFormatting sqref="I1271:J65537 I137:J1268">
    <cfRule type="expression" dxfId="707" priority="92" stopIfTrue="1">
      <formula>A137&lt;0</formula>
    </cfRule>
  </conditionalFormatting>
  <conditionalFormatting sqref="A4:DJ136">
    <cfRule type="expression" dxfId="706" priority="7" stopIfTrue="1">
      <formula>ROW()-3=$A$1270</formula>
    </cfRule>
    <cfRule type="expression" dxfId="705" priority="130">
      <formula>$A4=73</formula>
    </cfRule>
    <cfRule type="expression" dxfId="704" priority="131">
      <formula>ROUND(($A4-1)/12,0)=INT($A4-1)/12</formula>
    </cfRule>
  </conditionalFormatting>
  <conditionalFormatting sqref="A1:XFD3">
    <cfRule type="expression" dxfId="703"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2" t="s">
        <v>312</v>
      </c>
      <c r="M1" s="535"/>
      <c r="N1" s="535"/>
      <c r="O1" s="535"/>
      <c r="P1" s="535"/>
      <c r="Q1" s="535"/>
      <c r="R1" s="174"/>
      <c r="S1" s="90" t="s">
        <v>366</v>
      </c>
      <c r="T1" s="90" t="s">
        <v>187</v>
      </c>
      <c r="AB1" s="591" t="s">
        <v>77</v>
      </c>
      <c r="AC1" s="591"/>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1063</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1056</v>
      </c>
      <c r="U3" s="176" t="s">
        <v>1057</v>
      </c>
      <c r="V3" s="176" t="s">
        <v>1058</v>
      </c>
      <c r="W3" s="176" t="s">
        <v>1059</v>
      </c>
      <c r="X3" s="176" t="s">
        <v>1060</v>
      </c>
      <c r="Y3" s="176" t="s">
        <v>1061</v>
      </c>
      <c r="Z3" s="176" t="s">
        <v>1062</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39</v>
      </c>
      <c r="E4" s="236">
        <f ca="1">TblConstr[[#This Row],[Forest]]</f>
        <v>20</v>
      </c>
      <c r="F4" s="481">
        <f ca="1">TblConstr[[#This Row],[Mountain]]</f>
        <v>20</v>
      </c>
      <c r="G4" s="485">
        <f ca="1">TblConstr[[#This Row],[Hill]]</f>
        <v>20</v>
      </c>
      <c r="H4" s="489">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44343</v>
      </c>
      <c r="AB4" s="113">
        <f ca="1">TblMili[[#This Row],[Draftees]]</f>
        <v>100</v>
      </c>
      <c r="AC4" s="113">
        <f ca="1">TblProd[[#This Row],[Platinum]]</f>
        <v>99150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39</v>
      </c>
      <c r="E5" s="236">
        <f ca="1">TblConstr[[#This Row],[Forest]]</f>
        <v>20</v>
      </c>
      <c r="F5" s="481">
        <f ca="1">TblConstr[[#This Row],[Mountain]]</f>
        <v>20</v>
      </c>
      <c r="G5" s="485">
        <f ca="1">TblConstr[[#This Row],[Hill]]</f>
        <v>20</v>
      </c>
      <c r="H5" s="489">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0.69214527027027029</v>
      </c>
      <c r="Q5" s="228">
        <f ca="1">TblExplore[[#This Row],[Land]]</f>
        <v>250</v>
      </c>
      <c r="R5" s="228">
        <f>TblExplore[[#This Row],[Hour]]</f>
        <v>2</v>
      </c>
      <c r="S5" s="284"/>
      <c r="T5" s="232"/>
      <c r="U5" s="232"/>
      <c r="V5" s="232"/>
      <c r="W5" s="232"/>
      <c r="X5" s="232"/>
      <c r="Y5" s="232"/>
      <c r="Z5" s="232"/>
      <c r="AA5" s="205">
        <f ca="1">TblImps[[#This Row],[Real time]]</f>
        <v>44343.041666666664</v>
      </c>
      <c r="AB5" s="113">
        <f ca="1">TblMili[[#This Row],[Draftees]]</f>
        <v>113</v>
      </c>
      <c r="AC5" s="113">
        <f ca="1">TblProd[[#This Row],[Platinum]]</f>
        <v>104010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39</v>
      </c>
      <c r="E6" s="236">
        <f ca="1">TblConstr[[#This Row],[Forest]]</f>
        <v>20</v>
      </c>
      <c r="F6" s="481">
        <f ca="1">TblConstr[[#This Row],[Mountain]]</f>
        <v>20</v>
      </c>
      <c r="G6" s="485">
        <f ca="1">TblConstr[[#This Row],[Hill]]</f>
        <v>20</v>
      </c>
      <c r="H6" s="489">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0.70861486486486491</v>
      </c>
      <c r="Q6" s="228">
        <f ca="1">TblExplore[[#This Row],[Land]]</f>
        <v>250</v>
      </c>
      <c r="R6" s="228">
        <f>TblExplore[[#This Row],[Hour]]</f>
        <v>3</v>
      </c>
      <c r="S6" s="284"/>
      <c r="T6" s="232"/>
      <c r="U6" s="232"/>
      <c r="V6" s="232"/>
      <c r="W6" s="232"/>
      <c r="X6" s="232"/>
      <c r="Y6" s="232"/>
      <c r="Z6" s="232"/>
      <c r="AA6" s="205">
        <f ca="1">TblImps[[#This Row],[Real time]]</f>
        <v>44343.083333333328</v>
      </c>
      <c r="AB6" s="113">
        <f ca="1">TblMili[[#This Row],[Draftees]]</f>
        <v>126</v>
      </c>
      <c r="AC6" s="113">
        <f ca="1">TblProd[[#This Row],[Platinum]]</f>
        <v>108940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39</v>
      </c>
      <c r="E7" s="236">
        <f ca="1">TblConstr[[#This Row],[Forest]]</f>
        <v>20</v>
      </c>
      <c r="F7" s="481">
        <f ca="1">TblConstr[[#This Row],[Mountain]]</f>
        <v>20</v>
      </c>
      <c r="G7" s="485">
        <f ca="1">TblConstr[[#This Row],[Hill]]</f>
        <v>20</v>
      </c>
      <c r="H7" s="489">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0.7255067567567568</v>
      </c>
      <c r="Q7" s="228">
        <f ca="1">TblExplore[[#This Row],[Land]]</f>
        <v>250</v>
      </c>
      <c r="R7" s="228">
        <f>TblExplore[[#This Row],[Hour]]</f>
        <v>4</v>
      </c>
      <c r="S7" s="284"/>
      <c r="T7" s="204"/>
      <c r="U7" s="232"/>
      <c r="V7" s="232"/>
      <c r="W7" s="232"/>
      <c r="X7" s="232"/>
      <c r="Y7" s="232"/>
      <c r="Z7" s="232"/>
      <c r="AA7" s="205">
        <f ca="1">TblImps[[#This Row],[Real time]]</f>
        <v>44343.124999999993</v>
      </c>
      <c r="AB7" s="113">
        <f ca="1">TblMili[[#This Row],[Draftees]]</f>
        <v>140</v>
      </c>
      <c r="AC7" s="113">
        <f ca="1">TblProd[[#This Row],[Platinum]]</f>
        <v>113940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39</v>
      </c>
      <c r="E8" s="236">
        <f ca="1">TblConstr[[#This Row],[Forest]]</f>
        <v>20</v>
      </c>
      <c r="F8" s="481">
        <f ca="1">TblConstr[[#This Row],[Mountain]]</f>
        <v>20</v>
      </c>
      <c r="G8" s="485">
        <f ca="1">TblConstr[[#This Row],[Hill]]</f>
        <v>20</v>
      </c>
      <c r="H8" s="489">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0.74282094594594594</v>
      </c>
      <c r="Q8" s="228">
        <f ca="1">TblExplore[[#This Row],[Land]]</f>
        <v>250</v>
      </c>
      <c r="R8" s="228">
        <f>TblExplore[[#This Row],[Hour]]</f>
        <v>5</v>
      </c>
      <c r="S8" s="284"/>
      <c r="T8" s="204"/>
      <c r="U8" s="232"/>
      <c r="V8" s="232"/>
      <c r="W8" s="232"/>
      <c r="X8" s="232"/>
      <c r="Y8" s="232"/>
      <c r="Z8" s="232"/>
      <c r="AA8" s="205">
        <f ca="1">TblImps[[#This Row],[Real time]]</f>
        <v>44343.166666666657</v>
      </c>
      <c r="AB8" s="113">
        <f ca="1">TblMili[[#This Row],[Draftees]]</f>
        <v>154</v>
      </c>
      <c r="AC8" s="113">
        <f ca="1">TblProd[[#This Row],[Platinum]]</f>
        <v>119010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39</v>
      </c>
      <c r="E9" s="236">
        <f ca="1">TblConstr[[#This Row],[Forest]]</f>
        <v>20</v>
      </c>
      <c r="F9" s="481">
        <f ca="1">TblConstr[[#This Row],[Mountain]]</f>
        <v>20</v>
      </c>
      <c r="G9" s="485">
        <f ca="1">TblConstr[[#This Row],[Hill]]</f>
        <v>20</v>
      </c>
      <c r="H9" s="489">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0.76055743243243246</v>
      </c>
      <c r="Q9" s="228">
        <f ca="1">TblExplore[[#This Row],[Land]]</f>
        <v>250</v>
      </c>
      <c r="R9" s="228">
        <f>TblExplore[[#This Row],[Hour]]</f>
        <v>6</v>
      </c>
      <c r="S9" s="284"/>
      <c r="T9" s="232"/>
      <c r="U9" s="232"/>
      <c r="V9" s="232"/>
      <c r="W9" s="232"/>
      <c r="X9" s="232"/>
      <c r="Y9" s="232"/>
      <c r="Z9" s="232"/>
      <c r="AA9" s="205">
        <f ca="1">TblImps[[#This Row],[Real time]]</f>
        <v>44343.208333333321</v>
      </c>
      <c r="AB9" s="113">
        <f ca="1">TblMili[[#This Row],[Draftees]]</f>
        <v>168</v>
      </c>
      <c r="AC9" s="113">
        <f ca="1">TblProd[[#This Row],[Platinum]]</f>
        <v>124153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39</v>
      </c>
      <c r="E10" s="236">
        <f ca="1">TblConstr[[#This Row],[Forest]]</f>
        <v>20</v>
      </c>
      <c r="F10" s="481">
        <f ca="1">TblConstr[[#This Row],[Mountain]]</f>
        <v>20</v>
      </c>
      <c r="G10" s="485">
        <f ca="1">TblConstr[[#This Row],[Hill]]</f>
        <v>20</v>
      </c>
      <c r="H10" s="489">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0.77871621621621623</v>
      </c>
      <c r="Q10" s="228">
        <f ca="1">TblExplore[[#This Row],[Land]]</f>
        <v>250</v>
      </c>
      <c r="R10" s="228">
        <f>TblExplore[[#This Row],[Hour]]</f>
        <v>7</v>
      </c>
      <c r="S10" s="284"/>
      <c r="T10" s="232"/>
      <c r="U10" s="232"/>
      <c r="V10" s="232"/>
      <c r="W10" s="232"/>
      <c r="X10" s="232"/>
      <c r="Y10" s="232"/>
      <c r="Z10" s="232"/>
      <c r="AA10" s="205">
        <f ca="1">TblImps[[#This Row],[Real time]]</f>
        <v>44343.249999999985</v>
      </c>
      <c r="AB10" s="113">
        <f ca="1">TblMili[[#This Row],[Draftees]]</f>
        <v>182</v>
      </c>
      <c r="AC10" s="113">
        <f ca="1">TblProd[[#This Row],[Platinum]]</f>
        <v>129372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39</v>
      </c>
      <c r="E11" s="236">
        <f ca="1">TblConstr[[#This Row],[Forest]]</f>
        <v>20</v>
      </c>
      <c r="F11" s="481">
        <f ca="1">TblConstr[[#This Row],[Mountain]]</f>
        <v>20</v>
      </c>
      <c r="G11" s="485">
        <f ca="1">TblConstr[[#This Row],[Hill]]</f>
        <v>20</v>
      </c>
      <c r="H11" s="489">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0.796875</v>
      </c>
      <c r="Q11" s="228">
        <f ca="1">TblExplore[[#This Row],[Land]]</f>
        <v>250</v>
      </c>
      <c r="R11" s="228">
        <f>TblExplore[[#This Row],[Hour]]</f>
        <v>8</v>
      </c>
      <c r="S11" s="284"/>
      <c r="T11" s="232"/>
      <c r="U11" s="232"/>
      <c r="V11" s="232"/>
      <c r="W11" s="232"/>
      <c r="X11" s="232"/>
      <c r="Y11" s="232"/>
      <c r="Z11" s="232"/>
      <c r="AA11" s="205">
        <f ca="1">TblImps[[#This Row],[Real time]]</f>
        <v>44343.29166666665</v>
      </c>
      <c r="AB11" s="113">
        <f ca="1">TblMili[[#This Row],[Draftees]]</f>
        <v>197</v>
      </c>
      <c r="AC11" s="113">
        <f ca="1">TblProd[[#This Row],[Platinum]]</f>
        <v>134669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39</v>
      </c>
      <c r="E12" s="236">
        <f ca="1">TblConstr[[#This Row],[Forest]]</f>
        <v>20</v>
      </c>
      <c r="F12" s="481">
        <f ca="1">TblConstr[[#This Row],[Mountain]]</f>
        <v>20</v>
      </c>
      <c r="G12" s="485">
        <f ca="1">TblConstr[[#This Row],[Hill]]</f>
        <v>20</v>
      </c>
      <c r="H12" s="489">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0.81545608108108103</v>
      </c>
      <c r="Q12" s="228">
        <f ca="1">TblExplore[[#This Row],[Land]]</f>
        <v>250</v>
      </c>
      <c r="R12" s="228">
        <f>TblExplore[[#This Row],[Hour]]</f>
        <v>9</v>
      </c>
      <c r="S12" s="284"/>
      <c r="T12" s="232"/>
      <c r="U12" s="232"/>
      <c r="V12" s="232"/>
      <c r="W12" s="232"/>
      <c r="X12" s="232"/>
      <c r="Y12" s="232"/>
      <c r="Z12" s="232"/>
      <c r="AA12" s="205">
        <f ca="1">TblImps[[#This Row],[Real time]]</f>
        <v>44343.333333333314</v>
      </c>
      <c r="AB12" s="113">
        <f ca="1">TblMili[[#This Row],[Draftees]]</f>
        <v>212</v>
      </c>
      <c r="AC12" s="113">
        <f ca="1">TblProd[[#This Row],[Platinum]]</f>
        <v>140042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39</v>
      </c>
      <c r="E13" s="236">
        <f ca="1">TblConstr[[#This Row],[Forest]]</f>
        <v>20</v>
      </c>
      <c r="F13" s="481">
        <f ca="1">TblConstr[[#This Row],[Mountain]]</f>
        <v>20</v>
      </c>
      <c r="G13" s="485">
        <f ca="1">TblConstr[[#This Row],[Hill]]</f>
        <v>20</v>
      </c>
      <c r="H13" s="489">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0.83445945945945943</v>
      </c>
      <c r="Q13" s="228">
        <f ca="1">TblExplore[[#This Row],[Land]]</f>
        <v>250</v>
      </c>
      <c r="R13" s="228">
        <f>TblExplore[[#This Row],[Hour]]</f>
        <v>10</v>
      </c>
      <c r="S13" s="284"/>
      <c r="T13" s="232"/>
      <c r="U13" s="232"/>
      <c r="V13" s="232"/>
      <c r="W13" s="232"/>
      <c r="X13" s="232"/>
      <c r="Y13" s="232"/>
      <c r="Z13" s="232"/>
      <c r="AA13" s="205">
        <f ca="1">TblImps[[#This Row],[Real time]]</f>
        <v>44343.374999999978</v>
      </c>
      <c r="AB13" s="113">
        <f ca="1">TblMili[[#This Row],[Draftees]]</f>
        <v>227</v>
      </c>
      <c r="AC13" s="113">
        <f ca="1">TblProd[[#This Row],[Platinum]]</f>
        <v>145493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39</v>
      </c>
      <c r="E14" s="236">
        <f ca="1">TblConstr[[#This Row],[Forest]]</f>
        <v>20</v>
      </c>
      <c r="F14" s="481">
        <f ca="1">TblConstr[[#This Row],[Mountain]]</f>
        <v>20</v>
      </c>
      <c r="G14" s="485">
        <f ca="1">TblConstr[[#This Row],[Hill]]</f>
        <v>20</v>
      </c>
      <c r="H14" s="489">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0.85388513513513509</v>
      </c>
      <c r="Q14" s="228">
        <f ca="1">TblExplore[[#This Row],[Land]]</f>
        <v>250</v>
      </c>
      <c r="R14" s="228">
        <f>TblExplore[[#This Row],[Hour]]</f>
        <v>11</v>
      </c>
      <c r="S14" s="284"/>
      <c r="T14" s="232"/>
      <c r="U14" s="232"/>
      <c r="V14" s="232"/>
      <c r="W14" s="232"/>
      <c r="X14" s="232"/>
      <c r="Y14" s="232"/>
      <c r="Z14" s="232"/>
      <c r="AA14" s="205">
        <f ca="1">TblImps[[#This Row],[Real time]]</f>
        <v>44343.416666666642</v>
      </c>
      <c r="AB14" s="113">
        <f ca="1">TblMili[[#This Row],[Draftees]]</f>
        <v>242</v>
      </c>
      <c r="AC14" s="113">
        <f ca="1">TblProd[[#This Row],[Platinum]]</f>
        <v>151025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39</v>
      </c>
      <c r="E15" s="236">
        <f ca="1">TblConstr[[#This Row],[Forest]]</f>
        <v>20</v>
      </c>
      <c r="F15" s="481">
        <f ca="1">TblConstr[[#This Row],[Mountain]]</f>
        <v>20</v>
      </c>
      <c r="G15" s="485">
        <f ca="1">TblConstr[[#This Row],[Hill]]</f>
        <v>20</v>
      </c>
      <c r="H15" s="489">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0.87373310810810811</v>
      </c>
      <c r="Q15" s="228">
        <f ca="1">TblExplore[[#This Row],[Land]]</f>
        <v>250</v>
      </c>
      <c r="R15" s="228">
        <f>TblExplore[[#This Row],[Hour]]</f>
        <v>12</v>
      </c>
      <c r="S15" s="284"/>
      <c r="T15" s="204"/>
      <c r="U15" s="232"/>
      <c r="V15" s="232"/>
      <c r="W15" s="232"/>
      <c r="X15" s="232"/>
      <c r="Y15" s="232"/>
      <c r="Z15" s="232"/>
      <c r="AA15" s="205">
        <f ca="1">TblImps[[#This Row],[Real time]]</f>
        <v>44343.458333333307</v>
      </c>
      <c r="AB15" s="113">
        <f ca="1">TblMili[[#This Row],[Draftees]]</f>
        <v>258</v>
      </c>
      <c r="AC15" s="113">
        <f ca="1">TblProd[[#This Row],[Platinum]]</f>
        <v>156641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39</v>
      </c>
      <c r="E16" s="236">
        <f ca="1">TblConstr[[#This Row],[Forest]]</f>
        <v>20</v>
      </c>
      <c r="F16" s="481">
        <f ca="1">TblConstr[[#This Row],[Mountain]]</f>
        <v>20</v>
      </c>
      <c r="G16" s="485">
        <f ca="1">TblConstr[[#This Row],[Hill]]</f>
        <v>20</v>
      </c>
      <c r="H16" s="489">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0.88837599664288713</v>
      </c>
      <c r="Q16" s="228">
        <f ca="1">TblExplore[[#This Row],[Land]]</f>
        <v>250</v>
      </c>
      <c r="R16" s="228">
        <f>TblExplore[[#This Row],[Hour]]</f>
        <v>13</v>
      </c>
      <c r="S16" s="284"/>
      <c r="T16" s="232"/>
      <c r="U16" s="232"/>
      <c r="V16" s="232"/>
      <c r="W16" s="232"/>
      <c r="X16" s="232"/>
      <c r="Y16" s="232"/>
      <c r="Z16" s="232"/>
      <c r="AA16" s="205">
        <f ca="1">TblImps[[#This Row],[Real time]]</f>
        <v>44343.499999999971</v>
      </c>
      <c r="AB16" s="113">
        <f ca="1">TblMili[[#This Row],[Draftees]]</f>
        <v>274</v>
      </c>
      <c r="AC16" s="113">
        <f ca="1">TblProd[[#This Row],[Platinum]]</f>
        <v>162311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39</v>
      </c>
      <c r="E17" s="236">
        <f ca="1">TblConstr[[#This Row],[Forest]]</f>
        <v>20</v>
      </c>
      <c r="F17" s="481">
        <f ca="1">TblConstr[[#This Row],[Mountain]]</f>
        <v>20</v>
      </c>
      <c r="G17" s="485">
        <f ca="1">TblConstr[[#This Row],[Hill]]</f>
        <v>20</v>
      </c>
      <c r="H17" s="489">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0.90893831305077633</v>
      </c>
      <c r="Q17" s="228">
        <f ca="1">TblExplore[[#This Row],[Land]]</f>
        <v>250</v>
      </c>
      <c r="R17" s="228">
        <f>TblExplore[[#This Row],[Hour]]</f>
        <v>14</v>
      </c>
      <c r="S17" s="284"/>
      <c r="T17" s="232"/>
      <c r="U17" s="232"/>
      <c r="V17" s="232"/>
      <c r="W17" s="232"/>
      <c r="X17" s="232"/>
      <c r="Y17" s="232"/>
      <c r="Z17" s="232"/>
      <c r="AA17" s="205">
        <f ca="1">TblImps[[#This Row],[Real time]]</f>
        <v>44343.541666666635</v>
      </c>
      <c r="AB17" s="113">
        <f ca="1">TblMili[[#This Row],[Draftees]]</f>
        <v>290</v>
      </c>
      <c r="AC17" s="113">
        <f ca="1">TblProd[[#This Row],[Platinum]]</f>
        <v>167981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39</v>
      </c>
      <c r="E18" s="236">
        <f ca="1">TblConstr[[#This Row],[Forest]]</f>
        <v>20</v>
      </c>
      <c r="F18" s="481">
        <f ca="1">TblConstr[[#This Row],[Mountain]]</f>
        <v>20</v>
      </c>
      <c r="G18" s="485">
        <f ca="1">TblConstr[[#This Row],[Hill]]</f>
        <v>20</v>
      </c>
      <c r="H18" s="489">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0.92992026856903065</v>
      </c>
      <c r="Q18" s="228">
        <f ca="1">TblExplore[[#This Row],[Land]]</f>
        <v>250</v>
      </c>
      <c r="R18" s="228">
        <f>TblExplore[[#This Row],[Hour]]</f>
        <v>15</v>
      </c>
      <c r="S18" s="284"/>
      <c r="T18" s="232"/>
      <c r="U18" s="232"/>
      <c r="V18" s="232"/>
      <c r="W18" s="232"/>
      <c r="X18" s="232"/>
      <c r="Y18" s="232"/>
      <c r="Z18" s="232"/>
      <c r="AA18" s="205">
        <f ca="1">TblImps[[#This Row],[Real time]]</f>
        <v>44343.583333333299</v>
      </c>
      <c r="AB18" s="113">
        <f ca="1">TblMili[[#This Row],[Draftees]]</f>
        <v>307</v>
      </c>
      <c r="AC18" s="113">
        <f ca="1">TblProd[[#This Row],[Platinum]]</f>
        <v>173651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39</v>
      </c>
      <c r="E19" s="236">
        <f ca="1">TblConstr[[#This Row],[Forest]]</f>
        <v>20</v>
      </c>
      <c r="F19" s="481">
        <f ca="1">TblConstr[[#This Row],[Mountain]]</f>
        <v>20</v>
      </c>
      <c r="G19" s="485">
        <f ca="1">TblConstr[[#This Row],[Hill]]</f>
        <v>20</v>
      </c>
      <c r="H19" s="489">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0.95132186319765</v>
      </c>
      <c r="Q19" s="228">
        <f ca="1">TblExplore[[#This Row],[Land]]</f>
        <v>250</v>
      </c>
      <c r="R19" s="228">
        <f>TblExplore[[#This Row],[Hour]]</f>
        <v>16</v>
      </c>
      <c r="S19" s="284"/>
      <c r="T19" s="204"/>
      <c r="U19" s="232"/>
      <c r="V19" s="232"/>
      <c r="W19" s="232"/>
      <c r="X19" s="232"/>
      <c r="Y19" s="232"/>
      <c r="Z19" s="232"/>
      <c r="AA19" s="205">
        <f ca="1">TblImps[[#This Row],[Real time]]</f>
        <v>44343.624999999964</v>
      </c>
      <c r="AB19" s="113">
        <f ca="1">TblMili[[#This Row],[Draftees]]</f>
        <v>324</v>
      </c>
      <c r="AC19" s="113">
        <f ca="1">TblProd[[#This Row],[Platinum]]</f>
        <v>179321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39</v>
      </c>
      <c r="E20" s="236">
        <f ca="1">TblConstr[[#This Row],[Forest]]</f>
        <v>20</v>
      </c>
      <c r="F20" s="481">
        <f ca="1">TblConstr[[#This Row],[Mountain]]</f>
        <v>20</v>
      </c>
      <c r="G20" s="485">
        <f ca="1">TblConstr[[#This Row],[Hill]]</f>
        <v>20</v>
      </c>
      <c r="H20" s="489">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0.97314309693663448</v>
      </c>
      <c r="Q20" s="228">
        <f ca="1">TblExplore[[#This Row],[Land]]</f>
        <v>250</v>
      </c>
      <c r="R20" s="228">
        <f>TblExplore[[#This Row],[Hour]]</f>
        <v>17</v>
      </c>
      <c r="S20" s="284"/>
      <c r="T20" s="204"/>
      <c r="U20" s="232"/>
      <c r="V20" s="232"/>
      <c r="W20" s="232"/>
      <c r="X20" s="232"/>
      <c r="Y20" s="232"/>
      <c r="Z20" s="232"/>
      <c r="AA20" s="205">
        <f ca="1">TblImps[[#This Row],[Real time]]</f>
        <v>44343.666666666628</v>
      </c>
      <c r="AB20" s="113">
        <f ca="1">TblMili[[#This Row],[Draftees]]</f>
        <v>341</v>
      </c>
      <c r="AC20" s="113">
        <f ca="1">TblProd[[#This Row],[Platinum]]</f>
        <v>184991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39</v>
      </c>
      <c r="E21" s="236">
        <f ca="1">TblConstr[[#This Row],[Forest]]</f>
        <v>20</v>
      </c>
      <c r="F21" s="481">
        <f ca="1">TblConstr[[#This Row],[Mountain]]</f>
        <v>20</v>
      </c>
      <c r="G21" s="485">
        <f ca="1">TblConstr[[#This Row],[Hill]]</f>
        <v>20</v>
      </c>
      <c r="H21" s="489">
        <f ca="1">TblConstr[[#This Row],[Swamp]]</f>
        <v>20</v>
      </c>
      <c r="I21" s="239">
        <f ca="1">TblConstr[[#This Row],[Cavern]]</f>
        <v>20</v>
      </c>
      <c r="J21" s="240">
        <f ca="1">TblConstr[[#This Row],[Water]]</f>
        <v>20</v>
      </c>
      <c r="K21" s="275"/>
      <c r="L21" s="275"/>
      <c r="M21" s="289"/>
      <c r="N21" s="283">
        <f ca="1">TblMili[[#This Row],[Smithies]]</f>
        <v>0</v>
      </c>
      <c r="O21" s="283">
        <f ca="1">TblPop[[#This Row],[Employment]]</f>
        <v>0.88251516822945397</v>
      </c>
      <c r="P21" s="283">
        <f ca="1">TblImps[[#This Row],[Population]]</f>
        <v>0.99538396978598409</v>
      </c>
      <c r="Q21" s="228">
        <f ca="1">TblExplore[[#This Row],[Land]]</f>
        <v>250</v>
      </c>
      <c r="R21" s="228">
        <f>TblExplore[[#This Row],[Hour]]</f>
        <v>18</v>
      </c>
      <c r="S21" s="284"/>
      <c r="T21" s="232"/>
      <c r="U21" s="232"/>
      <c r="V21" s="232"/>
      <c r="W21" s="232"/>
      <c r="X21" s="232"/>
      <c r="Y21" s="232"/>
      <c r="Z21" s="232"/>
      <c r="AA21" s="205">
        <f ca="1">TblImps[[#This Row],[Real time]]</f>
        <v>44343.708333333292</v>
      </c>
      <c r="AB21" s="113">
        <f ca="1">TblMili[[#This Row],[Draftees]]</f>
        <v>359</v>
      </c>
      <c r="AC21" s="113">
        <f ca="1">TblProd[[#This Row],[Platinum]]</f>
        <v>190661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39</v>
      </c>
      <c r="E22" s="236">
        <f ca="1">TblConstr[[#This Row],[Forest]]</f>
        <v>20</v>
      </c>
      <c r="F22" s="481">
        <f ca="1">TblConstr[[#This Row],[Mountain]]</f>
        <v>20</v>
      </c>
      <c r="G22" s="485">
        <f ca="1">TblConstr[[#This Row],[Hill]]</f>
        <v>20</v>
      </c>
      <c r="H22" s="489">
        <f ca="1">TblConstr[[#This Row],[Swamp]]</f>
        <v>20</v>
      </c>
      <c r="I22" s="239">
        <f ca="1">TblConstr[[#This Row],[Cavern]]</f>
        <v>20</v>
      </c>
      <c r="J22" s="240">
        <f ca="1">TblConstr[[#This Row],[Water]]</f>
        <v>20</v>
      </c>
      <c r="K22" s="275"/>
      <c r="L22" s="275"/>
      <c r="M22" s="289"/>
      <c r="N22" s="283">
        <f ca="1">TblMili[[#This Row],[Smithies]]</f>
        <v>0</v>
      </c>
      <c r="O22" s="283">
        <f ca="1">TblPop[[#This Row],[Employment]]</f>
        <v>0.88593576965669985</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44343.749999999956</v>
      </c>
      <c r="AB22" s="113">
        <f ca="1">TblMili[[#This Row],[Draftees]]</f>
        <v>377</v>
      </c>
      <c r="AC22" s="113">
        <f ca="1">TblProd[[#This Row],[Platinum]]</f>
        <v>196331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39</v>
      </c>
      <c r="E23" s="236">
        <f ca="1">TblConstr[[#This Row],[Forest]]</f>
        <v>20</v>
      </c>
      <c r="F23" s="481">
        <f ca="1">TblConstr[[#This Row],[Mountain]]</f>
        <v>20</v>
      </c>
      <c r="G23" s="485">
        <f ca="1">TblConstr[[#This Row],[Hill]]</f>
        <v>20</v>
      </c>
      <c r="H23" s="489">
        <f ca="1">TblConstr[[#This Row],[Swamp]]</f>
        <v>20</v>
      </c>
      <c r="I23" s="239">
        <f ca="1">TblConstr[[#This Row],[Cavern]]</f>
        <v>20</v>
      </c>
      <c r="J23" s="240">
        <f ca="1">TblConstr[[#This Row],[Water]]</f>
        <v>20</v>
      </c>
      <c r="K23" s="275"/>
      <c r="L23" s="275"/>
      <c r="M23" s="289"/>
      <c r="N23" s="283">
        <f ca="1">TblMili[[#This Row],[Smithies]]</f>
        <v>0</v>
      </c>
      <c r="O23" s="283">
        <f ca="1">TblPop[[#This Row],[Employment]]</f>
        <v>0.89485458612975388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44343.791666666621</v>
      </c>
      <c r="AB23" s="113">
        <f ca="1">TblMili[[#This Row],[Draftees]]</f>
        <v>395</v>
      </c>
      <c r="AC23" s="113">
        <f ca="1">TblProd[[#This Row],[Platinum]]</f>
        <v>202001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39</v>
      </c>
      <c r="E24" s="236">
        <f ca="1">TblConstr[[#This Row],[Forest]]</f>
        <v>20</v>
      </c>
      <c r="F24" s="481">
        <f ca="1">TblConstr[[#This Row],[Mountain]]</f>
        <v>20</v>
      </c>
      <c r="G24" s="485">
        <f ca="1">TblConstr[[#This Row],[Hill]]</f>
        <v>20</v>
      </c>
      <c r="H24" s="489">
        <f ca="1">TblConstr[[#This Row],[Swamp]]</f>
        <v>20</v>
      </c>
      <c r="I24" s="239">
        <f ca="1">TblConstr[[#This Row],[Cavern]]</f>
        <v>20</v>
      </c>
      <c r="J24" s="240">
        <f ca="1">TblConstr[[#This Row],[Water]]</f>
        <v>20</v>
      </c>
      <c r="K24" s="275"/>
      <c r="L24" s="275"/>
      <c r="M24" s="275"/>
      <c r="N24" s="283">
        <f ca="1">TblMili[[#This Row],[Smithies]]</f>
        <v>0</v>
      </c>
      <c r="O24" s="283">
        <f ca="1">TblPop[[#This Row],[Employment]]</f>
        <v>0.903954802259887</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44343.833333333285</v>
      </c>
      <c r="AB24" s="113">
        <f ca="1">TblMili[[#This Row],[Draftees]]</f>
        <v>413</v>
      </c>
      <c r="AC24" s="113">
        <f ca="1">TblProd[[#This Row],[Platinum]]</f>
        <v>207671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39</v>
      </c>
      <c r="E25" s="236">
        <f ca="1">TblConstr[[#This Row],[Forest]]</f>
        <v>20</v>
      </c>
      <c r="F25" s="481">
        <f ca="1">TblConstr[[#This Row],[Mountain]]</f>
        <v>20</v>
      </c>
      <c r="G25" s="485">
        <f ca="1">TblConstr[[#This Row],[Hill]]</f>
        <v>20</v>
      </c>
      <c r="H25" s="489">
        <f ca="1">TblConstr[[#This Row],[Swamp]]</f>
        <v>20</v>
      </c>
      <c r="I25" s="239">
        <f ca="1">TblConstr[[#This Row],[Cavern]]</f>
        <v>20</v>
      </c>
      <c r="J25" s="240">
        <f ca="1">TblConstr[[#This Row],[Water]]</f>
        <v>20</v>
      </c>
      <c r="K25" s="275"/>
      <c r="L25" s="290" t="s">
        <v>394</v>
      </c>
      <c r="M25" s="290"/>
      <c r="N25" s="283">
        <f ca="1">TblMili[[#This Row],[Smithies]]</f>
        <v>0</v>
      </c>
      <c r="O25" s="283">
        <f ca="1">TblPop[[#This Row],[Employment]]</f>
        <v>0.91324200913242004</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44343.874999999949</v>
      </c>
      <c r="AB25" s="113">
        <f ca="1">TblMili[[#This Row],[Draftees]]</f>
        <v>431</v>
      </c>
      <c r="AC25" s="113">
        <f ca="1">TblProd[[#This Row],[Platinum]]</f>
        <v>213341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39</v>
      </c>
      <c r="E26" s="236">
        <f ca="1">TblConstr[[#This Row],[Forest]]</f>
        <v>20</v>
      </c>
      <c r="F26" s="481">
        <f ca="1">TblConstr[[#This Row],[Mountain]]</f>
        <v>20</v>
      </c>
      <c r="G26" s="485">
        <f ca="1">TblConstr[[#This Row],[Hill]]</f>
        <v>20</v>
      </c>
      <c r="H26" s="489">
        <f ca="1">TblConstr[[#This Row],[Swamp]]</f>
        <v>20</v>
      </c>
      <c r="I26" s="239">
        <f ca="1">TblConstr[[#This Row],[Cavern]]</f>
        <v>20</v>
      </c>
      <c r="J26" s="240">
        <f ca="1">TblConstr[[#This Row],[Water]]</f>
        <v>20</v>
      </c>
      <c r="K26" s="275"/>
      <c r="L26" s="290" t="s">
        <v>380</v>
      </c>
      <c r="M26" s="291">
        <f ca="1">Military!AN67</f>
        <v>446270</v>
      </c>
      <c r="N26" s="283">
        <f ca="1">TblMili[[#This Row],[Smithies]]</f>
        <v>0</v>
      </c>
      <c r="O26" s="283">
        <f ca="1">TblPop[[#This Row],[Employment]]</f>
        <v>0.92272202998846597</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44343.916666666613</v>
      </c>
      <c r="AB26" s="113">
        <f ca="1">TblMili[[#This Row],[Draftees]]</f>
        <v>449</v>
      </c>
      <c r="AC26" s="113">
        <f ca="1">TblProd[[#This Row],[Platinum]]</f>
        <v>219011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112</v>
      </c>
    </row>
    <row r="27" spans="1:36" s="49" customFormat="1" x14ac:dyDescent="0.2">
      <c r="A27" s="228">
        <f>TblRezone[[#This Row],[Hour]]</f>
        <v>24</v>
      </c>
      <c r="B27" s="280">
        <f ca="1">TblConstr[[#This Row],[Land]]</f>
        <v>250</v>
      </c>
      <c r="C27" s="281"/>
      <c r="D27" s="282">
        <f ca="1">TblConstr[[#This Row],[Plain]]</f>
        <v>39</v>
      </c>
      <c r="E27" s="236">
        <f ca="1">TblConstr[[#This Row],[Forest]]</f>
        <v>20</v>
      </c>
      <c r="F27" s="481">
        <f ca="1">TblConstr[[#This Row],[Mountain]]</f>
        <v>20</v>
      </c>
      <c r="G27" s="485">
        <f ca="1">TblConstr[[#This Row],[Hill]]</f>
        <v>20</v>
      </c>
      <c r="H27" s="489">
        <f ca="1">TblConstr[[#This Row],[Swamp]]</f>
        <v>20</v>
      </c>
      <c r="I27" s="239">
        <f ca="1">TblConstr[[#This Row],[Cavern]]</f>
        <v>20</v>
      </c>
      <c r="J27" s="240">
        <f ca="1">TblConstr[[#This Row],[Water]]</f>
        <v>20</v>
      </c>
      <c r="K27" s="275"/>
      <c r="L27" s="290" t="s">
        <v>379</v>
      </c>
      <c r="M27" s="291">
        <f ca="1">Production!S76</f>
        <v>5499</v>
      </c>
      <c r="N27" s="283">
        <f ca="1">TblMili[[#This Row],[Smithies]]</f>
        <v>0</v>
      </c>
      <c r="O27" s="283">
        <f ca="1">TblPop[[#This Row],[Employment]]</f>
        <v>0.93185789167152011</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44343.958333333278</v>
      </c>
      <c r="AB27" s="113">
        <f ca="1">TblMili[[#This Row],[Draftees]]</f>
        <v>466</v>
      </c>
      <c r="AC27" s="113">
        <f ca="1">TblProd[[#This Row],[Platinum]]</f>
        <v>224681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39</v>
      </c>
      <c r="E28" s="236">
        <f ca="1">TblConstr[[#This Row],[Forest]]</f>
        <v>20</v>
      </c>
      <c r="F28" s="481">
        <f ca="1">TblConstr[[#This Row],[Mountain]]</f>
        <v>20</v>
      </c>
      <c r="G28" s="485">
        <f ca="1">TblConstr[[#This Row],[Hill]]</f>
        <v>20</v>
      </c>
      <c r="H28" s="489">
        <f ca="1">TblConstr[[#This Row],[Swamp]]</f>
        <v>20</v>
      </c>
      <c r="I28" s="239">
        <f ca="1">TblConstr[[#This Row],[Cavern]]</f>
        <v>20</v>
      </c>
      <c r="J28" s="240">
        <f ca="1">TblConstr[[#This Row],[Water]]</f>
        <v>20</v>
      </c>
      <c r="K28" s="275"/>
      <c r="L28" s="290" t="s">
        <v>377</v>
      </c>
      <c r="M28" s="291">
        <f ca="1">Military!Z64</f>
        <v>646</v>
      </c>
      <c r="N28" s="283">
        <f ca="1">TblMili[[#This Row],[Smithies]]</f>
        <v>0</v>
      </c>
      <c r="O28" s="283">
        <f ca="1">TblPop[[#This Row],[Employment]]</f>
        <v>0.94117647058823528</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44343.999999999942</v>
      </c>
      <c r="AB28" s="113">
        <f ca="1">TblMili[[#This Row],[Draftees]]</f>
        <v>483</v>
      </c>
      <c r="AC28" s="113">
        <f ca="1">TblProd[[#This Row],[Platinum]]</f>
        <v>230351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39</v>
      </c>
      <c r="E29" s="236">
        <f ca="1">TblConstr[[#This Row],[Forest]]</f>
        <v>20</v>
      </c>
      <c r="F29" s="481">
        <f ca="1">TblConstr[[#This Row],[Mountain]]</f>
        <v>20</v>
      </c>
      <c r="G29" s="485">
        <f ca="1">TblConstr[[#This Row],[Hill]]</f>
        <v>20</v>
      </c>
      <c r="H29" s="489">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0.95068330362448006</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44344.041666666606</v>
      </c>
      <c r="AB29" s="113">
        <f ca="1">TblMili[[#This Row],[Draftees]]</f>
        <v>500</v>
      </c>
      <c r="AC29" s="113">
        <f ca="1">TblProd[[#This Row],[Platinum]]</f>
        <v>236021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125</v>
      </c>
    </row>
    <row r="30" spans="1:36" s="49" customFormat="1" x14ac:dyDescent="0.2">
      <c r="A30" s="228">
        <f>TblRezone[[#This Row],[Hour]]</f>
        <v>27</v>
      </c>
      <c r="B30" s="280">
        <f ca="1">TblConstr[[#This Row],[Land]]</f>
        <v>250</v>
      </c>
      <c r="C30" s="281"/>
      <c r="D30" s="282">
        <f ca="1">TblConstr[[#This Row],[Plain]]</f>
        <v>39</v>
      </c>
      <c r="E30" s="236">
        <f ca="1">TblConstr[[#This Row],[Forest]]</f>
        <v>20</v>
      </c>
      <c r="F30" s="481">
        <f ca="1">TblConstr[[#This Row],[Mountain]]</f>
        <v>20</v>
      </c>
      <c r="G30" s="485">
        <f ca="1">TblConstr[[#This Row],[Hill]]</f>
        <v>20</v>
      </c>
      <c r="H30" s="489">
        <f ca="1">TblConstr[[#This Row],[Swamp]]</f>
        <v>20</v>
      </c>
      <c r="I30" s="239">
        <f ca="1">TblConstr[[#This Row],[Cavern]]</f>
        <v>20</v>
      </c>
      <c r="J30" s="240">
        <f ca="1">TblConstr[[#This Row],[Water]]</f>
        <v>20</v>
      </c>
      <c r="K30" s="275"/>
      <c r="L30" s="275"/>
      <c r="M30" s="289"/>
      <c r="N30" s="283">
        <f ca="1">TblMili[[#This Row],[Smithies]]</f>
        <v>0</v>
      </c>
      <c r="O30" s="283">
        <f ca="1">TblPop[[#This Row],[Employment]]</f>
        <v>0.96038415366146457</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44344.08333333327</v>
      </c>
      <c r="AB30" s="113">
        <f ca="1">TblMili[[#This Row],[Draftees]]</f>
        <v>517</v>
      </c>
      <c r="AC30" s="113">
        <f ca="1">TblProd[[#This Row],[Platinum]]</f>
        <v>241691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129</v>
      </c>
    </row>
    <row r="31" spans="1:36" s="49" customFormat="1" x14ac:dyDescent="0.2">
      <c r="A31" s="228">
        <f>TblRezone[[#This Row],[Hour]]</f>
        <v>28</v>
      </c>
      <c r="B31" s="280">
        <f ca="1">TblConstr[[#This Row],[Land]]</f>
        <v>250</v>
      </c>
      <c r="C31" s="281"/>
      <c r="D31" s="282">
        <f ca="1">TblConstr[[#This Row],[Plain]]</f>
        <v>39</v>
      </c>
      <c r="E31" s="236">
        <f ca="1">TblConstr[[#This Row],[Forest]]</f>
        <v>20</v>
      </c>
      <c r="F31" s="481">
        <f ca="1">TblConstr[[#This Row],[Mountain]]</f>
        <v>20</v>
      </c>
      <c r="G31" s="485">
        <f ca="1">TblConstr[[#This Row],[Hill]]</f>
        <v>20</v>
      </c>
      <c r="H31" s="489">
        <f ca="1">TblConstr[[#This Row],[Swamp]]</f>
        <v>20</v>
      </c>
      <c r="I31" s="239">
        <f ca="1">TblConstr[[#This Row],[Cavern]]</f>
        <v>20</v>
      </c>
      <c r="J31" s="240">
        <f ca="1">TblConstr[[#This Row],[Water]]</f>
        <v>20</v>
      </c>
      <c r="K31" s="275"/>
      <c r="L31" s="275"/>
      <c r="M31" s="289"/>
      <c r="N31" s="283">
        <f ca="1">TblMili[[#This Row],[Smithies]]</f>
        <v>0</v>
      </c>
      <c r="O31" s="283">
        <f ca="1">TblPop[[#This Row],[Employment]]</f>
        <v>0.97028502122498483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44344.124999999935</v>
      </c>
      <c r="AB31" s="113">
        <f ca="1">TblMili[[#This Row],[Draftees]]</f>
        <v>534</v>
      </c>
      <c r="AC31" s="113">
        <f ca="1">TblProd[[#This Row],[Platinum]]</f>
        <v>247361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133</v>
      </c>
    </row>
    <row r="32" spans="1:36" s="49" customFormat="1" x14ac:dyDescent="0.2">
      <c r="A32" s="228">
        <f>TblRezone[[#This Row],[Hour]]</f>
        <v>29</v>
      </c>
      <c r="B32" s="280">
        <f ca="1">TblConstr[[#This Row],[Land]]</f>
        <v>250</v>
      </c>
      <c r="C32" s="281"/>
      <c r="D32" s="282">
        <f ca="1">TblConstr[[#This Row],[Plain]]</f>
        <v>39</v>
      </c>
      <c r="E32" s="236">
        <f ca="1">TblConstr[[#This Row],[Forest]]</f>
        <v>20</v>
      </c>
      <c r="F32" s="481">
        <f ca="1">TblConstr[[#This Row],[Mountain]]</f>
        <v>20</v>
      </c>
      <c r="G32" s="485">
        <f ca="1">TblConstr[[#This Row],[Hill]]</f>
        <v>20</v>
      </c>
      <c r="H32" s="489">
        <f ca="1">TblConstr[[#This Row],[Swamp]]</f>
        <v>20</v>
      </c>
      <c r="I32" s="239">
        <f ca="1">TblConstr[[#This Row],[Cavern]]</f>
        <v>20</v>
      </c>
      <c r="J32" s="240">
        <f ca="1">TblConstr[[#This Row],[Water]]</f>
        <v>20</v>
      </c>
      <c r="K32" s="275"/>
      <c r="L32" s="275"/>
      <c r="M32" s="289"/>
      <c r="N32" s="283">
        <f ca="1">TblMili[[#This Row],[Smithies]]</f>
        <v>0</v>
      </c>
      <c r="O32" s="283">
        <f ca="1">TblPop[[#This Row],[Employment]]</f>
        <v>0.9797917942437232</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44344.166666666599</v>
      </c>
      <c r="AB32" s="113">
        <f ca="1">TblMili[[#This Row],[Draftees]]</f>
        <v>550</v>
      </c>
      <c r="AC32" s="113">
        <f ca="1">TblProd[[#This Row],[Platinum]]</f>
        <v>253031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137</v>
      </c>
    </row>
    <row r="33" spans="1:36" s="49" customFormat="1" x14ac:dyDescent="0.2">
      <c r="A33" s="228">
        <f>TblRezone[[#This Row],[Hour]]</f>
        <v>30</v>
      </c>
      <c r="B33" s="280">
        <f ca="1">TblConstr[[#This Row],[Land]]</f>
        <v>250</v>
      </c>
      <c r="C33" s="281"/>
      <c r="D33" s="282">
        <f ca="1">TblConstr[[#This Row],[Plain]]</f>
        <v>39</v>
      </c>
      <c r="E33" s="236">
        <f ca="1">TblConstr[[#This Row],[Forest]]</f>
        <v>20</v>
      </c>
      <c r="F33" s="481">
        <f ca="1">TblConstr[[#This Row],[Mountain]]</f>
        <v>20</v>
      </c>
      <c r="G33" s="485">
        <f ca="1">TblConstr[[#This Row],[Hill]]</f>
        <v>20</v>
      </c>
      <c r="H33" s="489">
        <f ca="1">TblConstr[[#This Row],[Swamp]]</f>
        <v>20</v>
      </c>
      <c r="I33" s="239">
        <f ca="1">TblConstr[[#This Row],[Cavern]]</f>
        <v>20</v>
      </c>
      <c r="J33" s="240">
        <f ca="1">TblConstr[[#This Row],[Water]]</f>
        <v>20</v>
      </c>
      <c r="K33" s="275"/>
      <c r="L33" s="275"/>
      <c r="M33" s="275"/>
      <c r="N33" s="283">
        <f ca="1">TblMili[[#This Row],[Smithies]]</f>
        <v>0</v>
      </c>
      <c r="O33" s="283">
        <f ca="1">TblPop[[#This Row],[Employment]]</f>
        <v>0.9894867037724181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44344.208333333263</v>
      </c>
      <c r="AB33" s="113">
        <f ca="1">TblMili[[#This Row],[Draftees]]</f>
        <v>566</v>
      </c>
      <c r="AC33" s="113">
        <f ca="1">TblProd[[#This Row],[Platinum]]</f>
        <v>258701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141</v>
      </c>
    </row>
    <row r="34" spans="1:36" s="49" customFormat="1" x14ac:dyDescent="0.2">
      <c r="A34" s="228">
        <f>TblRezone[[#This Row],[Hour]]</f>
        <v>31</v>
      </c>
      <c r="B34" s="280">
        <f ca="1">TblConstr[[#This Row],[Land]]</f>
        <v>250</v>
      </c>
      <c r="C34" s="281"/>
      <c r="D34" s="282">
        <f ca="1">TblConstr[[#This Row],[Plain]]</f>
        <v>39</v>
      </c>
      <c r="E34" s="236">
        <f ca="1">TblConstr[[#This Row],[Forest]]</f>
        <v>20</v>
      </c>
      <c r="F34" s="481">
        <f ca="1">TblConstr[[#This Row],[Mountain]]</f>
        <v>20</v>
      </c>
      <c r="G34" s="485">
        <f ca="1">TblConstr[[#This Row],[Hill]]</f>
        <v>20</v>
      </c>
      <c r="H34" s="489">
        <f ca="1">TblConstr[[#This Row],[Swamp]]</f>
        <v>20</v>
      </c>
      <c r="I34" s="239">
        <f ca="1">TblConstr[[#This Row],[Cavern]]</f>
        <v>20</v>
      </c>
      <c r="J34" s="240">
        <f ca="1">TblConstr[[#This Row],[Water]]</f>
        <v>20</v>
      </c>
      <c r="K34" s="275"/>
      <c r="L34" s="275"/>
      <c r="M34" s="293"/>
      <c r="N34" s="283">
        <f ca="1">TblMili[[#This Row],[Smithies]]</f>
        <v>0</v>
      </c>
      <c r="O34" s="283">
        <f ca="1">TblPop[[#This Row],[Employment]]</f>
        <v>0.99937539038101186</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44344.249999999927</v>
      </c>
      <c r="AB34" s="113">
        <f ca="1">TblMili[[#This Row],[Draftees]]</f>
        <v>582</v>
      </c>
      <c r="AC34" s="113">
        <f ca="1">TblProd[[#This Row],[Platinum]]</f>
        <v>264371</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145</v>
      </c>
    </row>
    <row r="35" spans="1:36" s="49" customFormat="1" x14ac:dyDescent="0.2">
      <c r="A35" s="228">
        <f>TblRezone[[#This Row],[Hour]]</f>
        <v>32</v>
      </c>
      <c r="B35" s="280">
        <f ca="1">TblConstr[[#This Row],[Land]]</f>
        <v>250</v>
      </c>
      <c r="C35" s="281"/>
      <c r="D35" s="282">
        <f ca="1">TblConstr[[#This Row],[Plain]]</f>
        <v>39</v>
      </c>
      <c r="E35" s="236">
        <f ca="1">TblConstr[[#This Row],[Forest]]</f>
        <v>20</v>
      </c>
      <c r="F35" s="481">
        <f ca="1">TblConstr[[#This Row],[Mountain]]</f>
        <v>20</v>
      </c>
      <c r="G35" s="485">
        <f ca="1">TblConstr[[#This Row],[Hill]]</f>
        <v>20</v>
      </c>
      <c r="H35" s="489">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44344.291666666591</v>
      </c>
      <c r="AB35" s="113">
        <f ca="1">TblMili[[#This Row],[Draftees]]</f>
        <v>598</v>
      </c>
      <c r="AC35" s="113">
        <f ca="1">TblProd[[#This Row],[Platinum]]</f>
        <v>270041</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149</v>
      </c>
    </row>
    <row r="36" spans="1:36" s="49" customFormat="1" x14ac:dyDescent="0.2">
      <c r="A36" s="228">
        <f>TblRezone[[#This Row],[Hour]]</f>
        <v>33</v>
      </c>
      <c r="B36" s="280">
        <f ca="1">TblConstr[[#This Row],[Land]]</f>
        <v>250</v>
      </c>
      <c r="C36" s="281"/>
      <c r="D36" s="282">
        <f ca="1">TblConstr[[#This Row],[Plain]]</f>
        <v>39</v>
      </c>
      <c r="E36" s="236">
        <f ca="1">TblConstr[[#This Row],[Forest]]</f>
        <v>20</v>
      </c>
      <c r="F36" s="481">
        <f ca="1">TblConstr[[#This Row],[Mountain]]</f>
        <v>20</v>
      </c>
      <c r="G36" s="485">
        <f ca="1">TblConstr[[#This Row],[Hill]]</f>
        <v>20</v>
      </c>
      <c r="H36" s="489">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44344.333333333256</v>
      </c>
      <c r="AB36" s="113">
        <f ca="1">TblMili[[#This Row],[Draftees]]</f>
        <v>614</v>
      </c>
      <c r="AC36" s="113">
        <f ca="1">TblProd[[#This Row],[Platinum]]</f>
        <v>275670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153</v>
      </c>
    </row>
    <row r="37" spans="1:36" s="49" customFormat="1" x14ac:dyDescent="0.2">
      <c r="A37" s="228">
        <f>TblRezone[[#This Row],[Hour]]</f>
        <v>34</v>
      </c>
      <c r="B37" s="280">
        <f ca="1">TblConstr[[#This Row],[Land]]</f>
        <v>250</v>
      </c>
      <c r="C37" s="281"/>
      <c r="D37" s="282">
        <f ca="1">TblConstr[[#This Row],[Plain]]</f>
        <v>39</v>
      </c>
      <c r="E37" s="236">
        <f ca="1">TblConstr[[#This Row],[Forest]]</f>
        <v>20</v>
      </c>
      <c r="F37" s="481">
        <f ca="1">TblConstr[[#This Row],[Mountain]]</f>
        <v>20</v>
      </c>
      <c r="G37" s="485">
        <f ca="1">TblConstr[[#This Row],[Hill]]</f>
        <v>20</v>
      </c>
      <c r="H37" s="489">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44344.37499999992</v>
      </c>
      <c r="AB37" s="113">
        <f ca="1">TblMili[[#This Row],[Draftees]]</f>
        <v>630</v>
      </c>
      <c r="AC37" s="113">
        <f ca="1">TblProd[[#This Row],[Platinum]]</f>
        <v>281256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157</v>
      </c>
    </row>
    <row r="38" spans="1:36" s="49" customFormat="1" x14ac:dyDescent="0.2">
      <c r="A38" s="228">
        <f>TblRezone[[#This Row],[Hour]]</f>
        <v>35</v>
      </c>
      <c r="B38" s="280">
        <f ca="1">TblConstr[[#This Row],[Land]]</f>
        <v>250</v>
      </c>
      <c r="C38" s="281"/>
      <c r="D38" s="282">
        <f ca="1">TblConstr[[#This Row],[Plain]]</f>
        <v>39</v>
      </c>
      <c r="E38" s="236">
        <f ca="1">TblConstr[[#This Row],[Forest]]</f>
        <v>20</v>
      </c>
      <c r="F38" s="481">
        <f ca="1">TblConstr[[#This Row],[Mountain]]</f>
        <v>20</v>
      </c>
      <c r="G38" s="485">
        <f ca="1">TblConstr[[#This Row],[Hill]]</f>
        <v>20</v>
      </c>
      <c r="H38" s="489">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44344.416666666584</v>
      </c>
      <c r="AB38" s="113">
        <f ca="1">TblMili[[#This Row],[Draftees]]</f>
        <v>646</v>
      </c>
      <c r="AC38" s="113">
        <f ca="1">TblProd[[#This Row],[Platinum]]</f>
        <v>286799</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161</v>
      </c>
    </row>
    <row r="39" spans="1:36" s="49" customFormat="1" x14ac:dyDescent="0.2">
      <c r="A39" s="228">
        <f>TblRezone[[#This Row],[Hour]]</f>
        <v>36</v>
      </c>
      <c r="B39" s="280">
        <f ca="1">TblConstr[[#This Row],[Land]]</f>
        <v>250</v>
      </c>
      <c r="C39" s="281"/>
      <c r="D39" s="282">
        <f ca="1">TblConstr[[#This Row],[Plain]]</f>
        <v>39</v>
      </c>
      <c r="E39" s="236">
        <f ca="1">TblConstr[[#This Row],[Forest]]</f>
        <v>20</v>
      </c>
      <c r="F39" s="481">
        <f ca="1">TblConstr[[#This Row],[Mountain]]</f>
        <v>20</v>
      </c>
      <c r="G39" s="485">
        <f ca="1">TblConstr[[#This Row],[Hill]]</f>
        <v>20</v>
      </c>
      <c r="H39" s="489">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44344.458333333248</v>
      </c>
      <c r="AB39" s="113">
        <f ca="1">TblMili[[#This Row],[Draftees]]</f>
        <v>646</v>
      </c>
      <c r="AC39" s="113">
        <f ca="1">TblProd[[#This Row],[Platinum]]</f>
        <v>292298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161</v>
      </c>
    </row>
    <row r="40" spans="1:36" s="49" customFormat="1" ht="12.75" customHeight="1" x14ac:dyDescent="0.2">
      <c r="A40" s="228">
        <f>TblRezone[[#This Row],[Hour]]</f>
        <v>37</v>
      </c>
      <c r="B40" s="280">
        <f ca="1">TblConstr[[#This Row],[Land]]</f>
        <v>250</v>
      </c>
      <c r="C40" s="281"/>
      <c r="D40" s="282">
        <f ca="1">TblConstr[[#This Row],[Plain]]</f>
        <v>39</v>
      </c>
      <c r="E40" s="236">
        <f ca="1">TblConstr[[#This Row],[Forest]]</f>
        <v>20</v>
      </c>
      <c r="F40" s="481">
        <f ca="1">TblConstr[[#This Row],[Mountain]]</f>
        <v>20</v>
      </c>
      <c r="G40" s="485">
        <f ca="1">TblConstr[[#This Row],[Hill]]</f>
        <v>20</v>
      </c>
      <c r="H40" s="489">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44344.499999999913</v>
      </c>
      <c r="AB40" s="113">
        <f ca="1">TblMili[[#This Row],[Draftees]]</f>
        <v>646</v>
      </c>
      <c r="AC40" s="113">
        <f ca="1">TblProd[[#This Row],[Platinum]]</f>
        <v>297797</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161</v>
      </c>
    </row>
    <row r="41" spans="1:36" s="49" customFormat="1" x14ac:dyDescent="0.2">
      <c r="A41" s="228">
        <f>TblRezone[[#This Row],[Hour]]</f>
        <v>38</v>
      </c>
      <c r="B41" s="280">
        <f ca="1">TblConstr[[#This Row],[Land]]</f>
        <v>250</v>
      </c>
      <c r="C41" s="281"/>
      <c r="D41" s="282">
        <f ca="1">TblConstr[[#This Row],[Plain]]</f>
        <v>39</v>
      </c>
      <c r="E41" s="236">
        <f ca="1">TblConstr[[#This Row],[Forest]]</f>
        <v>20</v>
      </c>
      <c r="F41" s="481">
        <f ca="1">TblConstr[[#This Row],[Mountain]]</f>
        <v>20</v>
      </c>
      <c r="G41" s="485">
        <f ca="1">TblConstr[[#This Row],[Hill]]</f>
        <v>20</v>
      </c>
      <c r="H41" s="489">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44344.541666666577</v>
      </c>
      <c r="AB41" s="113">
        <f ca="1">TblMili[[#This Row],[Draftees]]</f>
        <v>646</v>
      </c>
      <c r="AC41" s="113">
        <f ca="1">TblProd[[#This Row],[Platinum]]</f>
        <v>303296</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161</v>
      </c>
    </row>
    <row r="42" spans="1:36" s="49" customFormat="1" x14ac:dyDescent="0.2">
      <c r="A42" s="228">
        <f>TblRezone[[#This Row],[Hour]]</f>
        <v>39</v>
      </c>
      <c r="B42" s="280">
        <f ca="1">TblConstr[[#This Row],[Land]]</f>
        <v>250</v>
      </c>
      <c r="C42" s="281"/>
      <c r="D42" s="282">
        <f ca="1">TblConstr[[#This Row],[Plain]]</f>
        <v>39</v>
      </c>
      <c r="E42" s="236">
        <f ca="1">TblConstr[[#This Row],[Forest]]</f>
        <v>20</v>
      </c>
      <c r="F42" s="481">
        <f ca="1">TblConstr[[#This Row],[Mountain]]</f>
        <v>20</v>
      </c>
      <c r="G42" s="485">
        <f ca="1">TblConstr[[#This Row],[Hill]]</f>
        <v>20</v>
      </c>
      <c r="H42" s="489">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44344.583333333241</v>
      </c>
      <c r="AB42" s="113">
        <f ca="1">TblMili[[#This Row],[Draftees]]</f>
        <v>646</v>
      </c>
      <c r="AC42" s="113">
        <f ca="1">TblProd[[#This Row],[Platinum]]</f>
        <v>308795</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161</v>
      </c>
    </row>
    <row r="43" spans="1:36" s="49" customFormat="1" x14ac:dyDescent="0.2">
      <c r="A43" s="228">
        <f>TblRezone[[#This Row],[Hour]]</f>
        <v>40</v>
      </c>
      <c r="B43" s="280">
        <f ca="1">TblConstr[[#This Row],[Land]]</f>
        <v>250</v>
      </c>
      <c r="C43" s="281"/>
      <c r="D43" s="282">
        <f ca="1">TblConstr[[#This Row],[Plain]]</f>
        <v>39</v>
      </c>
      <c r="E43" s="236">
        <f ca="1">TblConstr[[#This Row],[Forest]]</f>
        <v>20</v>
      </c>
      <c r="F43" s="481">
        <f ca="1">TblConstr[[#This Row],[Mountain]]</f>
        <v>20</v>
      </c>
      <c r="G43" s="485">
        <f ca="1">TblConstr[[#This Row],[Hill]]</f>
        <v>20</v>
      </c>
      <c r="H43" s="489">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44344.624999999905</v>
      </c>
      <c r="AB43" s="113">
        <f ca="1">TblMili[[#This Row],[Draftees]]</f>
        <v>646</v>
      </c>
      <c r="AC43" s="113">
        <f ca="1">TblProd[[#This Row],[Platinum]]</f>
        <v>314294</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161</v>
      </c>
    </row>
    <row r="44" spans="1:36" s="49" customFormat="1" x14ac:dyDescent="0.2">
      <c r="A44" s="228">
        <f>TblRezone[[#This Row],[Hour]]</f>
        <v>41</v>
      </c>
      <c r="B44" s="280">
        <f ca="1">TblConstr[[#This Row],[Land]]</f>
        <v>250</v>
      </c>
      <c r="C44" s="281"/>
      <c r="D44" s="282">
        <f ca="1">TblConstr[[#This Row],[Plain]]</f>
        <v>39</v>
      </c>
      <c r="E44" s="236">
        <f ca="1">TblConstr[[#This Row],[Forest]]</f>
        <v>20</v>
      </c>
      <c r="F44" s="481">
        <f ca="1">TblConstr[[#This Row],[Mountain]]</f>
        <v>20</v>
      </c>
      <c r="G44" s="485">
        <f ca="1">TblConstr[[#This Row],[Hill]]</f>
        <v>20</v>
      </c>
      <c r="H44" s="489">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44344.66666666657</v>
      </c>
      <c r="AB44" s="113">
        <f ca="1">TblMili[[#This Row],[Draftees]]</f>
        <v>646</v>
      </c>
      <c r="AC44" s="113">
        <f ca="1">TblProd[[#This Row],[Platinum]]</f>
        <v>319793</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161</v>
      </c>
    </row>
    <row r="45" spans="1:36" s="49" customFormat="1" x14ac:dyDescent="0.2">
      <c r="A45" s="228">
        <f>TblRezone[[#This Row],[Hour]]</f>
        <v>42</v>
      </c>
      <c r="B45" s="280">
        <f ca="1">TblConstr[[#This Row],[Land]]</f>
        <v>250</v>
      </c>
      <c r="C45" s="281"/>
      <c r="D45" s="282">
        <f ca="1">TblConstr[[#This Row],[Plain]]</f>
        <v>39</v>
      </c>
      <c r="E45" s="236">
        <f ca="1">TblConstr[[#This Row],[Forest]]</f>
        <v>20</v>
      </c>
      <c r="F45" s="481">
        <f ca="1">TblConstr[[#This Row],[Mountain]]</f>
        <v>20</v>
      </c>
      <c r="G45" s="485">
        <f ca="1">TblConstr[[#This Row],[Hill]]</f>
        <v>20</v>
      </c>
      <c r="H45" s="489">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44344.708333333234</v>
      </c>
      <c r="AB45" s="113">
        <f ca="1">TblMili[[#This Row],[Draftees]]</f>
        <v>646</v>
      </c>
      <c r="AC45" s="113">
        <f ca="1">TblProd[[#This Row],[Platinum]]</f>
        <v>325292</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161</v>
      </c>
    </row>
    <row r="46" spans="1:36" s="49" customFormat="1" x14ac:dyDescent="0.2">
      <c r="A46" s="228">
        <f>TblRezone[[#This Row],[Hour]]</f>
        <v>43</v>
      </c>
      <c r="B46" s="280">
        <f ca="1">TblConstr[[#This Row],[Land]]</f>
        <v>250</v>
      </c>
      <c r="C46" s="281"/>
      <c r="D46" s="282">
        <f ca="1">TblConstr[[#This Row],[Plain]]</f>
        <v>39</v>
      </c>
      <c r="E46" s="236">
        <f ca="1">TblConstr[[#This Row],[Forest]]</f>
        <v>20</v>
      </c>
      <c r="F46" s="481">
        <f ca="1">TblConstr[[#This Row],[Mountain]]</f>
        <v>20</v>
      </c>
      <c r="G46" s="485">
        <f ca="1">TblConstr[[#This Row],[Hill]]</f>
        <v>20</v>
      </c>
      <c r="H46" s="489">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44344.749999999898</v>
      </c>
      <c r="AB46" s="113">
        <f ca="1">TblMili[[#This Row],[Draftees]]</f>
        <v>646</v>
      </c>
      <c r="AC46" s="113">
        <f ca="1">TblProd[[#This Row],[Platinum]]</f>
        <v>330791</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161</v>
      </c>
    </row>
    <row r="47" spans="1:36" s="49" customFormat="1" x14ac:dyDescent="0.2">
      <c r="A47" s="228">
        <f>TblRezone[[#This Row],[Hour]]</f>
        <v>44</v>
      </c>
      <c r="B47" s="280">
        <f ca="1">TblConstr[[#This Row],[Land]]</f>
        <v>250</v>
      </c>
      <c r="C47" s="281"/>
      <c r="D47" s="282">
        <f ca="1">TblConstr[[#This Row],[Plain]]</f>
        <v>39</v>
      </c>
      <c r="E47" s="236">
        <f ca="1">TblConstr[[#This Row],[Forest]]</f>
        <v>20</v>
      </c>
      <c r="F47" s="481">
        <f ca="1">TblConstr[[#This Row],[Mountain]]</f>
        <v>20</v>
      </c>
      <c r="G47" s="485">
        <f ca="1">TblConstr[[#This Row],[Hill]]</f>
        <v>20</v>
      </c>
      <c r="H47" s="489">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44344.791666666562</v>
      </c>
      <c r="AB47" s="113">
        <f ca="1">TblMili[[#This Row],[Draftees]]</f>
        <v>646</v>
      </c>
      <c r="AC47" s="113">
        <f ca="1">TblProd[[#This Row],[Platinum]]</f>
        <v>336290</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161</v>
      </c>
    </row>
    <row r="48" spans="1:36" s="49" customFormat="1" x14ac:dyDescent="0.2">
      <c r="A48" s="228">
        <f>TblRezone[[#This Row],[Hour]]</f>
        <v>45</v>
      </c>
      <c r="B48" s="280">
        <f ca="1">TblConstr[[#This Row],[Land]]</f>
        <v>250</v>
      </c>
      <c r="C48" s="281"/>
      <c r="D48" s="282">
        <f ca="1">TblConstr[[#This Row],[Plain]]</f>
        <v>39</v>
      </c>
      <c r="E48" s="236">
        <f ca="1">TblConstr[[#This Row],[Forest]]</f>
        <v>20</v>
      </c>
      <c r="F48" s="481">
        <f ca="1">TblConstr[[#This Row],[Mountain]]</f>
        <v>20</v>
      </c>
      <c r="G48" s="485">
        <f ca="1">TblConstr[[#This Row],[Hill]]</f>
        <v>20</v>
      </c>
      <c r="H48" s="489">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44344.833333333227</v>
      </c>
      <c r="AB48" s="113">
        <f ca="1">TblMili[[#This Row],[Draftees]]</f>
        <v>646</v>
      </c>
      <c r="AC48" s="113">
        <f ca="1">TblProd[[#This Row],[Platinum]]</f>
        <v>341789</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161</v>
      </c>
    </row>
    <row r="49" spans="1:36" s="49" customFormat="1" x14ac:dyDescent="0.2">
      <c r="A49" s="228">
        <f>TblRezone[[#This Row],[Hour]]</f>
        <v>46</v>
      </c>
      <c r="B49" s="280">
        <f ca="1">TblConstr[[#This Row],[Land]]</f>
        <v>250</v>
      </c>
      <c r="C49" s="281"/>
      <c r="D49" s="282">
        <f ca="1">TblConstr[[#This Row],[Plain]]</f>
        <v>39</v>
      </c>
      <c r="E49" s="236">
        <f ca="1">TblConstr[[#This Row],[Forest]]</f>
        <v>20</v>
      </c>
      <c r="F49" s="481">
        <f ca="1">TblConstr[[#This Row],[Mountain]]</f>
        <v>20</v>
      </c>
      <c r="G49" s="485">
        <f ca="1">TblConstr[[#This Row],[Hill]]</f>
        <v>20</v>
      </c>
      <c r="H49" s="489">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44344.874999999891</v>
      </c>
      <c r="AB49" s="113">
        <f ca="1">TblMili[[#This Row],[Draftees]]</f>
        <v>646</v>
      </c>
      <c r="AC49" s="113">
        <f ca="1">TblProd[[#This Row],[Platinum]]</f>
        <v>347288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161</v>
      </c>
    </row>
    <row r="50" spans="1:36" s="49" customFormat="1" x14ac:dyDescent="0.2">
      <c r="A50" s="228">
        <f>TblRezone[[#This Row],[Hour]]</f>
        <v>47</v>
      </c>
      <c r="B50" s="280">
        <f ca="1">TblConstr[[#This Row],[Land]]</f>
        <v>250</v>
      </c>
      <c r="C50" s="281"/>
      <c r="D50" s="282">
        <f ca="1">TblConstr[[#This Row],[Plain]]</f>
        <v>39</v>
      </c>
      <c r="E50" s="236">
        <f ca="1">TblConstr[[#This Row],[Forest]]</f>
        <v>20</v>
      </c>
      <c r="F50" s="481">
        <f ca="1">TblConstr[[#This Row],[Mountain]]</f>
        <v>20</v>
      </c>
      <c r="G50" s="485">
        <f ca="1">TblConstr[[#This Row],[Hill]]</f>
        <v>20</v>
      </c>
      <c r="H50" s="489">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44344.916666666555</v>
      </c>
      <c r="AB50" s="113">
        <f ca="1">TblMili[[#This Row],[Draftees]]</f>
        <v>646</v>
      </c>
      <c r="AC50" s="113">
        <f ca="1">TblProd[[#This Row],[Platinum]]</f>
        <v>352787</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161</v>
      </c>
    </row>
    <row r="51" spans="1:36" s="49" customFormat="1" x14ac:dyDescent="0.2">
      <c r="A51" s="228">
        <f>TblRezone[[#This Row],[Hour]]</f>
        <v>48</v>
      </c>
      <c r="B51" s="280">
        <f ca="1">TblConstr[[#This Row],[Land]]</f>
        <v>250</v>
      </c>
      <c r="C51" s="281"/>
      <c r="D51" s="282">
        <f ca="1">TblConstr[[#This Row],[Plain]]</f>
        <v>39</v>
      </c>
      <c r="E51" s="236">
        <f ca="1">TblConstr[[#This Row],[Forest]]</f>
        <v>20</v>
      </c>
      <c r="F51" s="481">
        <f ca="1">TblConstr[[#This Row],[Mountain]]</f>
        <v>20</v>
      </c>
      <c r="G51" s="485">
        <f ca="1">TblConstr[[#This Row],[Hill]]</f>
        <v>20</v>
      </c>
      <c r="H51" s="489">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44344.958333333219</v>
      </c>
      <c r="AB51" s="113">
        <f ca="1">TblMili[[#This Row],[Draftees]]</f>
        <v>646</v>
      </c>
      <c r="AC51" s="113">
        <f ca="1">TblProd[[#This Row],[Platinum]]</f>
        <v>358286</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161</v>
      </c>
    </row>
    <row r="52" spans="1:36" s="49" customFormat="1" x14ac:dyDescent="0.2">
      <c r="A52" s="228">
        <f>TblRezone[[#This Row],[Hour]]</f>
        <v>49</v>
      </c>
      <c r="B52" s="280">
        <f ca="1">TblConstr[[#This Row],[Land]]</f>
        <v>250</v>
      </c>
      <c r="C52" s="281"/>
      <c r="D52" s="282">
        <f ca="1">TblConstr[[#This Row],[Plain]]</f>
        <v>39</v>
      </c>
      <c r="E52" s="236">
        <f ca="1">TblConstr[[#This Row],[Forest]]</f>
        <v>20</v>
      </c>
      <c r="F52" s="481">
        <f ca="1">TblConstr[[#This Row],[Mountain]]</f>
        <v>20</v>
      </c>
      <c r="G52" s="485">
        <f ca="1">TblConstr[[#This Row],[Hill]]</f>
        <v>20</v>
      </c>
      <c r="H52" s="489">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44344.999999999884</v>
      </c>
      <c r="AB52" s="113">
        <f ca="1">TblMili[[#This Row],[Draftees]]</f>
        <v>646</v>
      </c>
      <c r="AC52" s="113">
        <f ca="1">TblProd[[#This Row],[Platinum]]</f>
        <v>363785</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161</v>
      </c>
    </row>
    <row r="53" spans="1:36" s="49" customFormat="1" x14ac:dyDescent="0.2">
      <c r="A53" s="228">
        <f>TblRezone[[#This Row],[Hour]]</f>
        <v>50</v>
      </c>
      <c r="B53" s="280">
        <f ca="1">TblConstr[[#This Row],[Land]]</f>
        <v>250</v>
      </c>
      <c r="C53" s="281"/>
      <c r="D53" s="282">
        <f ca="1">TblConstr[[#This Row],[Plain]]</f>
        <v>39</v>
      </c>
      <c r="E53" s="236">
        <f ca="1">TblConstr[[#This Row],[Forest]]</f>
        <v>20</v>
      </c>
      <c r="F53" s="481">
        <f ca="1">TblConstr[[#This Row],[Mountain]]</f>
        <v>20</v>
      </c>
      <c r="G53" s="485">
        <f ca="1">TblConstr[[#This Row],[Hill]]</f>
        <v>20</v>
      </c>
      <c r="H53" s="489">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44345.041666666548</v>
      </c>
      <c r="AB53" s="113">
        <f ca="1">TblMili[[#This Row],[Draftees]]</f>
        <v>646</v>
      </c>
      <c r="AC53" s="113">
        <f ca="1">TblProd[[#This Row],[Platinum]]</f>
        <v>369284</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161</v>
      </c>
    </row>
    <row r="54" spans="1:36" s="49" customFormat="1" x14ac:dyDescent="0.2">
      <c r="A54" s="228">
        <f>TblRezone[[#This Row],[Hour]]</f>
        <v>51</v>
      </c>
      <c r="B54" s="280">
        <f ca="1">TblConstr[[#This Row],[Land]]</f>
        <v>250</v>
      </c>
      <c r="C54" s="281"/>
      <c r="D54" s="282">
        <f ca="1">TblConstr[[#This Row],[Plain]]</f>
        <v>39</v>
      </c>
      <c r="E54" s="236">
        <f ca="1">TblConstr[[#This Row],[Forest]]</f>
        <v>20</v>
      </c>
      <c r="F54" s="481">
        <f ca="1">TblConstr[[#This Row],[Mountain]]</f>
        <v>20</v>
      </c>
      <c r="G54" s="485">
        <f ca="1">TblConstr[[#This Row],[Hill]]</f>
        <v>20</v>
      </c>
      <c r="H54" s="489">
        <f ca="1">TblConstr[[#This Row],[Swamp]]</f>
        <v>20</v>
      </c>
      <c r="I54" s="239">
        <f ca="1">TblConstr[[#This Row],[Cavern]]</f>
        <v>20</v>
      </c>
      <c r="J54" s="240">
        <f ca="1">TblConstr[[#This Row],[Water]]</f>
        <v>20</v>
      </c>
      <c r="K54" s="275"/>
      <c r="L54" s="493" t="s">
        <v>1084</v>
      </c>
      <c r="M54" s="494"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44345.083333333212</v>
      </c>
      <c r="AB54" s="113">
        <f ca="1">TblMili[[#This Row],[Draftees]]</f>
        <v>646</v>
      </c>
      <c r="AC54" s="113">
        <f ca="1">TblProd[[#This Row],[Platinum]]</f>
        <v>374783</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161</v>
      </c>
    </row>
    <row r="55" spans="1:36" s="49" customFormat="1" x14ac:dyDescent="0.2">
      <c r="A55" s="228">
        <f>TblRezone[[#This Row],[Hour]]</f>
        <v>52</v>
      </c>
      <c r="B55" s="280">
        <f ca="1">TblConstr[[#This Row],[Land]]</f>
        <v>250</v>
      </c>
      <c r="C55" s="281"/>
      <c r="D55" s="282">
        <f ca="1">TblConstr[[#This Row],[Plain]]</f>
        <v>39</v>
      </c>
      <c r="E55" s="236">
        <f ca="1">TblConstr[[#This Row],[Forest]]</f>
        <v>20</v>
      </c>
      <c r="F55" s="481">
        <f ca="1">TblConstr[[#This Row],[Mountain]]</f>
        <v>20</v>
      </c>
      <c r="G55" s="485">
        <f ca="1">TblConstr[[#This Row],[Hill]]</f>
        <v>20</v>
      </c>
      <c r="H55" s="489">
        <f ca="1">TblConstr[[#This Row],[Swamp]]</f>
        <v>20</v>
      </c>
      <c r="I55" s="239">
        <f ca="1">TblConstr[[#This Row],[Cavern]]</f>
        <v>20</v>
      </c>
      <c r="J55" s="240">
        <f ca="1">TblConstr[[#This Row],[Water]]</f>
        <v>20</v>
      </c>
      <c r="K55" s="275"/>
      <c r="L55" s="495">
        <v>4</v>
      </c>
      <c r="M55" s="496">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44345.124999999876</v>
      </c>
      <c r="AB55" s="113">
        <f ca="1">TblMili[[#This Row],[Draftees]]</f>
        <v>646</v>
      </c>
      <c r="AC55" s="113">
        <f ca="1">TblProd[[#This Row],[Platinum]]</f>
        <v>380282</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161</v>
      </c>
    </row>
    <row r="56" spans="1:36" s="49" customFormat="1" x14ac:dyDescent="0.2">
      <c r="A56" s="228">
        <f>TblRezone[[#This Row],[Hour]]</f>
        <v>53</v>
      </c>
      <c r="B56" s="280">
        <f ca="1">TblConstr[[#This Row],[Land]]</f>
        <v>250</v>
      </c>
      <c r="C56" s="281"/>
      <c r="D56" s="282">
        <f ca="1">TblConstr[[#This Row],[Plain]]</f>
        <v>39</v>
      </c>
      <c r="E56" s="236">
        <f ca="1">TblConstr[[#This Row],[Forest]]</f>
        <v>20</v>
      </c>
      <c r="F56" s="481">
        <f ca="1">TblConstr[[#This Row],[Mountain]]</f>
        <v>20</v>
      </c>
      <c r="G56" s="485">
        <f ca="1">TblConstr[[#This Row],[Hill]]</f>
        <v>20</v>
      </c>
      <c r="H56" s="489">
        <f ca="1">TblConstr[[#This Row],[Swamp]]</f>
        <v>20</v>
      </c>
      <c r="I56" s="239">
        <f ca="1">TblConstr[[#This Row],[Cavern]]</f>
        <v>20</v>
      </c>
      <c r="J56" s="240">
        <f ca="1">TblConstr[[#This Row],[Water]]</f>
        <v>20</v>
      </c>
      <c r="K56" s="275"/>
      <c r="L56" s="495">
        <v>5</v>
      </c>
      <c r="M56" s="496">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44345.166666666541</v>
      </c>
      <c r="AB56" s="113">
        <f ca="1">TblMili[[#This Row],[Draftees]]</f>
        <v>646</v>
      </c>
      <c r="AC56" s="113">
        <f ca="1">TblProd[[#This Row],[Platinum]]</f>
        <v>385781</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161</v>
      </c>
    </row>
    <row r="57" spans="1:36" s="49" customFormat="1" x14ac:dyDescent="0.2">
      <c r="A57" s="228">
        <f>TblRezone[[#This Row],[Hour]]</f>
        <v>54</v>
      </c>
      <c r="B57" s="280">
        <f ca="1">TblConstr[[#This Row],[Land]]</f>
        <v>250</v>
      </c>
      <c r="C57" s="281"/>
      <c r="D57" s="282">
        <f ca="1">TblConstr[[#This Row],[Plain]]</f>
        <v>39</v>
      </c>
      <c r="E57" s="236">
        <f ca="1">TblConstr[[#This Row],[Forest]]</f>
        <v>20</v>
      </c>
      <c r="F57" s="481">
        <f ca="1">TblConstr[[#This Row],[Mountain]]</f>
        <v>20</v>
      </c>
      <c r="G57" s="485">
        <f ca="1">TblConstr[[#This Row],[Hill]]</f>
        <v>20</v>
      </c>
      <c r="H57" s="489">
        <f ca="1">TblConstr[[#This Row],[Swamp]]</f>
        <v>20</v>
      </c>
      <c r="I57" s="239">
        <f ca="1">TblConstr[[#This Row],[Cavern]]</f>
        <v>20</v>
      </c>
      <c r="J57" s="240">
        <f ca="1">TblConstr[[#This Row],[Water]]</f>
        <v>20</v>
      </c>
      <c r="K57" s="275"/>
      <c r="L57" s="495">
        <v>6</v>
      </c>
      <c r="M57" s="496">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44345.208333333205</v>
      </c>
      <c r="AB57" s="113">
        <f ca="1">TblMili[[#This Row],[Draftees]]</f>
        <v>646</v>
      </c>
      <c r="AC57" s="113">
        <f ca="1">TblProd[[#This Row],[Platinum]]</f>
        <v>391280</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161</v>
      </c>
    </row>
    <row r="58" spans="1:36" s="49" customFormat="1" x14ac:dyDescent="0.2">
      <c r="A58" s="228">
        <f>TblRezone[[#This Row],[Hour]]</f>
        <v>55</v>
      </c>
      <c r="B58" s="280">
        <f ca="1">TblConstr[[#This Row],[Land]]</f>
        <v>250</v>
      </c>
      <c r="C58" s="281"/>
      <c r="D58" s="282">
        <f ca="1">TblConstr[[#This Row],[Plain]]</f>
        <v>39</v>
      </c>
      <c r="E58" s="236">
        <f ca="1">TblConstr[[#This Row],[Forest]]</f>
        <v>20</v>
      </c>
      <c r="F58" s="481">
        <f ca="1">TblConstr[[#This Row],[Mountain]]</f>
        <v>20</v>
      </c>
      <c r="G58" s="485">
        <f ca="1">TblConstr[[#This Row],[Hill]]</f>
        <v>20</v>
      </c>
      <c r="H58" s="489">
        <f ca="1">TblConstr[[#This Row],[Swamp]]</f>
        <v>20</v>
      </c>
      <c r="I58" s="239">
        <f ca="1">TblConstr[[#This Row],[Cavern]]</f>
        <v>20</v>
      </c>
      <c r="J58" s="240">
        <f ca="1">TblConstr[[#This Row],[Water]]</f>
        <v>20</v>
      </c>
      <c r="K58" s="275"/>
      <c r="L58" s="495">
        <v>7</v>
      </c>
      <c r="M58" s="496">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44345.249999999869</v>
      </c>
      <c r="AB58" s="113">
        <f ca="1">TblMili[[#This Row],[Draftees]]</f>
        <v>646</v>
      </c>
      <c r="AC58" s="113">
        <f ca="1">TblProd[[#This Row],[Platinum]]</f>
        <v>396779</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161</v>
      </c>
    </row>
    <row r="59" spans="1:36" s="49" customFormat="1" x14ac:dyDescent="0.2">
      <c r="A59" s="228">
        <f>TblRezone[[#This Row],[Hour]]</f>
        <v>56</v>
      </c>
      <c r="B59" s="280">
        <f ca="1">TblConstr[[#This Row],[Land]]</f>
        <v>250</v>
      </c>
      <c r="C59" s="281"/>
      <c r="D59" s="282">
        <f ca="1">TblConstr[[#This Row],[Plain]]</f>
        <v>39</v>
      </c>
      <c r="E59" s="236">
        <f ca="1">TblConstr[[#This Row],[Forest]]</f>
        <v>20</v>
      </c>
      <c r="F59" s="481">
        <f ca="1">TblConstr[[#This Row],[Mountain]]</f>
        <v>20</v>
      </c>
      <c r="G59" s="485">
        <f ca="1">TblConstr[[#This Row],[Hill]]</f>
        <v>20</v>
      </c>
      <c r="H59" s="489">
        <f ca="1">TblConstr[[#This Row],[Swamp]]</f>
        <v>20</v>
      </c>
      <c r="I59" s="239">
        <f ca="1">TblConstr[[#This Row],[Cavern]]</f>
        <v>20</v>
      </c>
      <c r="J59" s="240">
        <f ca="1">TblConstr[[#This Row],[Water]]</f>
        <v>20</v>
      </c>
      <c r="K59" s="275"/>
      <c r="L59" s="495">
        <v>8</v>
      </c>
      <c r="M59" s="496">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44345.291666666533</v>
      </c>
      <c r="AB59" s="113">
        <f ca="1">TblMili[[#This Row],[Draftees]]</f>
        <v>646</v>
      </c>
      <c r="AC59" s="113">
        <f ca="1">TblProd[[#This Row],[Platinum]]</f>
        <v>402278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161</v>
      </c>
    </row>
    <row r="60" spans="1:36" s="49" customFormat="1" x14ac:dyDescent="0.2">
      <c r="A60" s="228">
        <f>TblRezone[[#This Row],[Hour]]</f>
        <v>57</v>
      </c>
      <c r="B60" s="280">
        <f ca="1">TblConstr[[#This Row],[Land]]</f>
        <v>250</v>
      </c>
      <c r="C60" s="281"/>
      <c r="D60" s="282">
        <f ca="1">TblConstr[[#This Row],[Plain]]</f>
        <v>39</v>
      </c>
      <c r="E60" s="236">
        <f ca="1">TblConstr[[#This Row],[Forest]]</f>
        <v>20</v>
      </c>
      <c r="F60" s="481">
        <f ca="1">TblConstr[[#This Row],[Mountain]]</f>
        <v>20</v>
      </c>
      <c r="G60" s="485">
        <f ca="1">TblConstr[[#This Row],[Hill]]</f>
        <v>20</v>
      </c>
      <c r="H60" s="489">
        <f ca="1">TblConstr[[#This Row],[Swamp]]</f>
        <v>20</v>
      </c>
      <c r="I60" s="239">
        <f ca="1">TblConstr[[#This Row],[Cavern]]</f>
        <v>20</v>
      </c>
      <c r="J60" s="240">
        <f ca="1">TblConstr[[#This Row],[Water]]</f>
        <v>20</v>
      </c>
      <c r="K60" s="275"/>
      <c r="L60" s="495">
        <v>9</v>
      </c>
      <c r="M60" s="496">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44345.333333333198</v>
      </c>
      <c r="AB60" s="113">
        <f ca="1">TblMili[[#This Row],[Draftees]]</f>
        <v>646</v>
      </c>
      <c r="AC60" s="113">
        <f ca="1">TblProd[[#This Row],[Platinum]]</f>
        <v>407777</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161</v>
      </c>
    </row>
    <row r="61" spans="1:36" s="49" customFormat="1" x14ac:dyDescent="0.2">
      <c r="A61" s="228">
        <f>TblRezone[[#This Row],[Hour]]</f>
        <v>58</v>
      </c>
      <c r="B61" s="280">
        <f ca="1">TblConstr[[#This Row],[Land]]</f>
        <v>250</v>
      </c>
      <c r="C61" s="281"/>
      <c r="D61" s="282">
        <f ca="1">TblConstr[[#This Row],[Plain]]</f>
        <v>39</v>
      </c>
      <c r="E61" s="236">
        <f ca="1">TblConstr[[#This Row],[Forest]]</f>
        <v>20</v>
      </c>
      <c r="F61" s="481">
        <f ca="1">TblConstr[[#This Row],[Mountain]]</f>
        <v>20</v>
      </c>
      <c r="G61" s="485">
        <f ca="1">TblConstr[[#This Row],[Hill]]</f>
        <v>20</v>
      </c>
      <c r="H61" s="489">
        <f ca="1">TblConstr[[#This Row],[Swamp]]</f>
        <v>20</v>
      </c>
      <c r="I61" s="239">
        <f ca="1">TblConstr[[#This Row],[Cavern]]</f>
        <v>20</v>
      </c>
      <c r="J61" s="240">
        <f ca="1">TblConstr[[#This Row],[Water]]</f>
        <v>20</v>
      </c>
      <c r="K61" s="275"/>
      <c r="L61" s="495">
        <v>10</v>
      </c>
      <c r="M61" s="496">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44345.374999999862</v>
      </c>
      <c r="AB61" s="113">
        <f ca="1">TblMili[[#This Row],[Draftees]]</f>
        <v>646</v>
      </c>
      <c r="AC61" s="113">
        <f ca="1">TblProd[[#This Row],[Platinum]]</f>
        <v>413276</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161</v>
      </c>
    </row>
    <row r="62" spans="1:36" s="49" customFormat="1" x14ac:dyDescent="0.2">
      <c r="A62" s="228">
        <f>TblRezone[[#This Row],[Hour]]</f>
        <v>59</v>
      </c>
      <c r="B62" s="280">
        <f ca="1">TblConstr[[#This Row],[Land]]</f>
        <v>250</v>
      </c>
      <c r="C62" s="281"/>
      <c r="D62" s="282">
        <f ca="1">TblConstr[[#This Row],[Plain]]</f>
        <v>39</v>
      </c>
      <c r="E62" s="236">
        <f ca="1">TblConstr[[#This Row],[Forest]]</f>
        <v>20</v>
      </c>
      <c r="F62" s="481">
        <f ca="1">TblConstr[[#This Row],[Mountain]]</f>
        <v>20</v>
      </c>
      <c r="G62" s="485">
        <f ca="1">TblConstr[[#This Row],[Hill]]</f>
        <v>20</v>
      </c>
      <c r="H62" s="489">
        <f ca="1">TblConstr[[#This Row],[Swamp]]</f>
        <v>20</v>
      </c>
      <c r="I62" s="239">
        <f ca="1">TblConstr[[#This Row],[Cavern]]</f>
        <v>20</v>
      </c>
      <c r="J62" s="240">
        <f ca="1">TblConstr[[#This Row],[Water]]</f>
        <v>20</v>
      </c>
      <c r="K62" s="275"/>
      <c r="L62" s="495">
        <v>11</v>
      </c>
      <c r="M62" s="496">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44345.416666666526</v>
      </c>
      <c r="AB62" s="113">
        <f ca="1">TblMili[[#This Row],[Draftees]]</f>
        <v>646</v>
      </c>
      <c r="AC62" s="113">
        <f ca="1">TblProd[[#This Row],[Platinum]]</f>
        <v>418775</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161</v>
      </c>
    </row>
    <row r="63" spans="1:36" s="49" customFormat="1" x14ac:dyDescent="0.2">
      <c r="A63" s="228">
        <f>TblRezone[[#This Row],[Hour]]</f>
        <v>60</v>
      </c>
      <c r="B63" s="280">
        <f ca="1">TblConstr[[#This Row],[Land]]</f>
        <v>250</v>
      </c>
      <c r="C63" s="281"/>
      <c r="D63" s="282">
        <f ca="1">TblConstr[[#This Row],[Plain]]</f>
        <v>39</v>
      </c>
      <c r="E63" s="236">
        <f ca="1">TblConstr[[#This Row],[Forest]]</f>
        <v>20</v>
      </c>
      <c r="F63" s="481">
        <f ca="1">TblConstr[[#This Row],[Mountain]]</f>
        <v>20</v>
      </c>
      <c r="G63" s="485">
        <f ca="1">TblConstr[[#This Row],[Hill]]</f>
        <v>20</v>
      </c>
      <c r="H63" s="489">
        <f ca="1">TblConstr[[#This Row],[Swamp]]</f>
        <v>20</v>
      </c>
      <c r="I63" s="239">
        <f ca="1">TblConstr[[#This Row],[Cavern]]</f>
        <v>20</v>
      </c>
      <c r="J63" s="240">
        <f ca="1">TblConstr[[#This Row],[Water]]</f>
        <v>20</v>
      </c>
      <c r="K63" s="275"/>
      <c r="L63" s="495">
        <v>12</v>
      </c>
      <c r="M63" s="496">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44345.45833333319</v>
      </c>
      <c r="AB63" s="113">
        <f ca="1">TblMili[[#This Row],[Draftees]]</f>
        <v>646</v>
      </c>
      <c r="AC63" s="113">
        <f ca="1">TblProd[[#This Row],[Platinum]]</f>
        <v>424274</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161</v>
      </c>
    </row>
    <row r="64" spans="1:36" s="49" customFormat="1" x14ac:dyDescent="0.2">
      <c r="A64" s="228">
        <f>TblRezone[[#This Row],[Hour]]</f>
        <v>61</v>
      </c>
      <c r="B64" s="280">
        <f ca="1">TblConstr[[#This Row],[Land]]</f>
        <v>250</v>
      </c>
      <c r="C64" s="281"/>
      <c r="D64" s="282">
        <f ca="1">TblConstr[[#This Row],[Plain]]</f>
        <v>39</v>
      </c>
      <c r="E64" s="236">
        <f ca="1">TblConstr[[#This Row],[Forest]]</f>
        <v>20</v>
      </c>
      <c r="F64" s="481">
        <f ca="1">TblConstr[[#This Row],[Mountain]]</f>
        <v>20</v>
      </c>
      <c r="G64" s="485">
        <f ca="1">TblConstr[[#This Row],[Hill]]</f>
        <v>20</v>
      </c>
      <c r="H64" s="489">
        <f ca="1">TblConstr[[#This Row],[Swamp]]</f>
        <v>20</v>
      </c>
      <c r="I64" s="239">
        <f ca="1">TblConstr[[#This Row],[Cavern]]</f>
        <v>20</v>
      </c>
      <c r="J64" s="240">
        <f ca="1">TblConstr[[#This Row],[Water]]</f>
        <v>20</v>
      </c>
      <c r="K64" s="275"/>
      <c r="L64" s="495">
        <v>13</v>
      </c>
      <c r="M64" s="496">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44345.499999999854</v>
      </c>
      <c r="AB64" s="113">
        <f ca="1">TblMili[[#This Row],[Draftees]]</f>
        <v>646</v>
      </c>
      <c r="AC64" s="113">
        <f ca="1">TblProd[[#This Row],[Platinum]]</f>
        <v>429773</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161</v>
      </c>
    </row>
    <row r="65" spans="1:37" s="49" customFormat="1" x14ac:dyDescent="0.2">
      <c r="A65" s="228">
        <f>TblRezone[[#This Row],[Hour]]</f>
        <v>62</v>
      </c>
      <c r="B65" s="280">
        <f ca="1">TblConstr[[#This Row],[Land]]</f>
        <v>250</v>
      </c>
      <c r="C65" s="281"/>
      <c r="D65" s="282">
        <f ca="1">TblConstr[[#This Row],[Plain]]</f>
        <v>39</v>
      </c>
      <c r="E65" s="236">
        <f ca="1">TblConstr[[#This Row],[Forest]]</f>
        <v>20</v>
      </c>
      <c r="F65" s="481">
        <f ca="1">TblConstr[[#This Row],[Mountain]]</f>
        <v>20</v>
      </c>
      <c r="G65" s="485">
        <f ca="1">TblConstr[[#This Row],[Hill]]</f>
        <v>20</v>
      </c>
      <c r="H65" s="489">
        <f ca="1">TblConstr[[#This Row],[Swamp]]</f>
        <v>20</v>
      </c>
      <c r="I65" s="239">
        <f ca="1">TblConstr[[#This Row],[Cavern]]</f>
        <v>20</v>
      </c>
      <c r="J65" s="240">
        <f ca="1">TblConstr[[#This Row],[Water]]</f>
        <v>20</v>
      </c>
      <c r="K65" s="275"/>
      <c r="L65" s="495">
        <v>14</v>
      </c>
      <c r="M65" s="496">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44345.541666666519</v>
      </c>
      <c r="AB65" s="113">
        <f ca="1">TblMili[[#This Row],[Draftees]]</f>
        <v>646</v>
      </c>
      <c r="AC65" s="113">
        <f ca="1">TblProd[[#This Row],[Platinum]]</f>
        <v>435272</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161</v>
      </c>
    </row>
    <row r="66" spans="1:37" s="49" customFormat="1" x14ac:dyDescent="0.2">
      <c r="A66" s="228">
        <f>TblRezone[[#This Row],[Hour]]</f>
        <v>63</v>
      </c>
      <c r="B66" s="280">
        <f ca="1">TblConstr[[#This Row],[Land]]</f>
        <v>250</v>
      </c>
      <c r="C66" s="281"/>
      <c r="D66" s="282">
        <f ca="1">TblConstr[[#This Row],[Plain]]</f>
        <v>39</v>
      </c>
      <c r="E66" s="236">
        <f ca="1">TblConstr[[#This Row],[Forest]]</f>
        <v>20</v>
      </c>
      <c r="F66" s="481">
        <f ca="1">TblConstr[[#This Row],[Mountain]]</f>
        <v>20</v>
      </c>
      <c r="G66" s="485">
        <f ca="1">TblConstr[[#This Row],[Hill]]</f>
        <v>20</v>
      </c>
      <c r="H66" s="489">
        <f ca="1">TblConstr[[#This Row],[Swamp]]</f>
        <v>20</v>
      </c>
      <c r="I66" s="239">
        <f ca="1">TblConstr[[#This Row],[Cavern]]</f>
        <v>20</v>
      </c>
      <c r="J66" s="240">
        <f ca="1">TblConstr[[#This Row],[Water]]</f>
        <v>20</v>
      </c>
      <c r="K66" s="275"/>
      <c r="L66" s="495">
        <v>15</v>
      </c>
      <c r="M66" s="496">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44345.583333333183</v>
      </c>
      <c r="AB66" s="113">
        <f ca="1">TblMili[[#This Row],[Draftees]]</f>
        <v>646</v>
      </c>
      <c r="AC66" s="113">
        <f ca="1">TblProd[[#This Row],[Platinum]]</f>
        <v>440771</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161</v>
      </c>
    </row>
    <row r="67" spans="1:37" s="49" customFormat="1" x14ac:dyDescent="0.2">
      <c r="A67" s="228">
        <f>TblRezone[[#This Row],[Hour]]</f>
        <v>64</v>
      </c>
      <c r="B67" s="280">
        <f ca="1">TblConstr[[#This Row],[Land]]</f>
        <v>250</v>
      </c>
      <c r="C67" s="281"/>
      <c r="D67" s="282">
        <f ca="1">TblConstr[[#This Row],[Plain]]</f>
        <v>39</v>
      </c>
      <c r="E67" s="236">
        <f ca="1">TblConstr[[#This Row],[Forest]]</f>
        <v>20</v>
      </c>
      <c r="F67" s="481">
        <f ca="1">TblConstr[[#This Row],[Mountain]]</f>
        <v>20</v>
      </c>
      <c r="G67" s="485">
        <f ca="1">TblConstr[[#This Row],[Hill]]</f>
        <v>20</v>
      </c>
      <c r="H67" s="489">
        <f ca="1">TblConstr[[#This Row],[Swamp]]</f>
        <v>20</v>
      </c>
      <c r="I67" s="239">
        <f ca="1">TblConstr[[#This Row],[Cavern]]</f>
        <v>20</v>
      </c>
      <c r="J67" s="240">
        <f ca="1">TblConstr[[#This Row],[Water]]</f>
        <v>20</v>
      </c>
      <c r="K67" s="275"/>
      <c r="L67" s="495">
        <v>16</v>
      </c>
      <c r="M67" s="496">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44345.624999999847</v>
      </c>
      <c r="AB67" s="113">
        <f ca="1">TblMili[[#This Row],[Draftees]]</f>
        <v>646</v>
      </c>
      <c r="AC67" s="113">
        <f ca="1">TblProd[[#This Row],[Platinum]]</f>
        <v>446270</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161</v>
      </c>
    </row>
    <row r="68" spans="1:37" s="49" customFormat="1" x14ac:dyDescent="0.2">
      <c r="A68" s="228">
        <f>TblRezone[[#This Row],[Hour]]</f>
        <v>65</v>
      </c>
      <c r="B68" s="280">
        <f ca="1">TblConstr[[#This Row],[Land]]</f>
        <v>250</v>
      </c>
      <c r="C68" s="281"/>
      <c r="D68" s="282">
        <f ca="1">TblConstr[[#This Row],[Plain]]</f>
        <v>39</v>
      </c>
      <c r="E68" s="236">
        <f ca="1">TblConstr[[#This Row],[Forest]]</f>
        <v>20</v>
      </c>
      <c r="F68" s="481">
        <f ca="1">TblConstr[[#This Row],[Mountain]]</f>
        <v>20</v>
      </c>
      <c r="G68" s="485">
        <f ca="1">TblConstr[[#This Row],[Hill]]</f>
        <v>20</v>
      </c>
      <c r="H68" s="489">
        <f ca="1">TblConstr[[#This Row],[Swamp]]</f>
        <v>20</v>
      </c>
      <c r="I68" s="239">
        <f ca="1">TblConstr[[#This Row],[Cavern]]</f>
        <v>20</v>
      </c>
      <c r="J68" s="240">
        <f ca="1">TblConstr[[#This Row],[Water]]</f>
        <v>20</v>
      </c>
      <c r="K68" s="275"/>
      <c r="L68" s="495">
        <v>17</v>
      </c>
      <c r="M68" s="496">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44345.666666666511</v>
      </c>
      <c r="AB68" s="113">
        <f ca="1">TblMili[[#This Row],[Draftees]]</f>
        <v>646</v>
      </c>
      <c r="AC68" s="113">
        <f ca="1">TblProd[[#This Row],[Platinum]]</f>
        <v>451769</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161</v>
      </c>
    </row>
    <row r="69" spans="1:37" s="49" customFormat="1" x14ac:dyDescent="0.2">
      <c r="A69" s="228">
        <f>TblRezone[[#This Row],[Hour]]</f>
        <v>66</v>
      </c>
      <c r="B69" s="280">
        <f ca="1">TblConstr[[#This Row],[Land]]</f>
        <v>250</v>
      </c>
      <c r="C69" s="281"/>
      <c r="D69" s="282">
        <f ca="1">TblConstr[[#This Row],[Plain]]</f>
        <v>39</v>
      </c>
      <c r="E69" s="236">
        <f ca="1">TblConstr[[#This Row],[Forest]]</f>
        <v>20</v>
      </c>
      <c r="F69" s="481">
        <f ca="1">TblConstr[[#This Row],[Mountain]]</f>
        <v>20</v>
      </c>
      <c r="G69" s="485">
        <f ca="1">TblConstr[[#This Row],[Hill]]</f>
        <v>20</v>
      </c>
      <c r="H69" s="489">
        <f ca="1">TblConstr[[#This Row],[Swamp]]</f>
        <v>20</v>
      </c>
      <c r="I69" s="239">
        <f ca="1">TblConstr[[#This Row],[Cavern]]</f>
        <v>20</v>
      </c>
      <c r="J69" s="240">
        <f ca="1">TblConstr[[#This Row],[Water]]</f>
        <v>20</v>
      </c>
      <c r="K69" s="275"/>
      <c r="L69" s="497">
        <v>18</v>
      </c>
      <c r="M69" s="498">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44345.708333333176</v>
      </c>
      <c r="AB69" s="113">
        <f ca="1">TblMili[[#This Row],[Draftees]]</f>
        <v>646</v>
      </c>
      <c r="AC69" s="113">
        <f ca="1">TblProd[[#This Row],[Platinum]]</f>
        <v>457268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161</v>
      </c>
    </row>
    <row r="70" spans="1:37" s="49" customFormat="1" x14ac:dyDescent="0.2">
      <c r="A70" s="228">
        <f>TblRezone[[#This Row],[Hour]]</f>
        <v>67</v>
      </c>
      <c r="B70" s="280">
        <f ca="1">TblConstr[[#This Row],[Land]]</f>
        <v>250</v>
      </c>
      <c r="C70" s="281"/>
      <c r="D70" s="282">
        <f ca="1">TblConstr[[#This Row],[Plain]]</f>
        <v>39</v>
      </c>
      <c r="E70" s="236">
        <f ca="1">TblConstr[[#This Row],[Forest]]</f>
        <v>20</v>
      </c>
      <c r="F70" s="481">
        <f ca="1">TblConstr[[#This Row],[Mountain]]</f>
        <v>20</v>
      </c>
      <c r="G70" s="485">
        <f ca="1">TblConstr[[#This Row],[Hill]]</f>
        <v>20</v>
      </c>
      <c r="H70" s="489">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44345.74999999984</v>
      </c>
      <c r="AB70" s="113">
        <f ca="1">TblMili[[#This Row],[Draftees]]</f>
        <v>646</v>
      </c>
      <c r="AC70" s="113">
        <f ca="1">TblProd[[#This Row],[Platinum]]</f>
        <v>462767</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161</v>
      </c>
    </row>
    <row r="71" spans="1:37" s="49" customFormat="1" x14ac:dyDescent="0.2">
      <c r="A71" s="228">
        <f>TblRezone[[#This Row],[Hour]]</f>
        <v>68</v>
      </c>
      <c r="B71" s="280">
        <f ca="1">TblConstr[[#This Row],[Land]]</f>
        <v>250</v>
      </c>
      <c r="C71" s="281"/>
      <c r="D71" s="282">
        <f ca="1">TblConstr[[#This Row],[Plain]]</f>
        <v>39</v>
      </c>
      <c r="E71" s="236">
        <f ca="1">TblConstr[[#This Row],[Forest]]</f>
        <v>20</v>
      </c>
      <c r="F71" s="481">
        <f ca="1">TblConstr[[#This Row],[Mountain]]</f>
        <v>20</v>
      </c>
      <c r="G71" s="485">
        <f ca="1">TblConstr[[#This Row],[Hill]]</f>
        <v>20</v>
      </c>
      <c r="H71" s="489">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44345.791666666504</v>
      </c>
      <c r="AB71" s="113">
        <f ca="1">TblMili[[#This Row],[Draftees]]</f>
        <v>646</v>
      </c>
      <c r="AC71" s="113">
        <f ca="1">TblProd[[#This Row],[Platinum]]</f>
        <v>468266</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161</v>
      </c>
    </row>
    <row r="72" spans="1:37" s="49" customFormat="1" x14ac:dyDescent="0.2">
      <c r="A72" s="228">
        <f>TblRezone[[#This Row],[Hour]]</f>
        <v>69</v>
      </c>
      <c r="B72" s="280">
        <f ca="1">TblConstr[[#This Row],[Land]]</f>
        <v>250</v>
      </c>
      <c r="C72" s="281"/>
      <c r="D72" s="282">
        <f ca="1">TblConstr[[#This Row],[Plain]]</f>
        <v>39</v>
      </c>
      <c r="E72" s="236">
        <f ca="1">TblConstr[[#This Row],[Forest]]</f>
        <v>20</v>
      </c>
      <c r="F72" s="481">
        <f ca="1">TblConstr[[#This Row],[Mountain]]</f>
        <v>20</v>
      </c>
      <c r="G72" s="485">
        <f ca="1">TblConstr[[#This Row],[Hill]]</f>
        <v>20</v>
      </c>
      <c r="H72" s="489">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44345.833333333168</v>
      </c>
      <c r="AB72" s="113">
        <f ca="1">TblMili[[#This Row],[Draftees]]</f>
        <v>646</v>
      </c>
      <c r="AC72" s="113">
        <f ca="1">TblProd[[#This Row],[Platinum]]</f>
        <v>473765</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161</v>
      </c>
    </row>
    <row r="73" spans="1:37" s="49" customFormat="1" x14ac:dyDescent="0.2">
      <c r="A73" s="228">
        <f>TblRezone[[#This Row],[Hour]]</f>
        <v>70</v>
      </c>
      <c r="B73" s="280">
        <f ca="1">TblConstr[[#This Row],[Land]]</f>
        <v>250</v>
      </c>
      <c r="C73" s="281"/>
      <c r="D73" s="282">
        <f ca="1">TblConstr[[#This Row],[Plain]]</f>
        <v>39</v>
      </c>
      <c r="E73" s="236">
        <f ca="1">TblConstr[[#This Row],[Forest]]</f>
        <v>20</v>
      </c>
      <c r="F73" s="481">
        <f ca="1">TblConstr[[#This Row],[Mountain]]</f>
        <v>20</v>
      </c>
      <c r="G73" s="485">
        <f ca="1">TblConstr[[#This Row],[Hill]]</f>
        <v>20</v>
      </c>
      <c r="H73" s="489">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44345.874999999833</v>
      </c>
      <c r="AB73" s="113">
        <f ca="1">TblMili[[#This Row],[Draftees]]</f>
        <v>646</v>
      </c>
      <c r="AC73" s="113">
        <f ca="1">TblProd[[#This Row],[Platinum]]</f>
        <v>479264</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161</v>
      </c>
    </row>
    <row r="74" spans="1:37" s="49" customFormat="1" x14ac:dyDescent="0.2">
      <c r="A74" s="228">
        <f>TblRezone[[#This Row],[Hour]]</f>
        <v>71</v>
      </c>
      <c r="B74" s="280">
        <f ca="1">TblConstr[[#This Row],[Land]]</f>
        <v>250</v>
      </c>
      <c r="C74" s="281"/>
      <c r="D74" s="282">
        <f ca="1">TblConstr[[#This Row],[Plain]]</f>
        <v>39</v>
      </c>
      <c r="E74" s="236">
        <f ca="1">TblConstr[[#This Row],[Forest]]</f>
        <v>20</v>
      </c>
      <c r="F74" s="481">
        <f ca="1">TblConstr[[#This Row],[Mountain]]</f>
        <v>20</v>
      </c>
      <c r="G74" s="485">
        <f ca="1">TblConstr[[#This Row],[Hill]]</f>
        <v>20</v>
      </c>
      <c r="H74" s="489">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44345.916666666497</v>
      </c>
      <c r="AB74" s="113">
        <f ca="1">TblMili[[#This Row],[Draftees]]</f>
        <v>646</v>
      </c>
      <c r="AC74" s="113">
        <f ca="1">TblProd[[#This Row],[Platinum]]</f>
        <v>484763</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161</v>
      </c>
    </row>
    <row r="75" spans="1:37" s="49" customFormat="1" x14ac:dyDescent="0.2">
      <c r="A75" s="228">
        <f>TblRezone[[#This Row],[Hour]]</f>
        <v>72</v>
      </c>
      <c r="B75" s="280">
        <f ca="1">TblConstr[[#This Row],[Land]]</f>
        <v>250</v>
      </c>
      <c r="C75" s="281"/>
      <c r="D75" s="282">
        <f ca="1">TblConstr[[#This Row],[Plain]]</f>
        <v>39</v>
      </c>
      <c r="E75" s="236">
        <f ca="1">TblConstr[[#This Row],[Forest]]</f>
        <v>20</v>
      </c>
      <c r="F75" s="481">
        <f ca="1">TblConstr[[#This Row],[Mountain]]</f>
        <v>20</v>
      </c>
      <c r="G75" s="485">
        <f ca="1">TblConstr[[#This Row],[Hill]]</f>
        <v>20</v>
      </c>
      <c r="H75" s="489">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44345.958333333161</v>
      </c>
      <c r="AB75" s="113">
        <f ca="1">TblMili[[#This Row],[Draftees]]</f>
        <v>646</v>
      </c>
      <c r="AC75" s="113">
        <f ca="1">TblProd[[#This Row],[Platinum]]</f>
        <v>490262</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161</v>
      </c>
    </row>
    <row r="76" spans="1:37" s="263" customFormat="1" x14ac:dyDescent="0.2">
      <c r="A76" s="248">
        <f>TblRezone[[#This Row],[Hour]]</f>
        <v>73</v>
      </c>
      <c r="B76" s="297">
        <f ca="1">TblConstr[[#This Row],[Land]]</f>
        <v>250</v>
      </c>
      <c r="C76" s="298"/>
      <c r="D76" s="299">
        <f ca="1">TblConstr[[#This Row],[Plain]]</f>
        <v>39</v>
      </c>
      <c r="E76" s="254">
        <f ca="1">TblConstr[[#This Row],[Forest]]</f>
        <v>20</v>
      </c>
      <c r="F76" s="482">
        <f ca="1">TblConstr[[#This Row],[Mountain]]</f>
        <v>20</v>
      </c>
      <c r="G76" s="486">
        <f ca="1">TblConstr[[#This Row],[Hill]]</f>
        <v>20</v>
      </c>
      <c r="H76" s="490">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44345.999999999825</v>
      </c>
      <c r="AB76" s="262">
        <f ca="1">TblMili[[#This Row],[Draftees]]</f>
        <v>646</v>
      </c>
      <c r="AC76" s="262">
        <f ca="1">TblProd[[#This Row],[Platinum]]</f>
        <v>495761</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161</v>
      </c>
      <c r="AK76" s="303"/>
    </row>
    <row r="77" spans="1:37" s="49" customFormat="1" x14ac:dyDescent="0.2">
      <c r="A77" s="228">
        <f>TblRezone[[#This Row],[Hour]]</f>
        <v>74</v>
      </c>
      <c r="B77" s="280">
        <f ca="1">TblConstr[[#This Row],[Land]]</f>
        <v>250</v>
      </c>
      <c r="C77" s="281"/>
      <c r="D77" s="282">
        <f ca="1">TblConstr[[#This Row],[Plain]]</f>
        <v>39</v>
      </c>
      <c r="E77" s="236">
        <f ca="1">TblConstr[[#This Row],[Forest]]</f>
        <v>20</v>
      </c>
      <c r="F77" s="481">
        <f ca="1">TblConstr[[#This Row],[Mountain]]</f>
        <v>20</v>
      </c>
      <c r="G77" s="485">
        <f ca="1">TblConstr[[#This Row],[Hill]]</f>
        <v>20</v>
      </c>
      <c r="H77" s="489">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44346.04166666649</v>
      </c>
      <c r="AB77" s="113">
        <f ca="1">TblMili[[#This Row],[Draftees]]</f>
        <v>646</v>
      </c>
      <c r="AC77" s="113">
        <f ca="1">TblProd[[#This Row],[Platinum]]</f>
        <v>501260</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161</v>
      </c>
    </row>
    <row r="78" spans="1:37" s="49" customFormat="1" x14ac:dyDescent="0.2">
      <c r="A78" s="228">
        <f>TblRezone[[#This Row],[Hour]]</f>
        <v>75</v>
      </c>
      <c r="B78" s="280">
        <f ca="1">TblConstr[[#This Row],[Land]]</f>
        <v>250</v>
      </c>
      <c r="C78" s="281"/>
      <c r="D78" s="282">
        <f ca="1">TblConstr[[#This Row],[Plain]]</f>
        <v>39</v>
      </c>
      <c r="E78" s="236">
        <f ca="1">TblConstr[[#This Row],[Forest]]</f>
        <v>20</v>
      </c>
      <c r="F78" s="481">
        <f ca="1">TblConstr[[#This Row],[Mountain]]</f>
        <v>20</v>
      </c>
      <c r="G78" s="485">
        <f ca="1">TblConstr[[#This Row],[Hill]]</f>
        <v>20</v>
      </c>
      <c r="H78" s="489">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44346.083333333154</v>
      </c>
      <c r="AB78" s="113">
        <f ca="1">TblMili[[#This Row],[Draftees]]</f>
        <v>646</v>
      </c>
      <c r="AC78" s="113">
        <f ca="1">TblProd[[#This Row],[Platinum]]</f>
        <v>506759</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161</v>
      </c>
    </row>
    <row r="79" spans="1:37" s="49" customFormat="1" x14ac:dyDescent="0.2">
      <c r="A79" s="228">
        <f>TblRezone[[#This Row],[Hour]]</f>
        <v>76</v>
      </c>
      <c r="B79" s="280">
        <f ca="1">TblConstr[[#This Row],[Land]]</f>
        <v>250</v>
      </c>
      <c r="C79" s="281"/>
      <c r="D79" s="282">
        <f ca="1">TblConstr[[#This Row],[Plain]]</f>
        <v>39</v>
      </c>
      <c r="E79" s="236">
        <f ca="1">TblConstr[[#This Row],[Forest]]</f>
        <v>20</v>
      </c>
      <c r="F79" s="481">
        <f ca="1">TblConstr[[#This Row],[Mountain]]</f>
        <v>20</v>
      </c>
      <c r="G79" s="485">
        <f ca="1">TblConstr[[#This Row],[Hill]]</f>
        <v>20</v>
      </c>
      <c r="H79" s="489">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44346.124999999818</v>
      </c>
      <c r="AB79" s="113">
        <f ca="1">TblMili[[#This Row],[Draftees]]</f>
        <v>646</v>
      </c>
      <c r="AC79" s="113">
        <f ca="1">TblProd[[#This Row],[Platinum]]</f>
        <v>512258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161</v>
      </c>
    </row>
    <row r="80" spans="1:37" s="49" customFormat="1" x14ac:dyDescent="0.2">
      <c r="A80" s="228">
        <f>TblRezone[[#This Row],[Hour]]</f>
        <v>77</v>
      </c>
      <c r="B80" s="280">
        <f ca="1">TblConstr[[#This Row],[Land]]</f>
        <v>250</v>
      </c>
      <c r="C80" s="281"/>
      <c r="D80" s="282">
        <f ca="1">TblConstr[[#This Row],[Plain]]</f>
        <v>39</v>
      </c>
      <c r="E80" s="236">
        <f ca="1">TblConstr[[#This Row],[Forest]]</f>
        <v>20</v>
      </c>
      <c r="F80" s="481">
        <f ca="1">TblConstr[[#This Row],[Mountain]]</f>
        <v>20</v>
      </c>
      <c r="G80" s="485">
        <f ca="1">TblConstr[[#This Row],[Hill]]</f>
        <v>20</v>
      </c>
      <c r="H80" s="489">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44346.166666666482</v>
      </c>
      <c r="AB80" s="113">
        <f ca="1">TblMili[[#This Row],[Draftees]]</f>
        <v>646</v>
      </c>
      <c r="AC80" s="113">
        <f ca="1">TblProd[[#This Row],[Platinum]]</f>
        <v>517757</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161</v>
      </c>
    </row>
    <row r="81" spans="1:36" s="49" customFormat="1" x14ac:dyDescent="0.2">
      <c r="A81" s="228">
        <f>TblRezone[[#This Row],[Hour]]</f>
        <v>78</v>
      </c>
      <c r="B81" s="280">
        <f ca="1">TblConstr[[#This Row],[Land]]</f>
        <v>250</v>
      </c>
      <c r="C81" s="281"/>
      <c r="D81" s="282">
        <f ca="1">TblConstr[[#This Row],[Plain]]</f>
        <v>39</v>
      </c>
      <c r="E81" s="236">
        <f ca="1">TblConstr[[#This Row],[Forest]]</f>
        <v>20</v>
      </c>
      <c r="F81" s="481">
        <f ca="1">TblConstr[[#This Row],[Mountain]]</f>
        <v>20</v>
      </c>
      <c r="G81" s="485">
        <f ca="1">TblConstr[[#This Row],[Hill]]</f>
        <v>20</v>
      </c>
      <c r="H81" s="489">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44346.208333333147</v>
      </c>
      <c r="AB81" s="113">
        <f ca="1">TblMili[[#This Row],[Draftees]]</f>
        <v>646</v>
      </c>
      <c r="AC81" s="113">
        <f ca="1">TblProd[[#This Row],[Platinum]]</f>
        <v>523256</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161</v>
      </c>
    </row>
    <row r="82" spans="1:36" s="49" customFormat="1" x14ac:dyDescent="0.2">
      <c r="A82" s="228">
        <f>TblRezone[[#This Row],[Hour]]</f>
        <v>79</v>
      </c>
      <c r="B82" s="280">
        <f ca="1">TblConstr[[#This Row],[Land]]</f>
        <v>250</v>
      </c>
      <c r="C82" s="281"/>
      <c r="D82" s="282">
        <f ca="1">TblConstr[[#This Row],[Plain]]</f>
        <v>39</v>
      </c>
      <c r="E82" s="236">
        <f ca="1">TblConstr[[#This Row],[Forest]]</f>
        <v>20</v>
      </c>
      <c r="F82" s="481">
        <f ca="1">TblConstr[[#This Row],[Mountain]]</f>
        <v>20</v>
      </c>
      <c r="G82" s="485">
        <f ca="1">TblConstr[[#This Row],[Hill]]</f>
        <v>20</v>
      </c>
      <c r="H82" s="489">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44346.249999999811</v>
      </c>
      <c r="AB82" s="113">
        <f ca="1">TblMili[[#This Row],[Draftees]]</f>
        <v>646</v>
      </c>
      <c r="AC82" s="113">
        <f ca="1">TblProd[[#This Row],[Platinum]]</f>
        <v>528755</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161</v>
      </c>
    </row>
    <row r="83" spans="1:36" s="49" customFormat="1" x14ac:dyDescent="0.2">
      <c r="A83" s="228">
        <f>TblRezone[[#This Row],[Hour]]</f>
        <v>80</v>
      </c>
      <c r="B83" s="280">
        <f ca="1">TblConstr[[#This Row],[Land]]</f>
        <v>250</v>
      </c>
      <c r="C83" s="281"/>
      <c r="D83" s="282">
        <f ca="1">TblConstr[[#This Row],[Plain]]</f>
        <v>39</v>
      </c>
      <c r="E83" s="236">
        <f ca="1">TblConstr[[#This Row],[Forest]]</f>
        <v>20</v>
      </c>
      <c r="F83" s="481">
        <f ca="1">TblConstr[[#This Row],[Mountain]]</f>
        <v>20</v>
      </c>
      <c r="G83" s="485">
        <f ca="1">TblConstr[[#This Row],[Hill]]</f>
        <v>20</v>
      </c>
      <c r="H83" s="489">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44346.291666666475</v>
      </c>
      <c r="AB83" s="113">
        <f ca="1">TblMili[[#This Row],[Draftees]]</f>
        <v>646</v>
      </c>
      <c r="AC83" s="113">
        <f ca="1">TblProd[[#This Row],[Platinum]]</f>
        <v>534254</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161</v>
      </c>
    </row>
    <row r="84" spans="1:36" s="49" customFormat="1" x14ac:dyDescent="0.2">
      <c r="A84" s="228">
        <f>TblRezone[[#This Row],[Hour]]</f>
        <v>81</v>
      </c>
      <c r="B84" s="280">
        <f ca="1">TblConstr[[#This Row],[Land]]</f>
        <v>250</v>
      </c>
      <c r="C84" s="281"/>
      <c r="D84" s="282">
        <f ca="1">TblConstr[[#This Row],[Plain]]</f>
        <v>39</v>
      </c>
      <c r="E84" s="236">
        <f ca="1">TblConstr[[#This Row],[Forest]]</f>
        <v>20</v>
      </c>
      <c r="F84" s="481">
        <f ca="1">TblConstr[[#This Row],[Mountain]]</f>
        <v>20</v>
      </c>
      <c r="G84" s="485">
        <f ca="1">TblConstr[[#This Row],[Hill]]</f>
        <v>20</v>
      </c>
      <c r="H84" s="489">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44346.333333333139</v>
      </c>
      <c r="AB84" s="113">
        <f ca="1">TblMili[[#This Row],[Draftees]]</f>
        <v>646</v>
      </c>
      <c r="AC84" s="113">
        <f ca="1">TblProd[[#This Row],[Platinum]]</f>
        <v>539753</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161</v>
      </c>
    </row>
    <row r="85" spans="1:36" s="49" customFormat="1" x14ac:dyDescent="0.2">
      <c r="A85" s="228">
        <f>TblRezone[[#This Row],[Hour]]</f>
        <v>82</v>
      </c>
      <c r="B85" s="280">
        <f ca="1">TblConstr[[#This Row],[Land]]</f>
        <v>250</v>
      </c>
      <c r="C85" s="281"/>
      <c r="D85" s="282">
        <f ca="1">TblConstr[[#This Row],[Plain]]</f>
        <v>39</v>
      </c>
      <c r="E85" s="236">
        <f ca="1">TblConstr[[#This Row],[Forest]]</f>
        <v>20</v>
      </c>
      <c r="F85" s="481">
        <f ca="1">TblConstr[[#This Row],[Mountain]]</f>
        <v>20</v>
      </c>
      <c r="G85" s="485">
        <f ca="1">TblConstr[[#This Row],[Hill]]</f>
        <v>20</v>
      </c>
      <c r="H85" s="489">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44346.374999999804</v>
      </c>
      <c r="AB85" s="113">
        <f ca="1">TblMili[[#This Row],[Draftees]]</f>
        <v>646</v>
      </c>
      <c r="AC85" s="113">
        <f ca="1">TblProd[[#This Row],[Platinum]]</f>
        <v>545252</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161</v>
      </c>
    </row>
    <row r="86" spans="1:36" s="49" customFormat="1" x14ac:dyDescent="0.2">
      <c r="A86" s="228">
        <f>TblRezone[[#This Row],[Hour]]</f>
        <v>83</v>
      </c>
      <c r="B86" s="280">
        <f ca="1">TblConstr[[#This Row],[Land]]</f>
        <v>250</v>
      </c>
      <c r="C86" s="281"/>
      <c r="D86" s="282">
        <f ca="1">TblConstr[[#This Row],[Plain]]</f>
        <v>39</v>
      </c>
      <c r="E86" s="236">
        <f ca="1">TblConstr[[#This Row],[Forest]]</f>
        <v>20</v>
      </c>
      <c r="F86" s="481">
        <f ca="1">TblConstr[[#This Row],[Mountain]]</f>
        <v>20</v>
      </c>
      <c r="G86" s="485">
        <f ca="1">TblConstr[[#This Row],[Hill]]</f>
        <v>20</v>
      </c>
      <c r="H86" s="489">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44346.416666666468</v>
      </c>
      <c r="AB86" s="113">
        <f ca="1">TblMili[[#This Row],[Draftees]]</f>
        <v>646</v>
      </c>
      <c r="AC86" s="113">
        <f ca="1">TblProd[[#This Row],[Platinum]]</f>
        <v>550751</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161</v>
      </c>
    </row>
    <row r="87" spans="1:36" s="49" customFormat="1" x14ac:dyDescent="0.2">
      <c r="A87" s="228">
        <f>TblRezone[[#This Row],[Hour]]</f>
        <v>84</v>
      </c>
      <c r="B87" s="280">
        <f ca="1">TblConstr[[#This Row],[Land]]</f>
        <v>250</v>
      </c>
      <c r="C87" s="281"/>
      <c r="D87" s="282">
        <f ca="1">TblConstr[[#This Row],[Plain]]</f>
        <v>39</v>
      </c>
      <c r="E87" s="236">
        <f ca="1">TblConstr[[#This Row],[Forest]]</f>
        <v>20</v>
      </c>
      <c r="F87" s="481">
        <f ca="1">TblConstr[[#This Row],[Mountain]]</f>
        <v>20</v>
      </c>
      <c r="G87" s="485">
        <f ca="1">TblConstr[[#This Row],[Hill]]</f>
        <v>20</v>
      </c>
      <c r="H87" s="489">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44346.458333333132</v>
      </c>
      <c r="AB87" s="113">
        <f ca="1">TblMili[[#This Row],[Draftees]]</f>
        <v>646</v>
      </c>
      <c r="AC87" s="113">
        <f ca="1">TblProd[[#This Row],[Platinum]]</f>
        <v>556250</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161</v>
      </c>
    </row>
    <row r="88" spans="1:36" s="49" customFormat="1" x14ac:dyDescent="0.2">
      <c r="A88" s="228">
        <f>TblRezone[[#This Row],[Hour]]</f>
        <v>85</v>
      </c>
      <c r="B88" s="280">
        <f ca="1">TblConstr[[#This Row],[Land]]</f>
        <v>250</v>
      </c>
      <c r="C88" s="281"/>
      <c r="D88" s="282">
        <f ca="1">TblConstr[[#This Row],[Plain]]</f>
        <v>39</v>
      </c>
      <c r="E88" s="236">
        <f ca="1">TblConstr[[#This Row],[Forest]]</f>
        <v>20</v>
      </c>
      <c r="F88" s="481">
        <f ca="1">TblConstr[[#This Row],[Mountain]]</f>
        <v>20</v>
      </c>
      <c r="G88" s="485">
        <f ca="1">TblConstr[[#This Row],[Hill]]</f>
        <v>20</v>
      </c>
      <c r="H88" s="489">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44346.499999999796</v>
      </c>
      <c r="AB88" s="113">
        <f ca="1">TblMili[[#This Row],[Draftees]]</f>
        <v>646</v>
      </c>
      <c r="AC88" s="113">
        <f ca="1">TblProd[[#This Row],[Platinum]]</f>
        <v>561749</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161</v>
      </c>
    </row>
    <row r="89" spans="1:36" s="49" customFormat="1" x14ac:dyDescent="0.2">
      <c r="A89" s="228">
        <f>TblRezone[[#This Row],[Hour]]</f>
        <v>86</v>
      </c>
      <c r="B89" s="280">
        <f ca="1">TblConstr[[#This Row],[Land]]</f>
        <v>250</v>
      </c>
      <c r="C89" s="281"/>
      <c r="D89" s="282">
        <f ca="1">TblConstr[[#This Row],[Plain]]</f>
        <v>39</v>
      </c>
      <c r="E89" s="236">
        <f ca="1">TblConstr[[#This Row],[Forest]]</f>
        <v>20</v>
      </c>
      <c r="F89" s="481">
        <f ca="1">TblConstr[[#This Row],[Mountain]]</f>
        <v>20</v>
      </c>
      <c r="G89" s="485">
        <f ca="1">TblConstr[[#This Row],[Hill]]</f>
        <v>20</v>
      </c>
      <c r="H89" s="489">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44346.541666666461</v>
      </c>
      <c r="AB89" s="113">
        <f ca="1">TblMili[[#This Row],[Draftees]]</f>
        <v>646</v>
      </c>
      <c r="AC89" s="113">
        <f ca="1">TblProd[[#This Row],[Platinum]]</f>
        <v>567248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161</v>
      </c>
    </row>
    <row r="90" spans="1:36" s="49" customFormat="1" x14ac:dyDescent="0.2">
      <c r="A90" s="228">
        <f>TblRezone[[#This Row],[Hour]]</f>
        <v>87</v>
      </c>
      <c r="B90" s="280">
        <f ca="1">TblConstr[[#This Row],[Land]]</f>
        <v>250</v>
      </c>
      <c r="C90" s="281"/>
      <c r="D90" s="282">
        <f ca="1">TblConstr[[#This Row],[Plain]]</f>
        <v>39</v>
      </c>
      <c r="E90" s="236">
        <f ca="1">TblConstr[[#This Row],[Forest]]</f>
        <v>20</v>
      </c>
      <c r="F90" s="481">
        <f ca="1">TblConstr[[#This Row],[Mountain]]</f>
        <v>20</v>
      </c>
      <c r="G90" s="485">
        <f ca="1">TblConstr[[#This Row],[Hill]]</f>
        <v>20</v>
      </c>
      <c r="H90" s="489">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44346.583333333125</v>
      </c>
      <c r="AB90" s="113">
        <f ca="1">TblMili[[#This Row],[Draftees]]</f>
        <v>646</v>
      </c>
      <c r="AC90" s="113">
        <f ca="1">TblProd[[#This Row],[Platinum]]</f>
        <v>572747</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161</v>
      </c>
    </row>
    <row r="91" spans="1:36" s="49" customFormat="1" x14ac:dyDescent="0.2">
      <c r="A91" s="228">
        <f>TblRezone[[#This Row],[Hour]]</f>
        <v>88</v>
      </c>
      <c r="B91" s="280">
        <f ca="1">TblConstr[[#This Row],[Land]]</f>
        <v>250</v>
      </c>
      <c r="C91" s="281"/>
      <c r="D91" s="282">
        <f ca="1">TblConstr[[#This Row],[Plain]]</f>
        <v>39</v>
      </c>
      <c r="E91" s="236">
        <f ca="1">TblConstr[[#This Row],[Forest]]</f>
        <v>20</v>
      </c>
      <c r="F91" s="481">
        <f ca="1">TblConstr[[#This Row],[Mountain]]</f>
        <v>20</v>
      </c>
      <c r="G91" s="485">
        <f ca="1">TblConstr[[#This Row],[Hill]]</f>
        <v>20</v>
      </c>
      <c r="H91" s="489">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44346.624999999789</v>
      </c>
      <c r="AB91" s="113">
        <f ca="1">TblMili[[#This Row],[Draftees]]</f>
        <v>646</v>
      </c>
      <c r="AC91" s="113">
        <f ca="1">TblProd[[#This Row],[Platinum]]</f>
        <v>578246</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161</v>
      </c>
    </row>
    <row r="92" spans="1:36" s="49" customFormat="1" x14ac:dyDescent="0.2">
      <c r="A92" s="228">
        <f>TblRezone[[#This Row],[Hour]]</f>
        <v>89</v>
      </c>
      <c r="B92" s="280">
        <f ca="1">TblConstr[[#This Row],[Land]]</f>
        <v>250</v>
      </c>
      <c r="C92" s="281"/>
      <c r="D92" s="282">
        <f ca="1">TblConstr[[#This Row],[Plain]]</f>
        <v>39</v>
      </c>
      <c r="E92" s="236">
        <f ca="1">TblConstr[[#This Row],[Forest]]</f>
        <v>20</v>
      </c>
      <c r="F92" s="481">
        <f ca="1">TblConstr[[#This Row],[Mountain]]</f>
        <v>20</v>
      </c>
      <c r="G92" s="485">
        <f ca="1">TblConstr[[#This Row],[Hill]]</f>
        <v>20</v>
      </c>
      <c r="H92" s="489">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44346.666666666453</v>
      </c>
      <c r="AB92" s="113">
        <f ca="1">TblMili[[#This Row],[Draftees]]</f>
        <v>646</v>
      </c>
      <c r="AC92" s="113">
        <f ca="1">TblProd[[#This Row],[Platinum]]</f>
        <v>583745</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161</v>
      </c>
    </row>
    <row r="93" spans="1:36" s="49" customFormat="1" x14ac:dyDescent="0.2">
      <c r="A93" s="228">
        <f>TblRezone[[#This Row],[Hour]]</f>
        <v>90</v>
      </c>
      <c r="B93" s="280">
        <f ca="1">TblConstr[[#This Row],[Land]]</f>
        <v>250</v>
      </c>
      <c r="C93" s="281"/>
      <c r="D93" s="282">
        <f ca="1">TblConstr[[#This Row],[Plain]]</f>
        <v>39</v>
      </c>
      <c r="E93" s="236">
        <f ca="1">TblConstr[[#This Row],[Forest]]</f>
        <v>20</v>
      </c>
      <c r="F93" s="481">
        <f ca="1">TblConstr[[#This Row],[Mountain]]</f>
        <v>20</v>
      </c>
      <c r="G93" s="485">
        <f ca="1">TblConstr[[#This Row],[Hill]]</f>
        <v>20</v>
      </c>
      <c r="H93" s="489">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44346.708333333117</v>
      </c>
      <c r="AB93" s="113">
        <f ca="1">TblMili[[#This Row],[Draftees]]</f>
        <v>646</v>
      </c>
      <c r="AC93" s="113">
        <f ca="1">TblProd[[#This Row],[Platinum]]</f>
        <v>589244</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161</v>
      </c>
    </row>
    <row r="94" spans="1:36" s="49" customFormat="1" x14ac:dyDescent="0.2">
      <c r="A94" s="228">
        <f>TblRezone[[#This Row],[Hour]]</f>
        <v>91</v>
      </c>
      <c r="B94" s="280">
        <f ca="1">TblConstr[[#This Row],[Land]]</f>
        <v>250</v>
      </c>
      <c r="C94" s="281"/>
      <c r="D94" s="282">
        <f ca="1">TblConstr[[#This Row],[Plain]]</f>
        <v>39</v>
      </c>
      <c r="E94" s="236">
        <f ca="1">TblConstr[[#This Row],[Forest]]</f>
        <v>20</v>
      </c>
      <c r="F94" s="481">
        <f ca="1">TblConstr[[#This Row],[Mountain]]</f>
        <v>20</v>
      </c>
      <c r="G94" s="485">
        <f ca="1">TblConstr[[#This Row],[Hill]]</f>
        <v>20</v>
      </c>
      <c r="H94" s="489">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44346.749999999782</v>
      </c>
      <c r="AB94" s="113">
        <f ca="1">TblMili[[#This Row],[Draftees]]</f>
        <v>646</v>
      </c>
      <c r="AC94" s="113">
        <f ca="1">TblProd[[#This Row],[Platinum]]</f>
        <v>594743</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161</v>
      </c>
    </row>
    <row r="95" spans="1:36" s="49" customFormat="1" x14ac:dyDescent="0.2">
      <c r="A95" s="228">
        <f>TblRezone[[#This Row],[Hour]]</f>
        <v>92</v>
      </c>
      <c r="B95" s="280">
        <f ca="1">TblConstr[[#This Row],[Land]]</f>
        <v>250</v>
      </c>
      <c r="C95" s="281"/>
      <c r="D95" s="282">
        <f ca="1">TblConstr[[#This Row],[Plain]]</f>
        <v>39</v>
      </c>
      <c r="E95" s="236">
        <f ca="1">TblConstr[[#This Row],[Forest]]</f>
        <v>20</v>
      </c>
      <c r="F95" s="481">
        <f ca="1">TblConstr[[#This Row],[Mountain]]</f>
        <v>20</v>
      </c>
      <c r="G95" s="485">
        <f ca="1">TblConstr[[#This Row],[Hill]]</f>
        <v>20</v>
      </c>
      <c r="H95" s="489">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44346.791666666446</v>
      </c>
      <c r="AB95" s="113">
        <f ca="1">TblMili[[#This Row],[Draftees]]</f>
        <v>646</v>
      </c>
      <c r="AC95" s="113">
        <f ca="1">TblProd[[#This Row],[Platinum]]</f>
        <v>600242</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161</v>
      </c>
    </row>
    <row r="96" spans="1:36" s="49" customFormat="1" x14ac:dyDescent="0.2">
      <c r="A96" s="228">
        <f>TblRezone[[#This Row],[Hour]]</f>
        <v>93</v>
      </c>
      <c r="B96" s="280">
        <f ca="1">TblConstr[[#This Row],[Land]]</f>
        <v>250</v>
      </c>
      <c r="C96" s="281"/>
      <c r="D96" s="282">
        <f ca="1">TblConstr[[#This Row],[Plain]]</f>
        <v>39</v>
      </c>
      <c r="E96" s="236">
        <f ca="1">TblConstr[[#This Row],[Forest]]</f>
        <v>20</v>
      </c>
      <c r="F96" s="481">
        <f ca="1">TblConstr[[#This Row],[Mountain]]</f>
        <v>20</v>
      </c>
      <c r="G96" s="485">
        <f ca="1">TblConstr[[#This Row],[Hill]]</f>
        <v>20</v>
      </c>
      <c r="H96" s="489">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44346.83333333311</v>
      </c>
      <c r="AB96" s="113">
        <f ca="1">TblMili[[#This Row],[Draftees]]</f>
        <v>646</v>
      </c>
      <c r="AC96" s="113">
        <f ca="1">TblProd[[#This Row],[Platinum]]</f>
        <v>605741</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161</v>
      </c>
    </row>
    <row r="97" spans="1:36" s="49" customFormat="1" x14ac:dyDescent="0.2">
      <c r="A97" s="228">
        <f>TblRezone[[#This Row],[Hour]]</f>
        <v>94</v>
      </c>
      <c r="B97" s="280">
        <f ca="1">TblConstr[[#This Row],[Land]]</f>
        <v>250</v>
      </c>
      <c r="C97" s="281"/>
      <c r="D97" s="282">
        <f ca="1">TblConstr[[#This Row],[Plain]]</f>
        <v>39</v>
      </c>
      <c r="E97" s="236">
        <f ca="1">TblConstr[[#This Row],[Forest]]</f>
        <v>20</v>
      </c>
      <c r="F97" s="481">
        <f ca="1">TblConstr[[#This Row],[Mountain]]</f>
        <v>20</v>
      </c>
      <c r="G97" s="485">
        <f ca="1">TblConstr[[#This Row],[Hill]]</f>
        <v>20</v>
      </c>
      <c r="H97" s="489">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44346.874999999774</v>
      </c>
      <c r="AB97" s="113">
        <f ca="1">TblMili[[#This Row],[Draftees]]</f>
        <v>646</v>
      </c>
      <c r="AC97" s="113">
        <f ca="1">TblProd[[#This Row],[Platinum]]</f>
        <v>611240</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161</v>
      </c>
    </row>
    <row r="98" spans="1:36" s="49" customFormat="1" x14ac:dyDescent="0.2">
      <c r="A98" s="228">
        <f>TblRezone[[#This Row],[Hour]]</f>
        <v>95</v>
      </c>
      <c r="B98" s="280">
        <f ca="1">TblConstr[[#This Row],[Land]]</f>
        <v>250</v>
      </c>
      <c r="C98" s="281"/>
      <c r="D98" s="282">
        <f ca="1">TblConstr[[#This Row],[Plain]]</f>
        <v>39</v>
      </c>
      <c r="E98" s="236">
        <f ca="1">TblConstr[[#This Row],[Forest]]</f>
        <v>20</v>
      </c>
      <c r="F98" s="481">
        <f ca="1">TblConstr[[#This Row],[Mountain]]</f>
        <v>20</v>
      </c>
      <c r="G98" s="485">
        <f ca="1">TblConstr[[#This Row],[Hill]]</f>
        <v>20</v>
      </c>
      <c r="H98" s="489">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44346.916666666439</v>
      </c>
      <c r="AB98" s="113">
        <f ca="1">TblMili[[#This Row],[Draftees]]</f>
        <v>646</v>
      </c>
      <c r="AC98" s="113">
        <f ca="1">TblProd[[#This Row],[Platinum]]</f>
        <v>616739</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161</v>
      </c>
    </row>
    <row r="99" spans="1:36" s="49" customFormat="1" x14ac:dyDescent="0.2">
      <c r="A99" s="228">
        <f>TblRezone[[#This Row],[Hour]]</f>
        <v>96</v>
      </c>
      <c r="B99" s="280">
        <f ca="1">TblConstr[[#This Row],[Land]]</f>
        <v>250</v>
      </c>
      <c r="C99" s="281"/>
      <c r="D99" s="282">
        <f ca="1">TblConstr[[#This Row],[Plain]]</f>
        <v>39</v>
      </c>
      <c r="E99" s="236">
        <f ca="1">TblConstr[[#This Row],[Forest]]</f>
        <v>20</v>
      </c>
      <c r="F99" s="481">
        <f ca="1">TblConstr[[#This Row],[Mountain]]</f>
        <v>20</v>
      </c>
      <c r="G99" s="485">
        <f ca="1">TblConstr[[#This Row],[Hill]]</f>
        <v>20</v>
      </c>
      <c r="H99" s="489">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44346.958333333103</v>
      </c>
      <c r="AB99" s="113">
        <f ca="1">TblMili[[#This Row],[Draftees]]</f>
        <v>646</v>
      </c>
      <c r="AC99" s="113">
        <f ca="1">TblProd[[#This Row],[Platinum]]</f>
        <v>622238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161</v>
      </c>
    </row>
    <row r="100" spans="1:36" s="49" customFormat="1" x14ac:dyDescent="0.2">
      <c r="A100" s="228">
        <f>TblRezone[[#This Row],[Hour]]</f>
        <v>97</v>
      </c>
      <c r="B100" s="280">
        <f ca="1">TblConstr[[#This Row],[Land]]</f>
        <v>250</v>
      </c>
      <c r="C100" s="281"/>
      <c r="D100" s="282">
        <f ca="1">TblConstr[[#This Row],[Plain]]</f>
        <v>39</v>
      </c>
      <c r="E100" s="236">
        <f ca="1">TblConstr[[#This Row],[Forest]]</f>
        <v>20</v>
      </c>
      <c r="F100" s="481">
        <f ca="1">TblConstr[[#This Row],[Mountain]]</f>
        <v>20</v>
      </c>
      <c r="G100" s="485">
        <f ca="1">TblConstr[[#This Row],[Hill]]</f>
        <v>20</v>
      </c>
      <c r="H100" s="489">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44346.999999999767</v>
      </c>
      <c r="AB100" s="113">
        <f ca="1">TblMili[[#This Row],[Draftees]]</f>
        <v>646</v>
      </c>
      <c r="AC100" s="113">
        <f ca="1">TblProd[[#This Row],[Platinum]]</f>
        <v>627737</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161</v>
      </c>
    </row>
    <row r="101" spans="1:36" s="49" customFormat="1" x14ac:dyDescent="0.2">
      <c r="A101" s="228">
        <f>TblRezone[[#This Row],[Hour]]</f>
        <v>98</v>
      </c>
      <c r="B101" s="280">
        <f ca="1">TblConstr[[#This Row],[Land]]</f>
        <v>250</v>
      </c>
      <c r="C101" s="281"/>
      <c r="D101" s="282">
        <f ca="1">TblConstr[[#This Row],[Plain]]</f>
        <v>39</v>
      </c>
      <c r="E101" s="236">
        <f ca="1">TblConstr[[#This Row],[Forest]]</f>
        <v>20</v>
      </c>
      <c r="F101" s="481">
        <f ca="1">TblConstr[[#This Row],[Mountain]]</f>
        <v>20</v>
      </c>
      <c r="G101" s="485">
        <f ca="1">TblConstr[[#This Row],[Hill]]</f>
        <v>20</v>
      </c>
      <c r="H101" s="489">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44347.041666666431</v>
      </c>
      <c r="AB101" s="113">
        <f ca="1">TblMili[[#This Row],[Draftees]]</f>
        <v>646</v>
      </c>
      <c r="AC101" s="113">
        <f ca="1">TblProd[[#This Row],[Platinum]]</f>
        <v>633236</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161</v>
      </c>
    </row>
    <row r="102" spans="1:36" s="49" customFormat="1" x14ac:dyDescent="0.2">
      <c r="A102" s="228">
        <f>TblRezone[[#This Row],[Hour]]</f>
        <v>99</v>
      </c>
      <c r="B102" s="280">
        <f ca="1">TblConstr[[#This Row],[Land]]</f>
        <v>250</v>
      </c>
      <c r="C102" s="281"/>
      <c r="D102" s="282">
        <f ca="1">TblConstr[[#This Row],[Plain]]</f>
        <v>39</v>
      </c>
      <c r="E102" s="236">
        <f ca="1">TblConstr[[#This Row],[Forest]]</f>
        <v>20</v>
      </c>
      <c r="F102" s="481">
        <f ca="1">TblConstr[[#This Row],[Mountain]]</f>
        <v>20</v>
      </c>
      <c r="G102" s="485">
        <f ca="1">TblConstr[[#This Row],[Hill]]</f>
        <v>20</v>
      </c>
      <c r="H102" s="489">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44347.083333333096</v>
      </c>
      <c r="AB102" s="113">
        <f ca="1">TblMili[[#This Row],[Draftees]]</f>
        <v>646</v>
      </c>
      <c r="AC102" s="113">
        <f ca="1">TblProd[[#This Row],[Platinum]]</f>
        <v>638735</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161</v>
      </c>
    </row>
    <row r="103" spans="1:36" s="49" customFormat="1" x14ac:dyDescent="0.2">
      <c r="A103" s="228">
        <f>TblRezone[[#This Row],[Hour]]</f>
        <v>100</v>
      </c>
      <c r="B103" s="280">
        <f ca="1">TblConstr[[#This Row],[Land]]</f>
        <v>250</v>
      </c>
      <c r="C103" s="281"/>
      <c r="D103" s="282">
        <f ca="1">TblConstr[[#This Row],[Plain]]</f>
        <v>39</v>
      </c>
      <c r="E103" s="236">
        <f ca="1">TblConstr[[#This Row],[Forest]]</f>
        <v>20</v>
      </c>
      <c r="F103" s="481">
        <f ca="1">TblConstr[[#This Row],[Mountain]]</f>
        <v>20</v>
      </c>
      <c r="G103" s="485">
        <f ca="1">TblConstr[[#This Row],[Hill]]</f>
        <v>20</v>
      </c>
      <c r="H103" s="489">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44347.12499999976</v>
      </c>
      <c r="AB103" s="113">
        <f ca="1">TblMili[[#This Row],[Draftees]]</f>
        <v>646</v>
      </c>
      <c r="AC103" s="113">
        <f ca="1">TblProd[[#This Row],[Platinum]]</f>
        <v>644234</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161</v>
      </c>
    </row>
    <row r="104" spans="1:36" s="49" customFormat="1" x14ac:dyDescent="0.2">
      <c r="A104" s="228">
        <f>TblRezone[[#This Row],[Hour]]</f>
        <v>101</v>
      </c>
      <c r="B104" s="280">
        <f ca="1">TblConstr[[#This Row],[Land]]</f>
        <v>250</v>
      </c>
      <c r="C104" s="281"/>
      <c r="D104" s="282">
        <f ca="1">TblConstr[[#This Row],[Plain]]</f>
        <v>39</v>
      </c>
      <c r="E104" s="236">
        <f ca="1">TblConstr[[#This Row],[Forest]]</f>
        <v>20</v>
      </c>
      <c r="F104" s="481">
        <f ca="1">TblConstr[[#This Row],[Mountain]]</f>
        <v>20</v>
      </c>
      <c r="G104" s="485">
        <f ca="1">TblConstr[[#This Row],[Hill]]</f>
        <v>20</v>
      </c>
      <c r="H104" s="489">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44347.166666666424</v>
      </c>
      <c r="AB104" s="113">
        <f ca="1">TblMili[[#This Row],[Draftees]]</f>
        <v>646</v>
      </c>
      <c r="AC104" s="113">
        <f ca="1">TblProd[[#This Row],[Platinum]]</f>
        <v>649733</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161</v>
      </c>
    </row>
    <row r="105" spans="1:36" s="49" customFormat="1" x14ac:dyDescent="0.2">
      <c r="A105" s="228">
        <f>TblRezone[[#This Row],[Hour]]</f>
        <v>102</v>
      </c>
      <c r="B105" s="280">
        <f ca="1">TblConstr[[#This Row],[Land]]</f>
        <v>250</v>
      </c>
      <c r="C105" s="281"/>
      <c r="D105" s="282">
        <f ca="1">TblConstr[[#This Row],[Plain]]</f>
        <v>39</v>
      </c>
      <c r="E105" s="236">
        <f ca="1">TblConstr[[#This Row],[Forest]]</f>
        <v>20</v>
      </c>
      <c r="F105" s="481">
        <f ca="1">TblConstr[[#This Row],[Mountain]]</f>
        <v>20</v>
      </c>
      <c r="G105" s="485">
        <f ca="1">TblConstr[[#This Row],[Hill]]</f>
        <v>20</v>
      </c>
      <c r="H105" s="489">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44347.208333333088</v>
      </c>
      <c r="AB105" s="113">
        <f ca="1">TblMili[[#This Row],[Draftees]]</f>
        <v>646</v>
      </c>
      <c r="AC105" s="113">
        <f ca="1">TblProd[[#This Row],[Platinum]]</f>
        <v>655232</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161</v>
      </c>
    </row>
    <row r="106" spans="1:36" s="49" customFormat="1" x14ac:dyDescent="0.2">
      <c r="A106" s="228">
        <f>TblRezone[[#This Row],[Hour]]</f>
        <v>103</v>
      </c>
      <c r="B106" s="280">
        <f ca="1">TblConstr[[#This Row],[Land]]</f>
        <v>250</v>
      </c>
      <c r="C106" s="281"/>
      <c r="D106" s="282">
        <f ca="1">TblConstr[[#This Row],[Plain]]</f>
        <v>39</v>
      </c>
      <c r="E106" s="236">
        <f ca="1">TblConstr[[#This Row],[Forest]]</f>
        <v>20</v>
      </c>
      <c r="F106" s="481">
        <f ca="1">TblConstr[[#This Row],[Mountain]]</f>
        <v>20</v>
      </c>
      <c r="G106" s="485">
        <f ca="1">TblConstr[[#This Row],[Hill]]</f>
        <v>20</v>
      </c>
      <c r="H106" s="489">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44347.249999999753</v>
      </c>
      <c r="AB106" s="113">
        <f ca="1">TblMili[[#This Row],[Draftees]]</f>
        <v>646</v>
      </c>
      <c r="AC106" s="113">
        <f ca="1">TblProd[[#This Row],[Platinum]]</f>
        <v>660731</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161</v>
      </c>
    </row>
    <row r="107" spans="1:36" s="49" customFormat="1" x14ac:dyDescent="0.2">
      <c r="A107" s="228">
        <f>TblRezone[[#This Row],[Hour]]</f>
        <v>104</v>
      </c>
      <c r="B107" s="280">
        <f ca="1">TblConstr[[#This Row],[Land]]</f>
        <v>250</v>
      </c>
      <c r="C107" s="281"/>
      <c r="D107" s="282">
        <f ca="1">TblConstr[[#This Row],[Plain]]</f>
        <v>39</v>
      </c>
      <c r="E107" s="236">
        <f ca="1">TblConstr[[#This Row],[Forest]]</f>
        <v>20</v>
      </c>
      <c r="F107" s="481">
        <f ca="1">TblConstr[[#This Row],[Mountain]]</f>
        <v>20</v>
      </c>
      <c r="G107" s="485">
        <f ca="1">TblConstr[[#This Row],[Hill]]</f>
        <v>20</v>
      </c>
      <c r="H107" s="489">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44347.291666666417</v>
      </c>
      <c r="AB107" s="113">
        <f ca="1">TblMili[[#This Row],[Draftees]]</f>
        <v>646</v>
      </c>
      <c r="AC107" s="113">
        <f ca="1">TblProd[[#This Row],[Platinum]]</f>
        <v>666230</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161</v>
      </c>
    </row>
    <row r="108" spans="1:36" s="49" customFormat="1" x14ac:dyDescent="0.2">
      <c r="A108" s="228">
        <f>TblRezone[[#This Row],[Hour]]</f>
        <v>105</v>
      </c>
      <c r="B108" s="280">
        <f ca="1">TblConstr[[#This Row],[Land]]</f>
        <v>250</v>
      </c>
      <c r="C108" s="281"/>
      <c r="D108" s="282">
        <f ca="1">TblConstr[[#This Row],[Plain]]</f>
        <v>39</v>
      </c>
      <c r="E108" s="236">
        <f ca="1">TblConstr[[#This Row],[Forest]]</f>
        <v>20</v>
      </c>
      <c r="F108" s="481">
        <f ca="1">TblConstr[[#This Row],[Mountain]]</f>
        <v>20</v>
      </c>
      <c r="G108" s="485">
        <f ca="1">TblConstr[[#This Row],[Hill]]</f>
        <v>20</v>
      </c>
      <c r="H108" s="489">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44347.333333333081</v>
      </c>
      <c r="AB108" s="113">
        <f ca="1">TblMili[[#This Row],[Draftees]]</f>
        <v>646</v>
      </c>
      <c r="AC108" s="113">
        <f ca="1">TblProd[[#This Row],[Platinum]]</f>
        <v>671729</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161</v>
      </c>
    </row>
    <row r="109" spans="1:36" s="49" customFormat="1" x14ac:dyDescent="0.2">
      <c r="A109" s="228">
        <f>TblRezone[[#This Row],[Hour]]</f>
        <v>106</v>
      </c>
      <c r="B109" s="280">
        <f ca="1">TblConstr[[#This Row],[Land]]</f>
        <v>250</v>
      </c>
      <c r="C109" s="281"/>
      <c r="D109" s="282">
        <f ca="1">TblConstr[[#This Row],[Plain]]</f>
        <v>39</v>
      </c>
      <c r="E109" s="236">
        <f ca="1">TblConstr[[#This Row],[Forest]]</f>
        <v>20</v>
      </c>
      <c r="F109" s="481">
        <f ca="1">TblConstr[[#This Row],[Mountain]]</f>
        <v>20</v>
      </c>
      <c r="G109" s="485">
        <f ca="1">TblConstr[[#This Row],[Hill]]</f>
        <v>20</v>
      </c>
      <c r="H109" s="489">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44347.374999999745</v>
      </c>
      <c r="AB109" s="113">
        <f ca="1">TblMili[[#This Row],[Draftees]]</f>
        <v>646</v>
      </c>
      <c r="AC109" s="113">
        <f ca="1">TblProd[[#This Row],[Platinum]]</f>
        <v>677228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161</v>
      </c>
    </row>
    <row r="110" spans="1:36" s="49" customFormat="1" x14ac:dyDescent="0.2">
      <c r="A110" s="228">
        <f>TblRezone[[#This Row],[Hour]]</f>
        <v>107</v>
      </c>
      <c r="B110" s="280">
        <f ca="1">TblConstr[[#This Row],[Land]]</f>
        <v>250</v>
      </c>
      <c r="C110" s="281"/>
      <c r="D110" s="282">
        <f ca="1">TblConstr[[#This Row],[Plain]]</f>
        <v>39</v>
      </c>
      <c r="E110" s="236">
        <f ca="1">TblConstr[[#This Row],[Forest]]</f>
        <v>20</v>
      </c>
      <c r="F110" s="481">
        <f ca="1">TblConstr[[#This Row],[Mountain]]</f>
        <v>20</v>
      </c>
      <c r="G110" s="485">
        <f ca="1">TblConstr[[#This Row],[Hill]]</f>
        <v>20</v>
      </c>
      <c r="H110" s="489">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44347.41666666641</v>
      </c>
      <c r="AB110" s="113">
        <f ca="1">TblMili[[#This Row],[Draftees]]</f>
        <v>646</v>
      </c>
      <c r="AC110" s="113">
        <f ca="1">TblProd[[#This Row],[Platinum]]</f>
        <v>682727</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161</v>
      </c>
    </row>
    <row r="111" spans="1:36" s="49" customFormat="1" x14ac:dyDescent="0.2">
      <c r="A111" s="228">
        <f>TblRezone[[#This Row],[Hour]]</f>
        <v>108</v>
      </c>
      <c r="B111" s="280">
        <f ca="1">TblConstr[[#This Row],[Land]]</f>
        <v>250</v>
      </c>
      <c r="C111" s="281"/>
      <c r="D111" s="282">
        <f ca="1">TblConstr[[#This Row],[Plain]]</f>
        <v>39</v>
      </c>
      <c r="E111" s="236">
        <f ca="1">TblConstr[[#This Row],[Forest]]</f>
        <v>20</v>
      </c>
      <c r="F111" s="481">
        <f ca="1">TblConstr[[#This Row],[Mountain]]</f>
        <v>20</v>
      </c>
      <c r="G111" s="485">
        <f ca="1">TblConstr[[#This Row],[Hill]]</f>
        <v>20</v>
      </c>
      <c r="H111" s="489">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44347.458333333074</v>
      </c>
      <c r="AB111" s="113">
        <f ca="1">TblMili[[#This Row],[Draftees]]</f>
        <v>646</v>
      </c>
      <c r="AC111" s="113">
        <f ca="1">TblProd[[#This Row],[Platinum]]</f>
        <v>688226</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161</v>
      </c>
    </row>
    <row r="112" spans="1:36" s="49" customFormat="1" ht="12.75" customHeight="1" x14ac:dyDescent="0.2">
      <c r="A112" s="228">
        <f>TblRezone[[#This Row],[Hour]]</f>
        <v>109</v>
      </c>
      <c r="B112" s="280">
        <f ca="1">TblConstr[[#This Row],[Land]]</f>
        <v>250</v>
      </c>
      <c r="C112" s="281"/>
      <c r="D112" s="282">
        <f ca="1">TblConstr[[#This Row],[Plain]]</f>
        <v>39</v>
      </c>
      <c r="E112" s="236">
        <f ca="1">TblConstr[[#This Row],[Forest]]</f>
        <v>20</v>
      </c>
      <c r="F112" s="481">
        <f ca="1">TblConstr[[#This Row],[Mountain]]</f>
        <v>20</v>
      </c>
      <c r="G112" s="485">
        <f ca="1">TblConstr[[#This Row],[Hill]]</f>
        <v>20</v>
      </c>
      <c r="H112" s="489">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44347.499999999738</v>
      </c>
      <c r="AB112" s="113">
        <f ca="1">TblMili[[#This Row],[Draftees]]</f>
        <v>646</v>
      </c>
      <c r="AC112" s="113">
        <f ca="1">TblProd[[#This Row],[Platinum]]</f>
        <v>693725</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161</v>
      </c>
    </row>
    <row r="113" spans="1:36" s="49" customFormat="1" x14ac:dyDescent="0.2">
      <c r="A113" s="228">
        <f>TblRezone[[#This Row],[Hour]]</f>
        <v>110</v>
      </c>
      <c r="B113" s="280">
        <f ca="1">TblConstr[[#This Row],[Land]]</f>
        <v>250</v>
      </c>
      <c r="C113" s="281"/>
      <c r="D113" s="282">
        <f ca="1">TblConstr[[#This Row],[Plain]]</f>
        <v>39</v>
      </c>
      <c r="E113" s="236">
        <f ca="1">TblConstr[[#This Row],[Forest]]</f>
        <v>20</v>
      </c>
      <c r="F113" s="481">
        <f ca="1">TblConstr[[#This Row],[Mountain]]</f>
        <v>20</v>
      </c>
      <c r="G113" s="485">
        <f ca="1">TblConstr[[#This Row],[Hill]]</f>
        <v>20</v>
      </c>
      <c r="H113" s="489">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44347.541666666402</v>
      </c>
      <c r="AB113" s="113">
        <f ca="1">TblMili[[#This Row],[Draftees]]</f>
        <v>646</v>
      </c>
      <c r="AC113" s="113">
        <f ca="1">TblProd[[#This Row],[Platinum]]</f>
        <v>699224</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161</v>
      </c>
    </row>
    <row r="114" spans="1:36" s="49" customFormat="1" x14ac:dyDescent="0.2">
      <c r="A114" s="228">
        <f>TblRezone[[#This Row],[Hour]]</f>
        <v>111</v>
      </c>
      <c r="B114" s="280">
        <f ca="1">TblConstr[[#This Row],[Land]]</f>
        <v>250</v>
      </c>
      <c r="C114" s="281"/>
      <c r="D114" s="282">
        <f ca="1">TblConstr[[#This Row],[Plain]]</f>
        <v>39</v>
      </c>
      <c r="E114" s="236">
        <f ca="1">TblConstr[[#This Row],[Forest]]</f>
        <v>20</v>
      </c>
      <c r="F114" s="481">
        <f ca="1">TblConstr[[#This Row],[Mountain]]</f>
        <v>20</v>
      </c>
      <c r="G114" s="485">
        <f ca="1">TblConstr[[#This Row],[Hill]]</f>
        <v>20</v>
      </c>
      <c r="H114" s="489">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44347.583333333067</v>
      </c>
      <c r="AB114" s="113">
        <f ca="1">TblMili[[#This Row],[Draftees]]</f>
        <v>646</v>
      </c>
      <c r="AC114" s="113">
        <f ca="1">TblProd[[#This Row],[Platinum]]</f>
        <v>704723</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161</v>
      </c>
    </row>
    <row r="115" spans="1:36" s="49" customFormat="1" x14ac:dyDescent="0.2">
      <c r="A115" s="228">
        <f>TblRezone[[#This Row],[Hour]]</f>
        <v>112</v>
      </c>
      <c r="B115" s="280">
        <f ca="1">TblConstr[[#This Row],[Land]]</f>
        <v>250</v>
      </c>
      <c r="C115" s="281"/>
      <c r="D115" s="282">
        <f ca="1">TblConstr[[#This Row],[Plain]]</f>
        <v>39</v>
      </c>
      <c r="E115" s="236">
        <f ca="1">TblConstr[[#This Row],[Forest]]</f>
        <v>20</v>
      </c>
      <c r="F115" s="481">
        <f ca="1">TblConstr[[#This Row],[Mountain]]</f>
        <v>20</v>
      </c>
      <c r="G115" s="485">
        <f ca="1">TblConstr[[#This Row],[Hill]]</f>
        <v>20</v>
      </c>
      <c r="H115" s="489">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44347.624999999731</v>
      </c>
      <c r="AB115" s="113">
        <f ca="1">TblMili[[#This Row],[Draftees]]</f>
        <v>646</v>
      </c>
      <c r="AC115" s="113">
        <f ca="1">TblProd[[#This Row],[Platinum]]</f>
        <v>710222</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161</v>
      </c>
    </row>
    <row r="116" spans="1:36" s="49" customFormat="1" x14ac:dyDescent="0.2">
      <c r="A116" s="228">
        <f>TblRezone[[#This Row],[Hour]]</f>
        <v>113</v>
      </c>
      <c r="B116" s="280">
        <f ca="1">TblConstr[[#This Row],[Land]]</f>
        <v>250</v>
      </c>
      <c r="C116" s="281"/>
      <c r="D116" s="282">
        <f ca="1">TblConstr[[#This Row],[Plain]]</f>
        <v>39</v>
      </c>
      <c r="E116" s="236">
        <f ca="1">TblConstr[[#This Row],[Forest]]</f>
        <v>20</v>
      </c>
      <c r="F116" s="481">
        <f ca="1">TblConstr[[#This Row],[Mountain]]</f>
        <v>20</v>
      </c>
      <c r="G116" s="485">
        <f ca="1">TblConstr[[#This Row],[Hill]]</f>
        <v>20</v>
      </c>
      <c r="H116" s="489">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44347.666666666395</v>
      </c>
      <c r="AB116" s="113">
        <f ca="1">TblMili[[#This Row],[Draftees]]</f>
        <v>646</v>
      </c>
      <c r="AC116" s="113">
        <f ca="1">TblProd[[#This Row],[Platinum]]</f>
        <v>715721</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161</v>
      </c>
    </row>
    <row r="117" spans="1:36" s="49" customFormat="1" x14ac:dyDescent="0.2">
      <c r="A117" s="228">
        <f>TblRezone[[#This Row],[Hour]]</f>
        <v>114</v>
      </c>
      <c r="B117" s="280">
        <f ca="1">TblConstr[[#This Row],[Land]]</f>
        <v>250</v>
      </c>
      <c r="C117" s="281"/>
      <c r="D117" s="282">
        <f ca="1">TblConstr[[#This Row],[Plain]]</f>
        <v>39</v>
      </c>
      <c r="E117" s="236">
        <f ca="1">TblConstr[[#This Row],[Forest]]</f>
        <v>20</v>
      </c>
      <c r="F117" s="481">
        <f ca="1">TblConstr[[#This Row],[Mountain]]</f>
        <v>20</v>
      </c>
      <c r="G117" s="485">
        <f ca="1">TblConstr[[#This Row],[Hill]]</f>
        <v>20</v>
      </c>
      <c r="H117" s="489">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44347.708333333059</v>
      </c>
      <c r="AB117" s="113">
        <f ca="1">TblMili[[#This Row],[Draftees]]</f>
        <v>646</v>
      </c>
      <c r="AC117" s="113">
        <f ca="1">TblProd[[#This Row],[Platinum]]</f>
        <v>721220</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161</v>
      </c>
    </row>
    <row r="118" spans="1:36" s="49" customFormat="1" x14ac:dyDescent="0.2">
      <c r="A118" s="228">
        <f>TblRezone[[#This Row],[Hour]]</f>
        <v>115</v>
      </c>
      <c r="B118" s="280">
        <f ca="1">TblConstr[[#This Row],[Land]]</f>
        <v>250</v>
      </c>
      <c r="C118" s="281"/>
      <c r="D118" s="282">
        <f ca="1">TblConstr[[#This Row],[Plain]]</f>
        <v>39</v>
      </c>
      <c r="E118" s="236">
        <f ca="1">TblConstr[[#This Row],[Forest]]</f>
        <v>20</v>
      </c>
      <c r="F118" s="481">
        <f ca="1">TblConstr[[#This Row],[Mountain]]</f>
        <v>20</v>
      </c>
      <c r="G118" s="485">
        <f ca="1">TblConstr[[#This Row],[Hill]]</f>
        <v>20</v>
      </c>
      <c r="H118" s="489">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44347.749999999724</v>
      </c>
      <c r="AB118" s="113">
        <f ca="1">TblMili[[#This Row],[Draftees]]</f>
        <v>646</v>
      </c>
      <c r="AC118" s="113">
        <f ca="1">TblProd[[#This Row],[Platinum]]</f>
        <v>726719</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161</v>
      </c>
    </row>
    <row r="119" spans="1:36" s="49" customFormat="1" x14ac:dyDescent="0.2">
      <c r="A119" s="228">
        <f>TblRezone[[#This Row],[Hour]]</f>
        <v>116</v>
      </c>
      <c r="B119" s="280">
        <f ca="1">TblConstr[[#This Row],[Land]]</f>
        <v>250</v>
      </c>
      <c r="C119" s="281"/>
      <c r="D119" s="282">
        <f ca="1">TblConstr[[#This Row],[Plain]]</f>
        <v>39</v>
      </c>
      <c r="E119" s="236">
        <f ca="1">TblConstr[[#This Row],[Forest]]</f>
        <v>20</v>
      </c>
      <c r="F119" s="481">
        <f ca="1">TblConstr[[#This Row],[Mountain]]</f>
        <v>20</v>
      </c>
      <c r="G119" s="485">
        <f ca="1">TblConstr[[#This Row],[Hill]]</f>
        <v>20</v>
      </c>
      <c r="H119" s="489">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44347.791666666388</v>
      </c>
      <c r="AB119" s="113">
        <f ca="1">TblMili[[#This Row],[Draftees]]</f>
        <v>646</v>
      </c>
      <c r="AC119" s="113">
        <f ca="1">TblProd[[#This Row],[Platinum]]</f>
        <v>732218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161</v>
      </c>
    </row>
    <row r="120" spans="1:36" s="49" customFormat="1" x14ac:dyDescent="0.2">
      <c r="A120" s="228">
        <f>TblRezone[[#This Row],[Hour]]</f>
        <v>117</v>
      </c>
      <c r="B120" s="280">
        <f ca="1">TblConstr[[#This Row],[Land]]</f>
        <v>250</v>
      </c>
      <c r="C120" s="281"/>
      <c r="D120" s="282">
        <f ca="1">TblConstr[[#This Row],[Plain]]</f>
        <v>39</v>
      </c>
      <c r="E120" s="236">
        <f ca="1">TblConstr[[#This Row],[Forest]]</f>
        <v>20</v>
      </c>
      <c r="F120" s="481">
        <f ca="1">TblConstr[[#This Row],[Mountain]]</f>
        <v>20</v>
      </c>
      <c r="G120" s="485">
        <f ca="1">TblConstr[[#This Row],[Hill]]</f>
        <v>20</v>
      </c>
      <c r="H120" s="489">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44347.833333333052</v>
      </c>
      <c r="AB120" s="113">
        <f ca="1">TblMili[[#This Row],[Draftees]]</f>
        <v>646</v>
      </c>
      <c r="AC120" s="113">
        <f ca="1">TblProd[[#This Row],[Platinum]]</f>
        <v>737717</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161</v>
      </c>
    </row>
    <row r="121" spans="1:36" s="49" customFormat="1" x14ac:dyDescent="0.2">
      <c r="A121" s="228">
        <f>TblRezone[[#This Row],[Hour]]</f>
        <v>118</v>
      </c>
      <c r="B121" s="280">
        <f ca="1">TblConstr[[#This Row],[Land]]</f>
        <v>250</v>
      </c>
      <c r="C121" s="281"/>
      <c r="D121" s="282">
        <f ca="1">TblConstr[[#This Row],[Plain]]</f>
        <v>39</v>
      </c>
      <c r="E121" s="236">
        <f ca="1">TblConstr[[#This Row],[Forest]]</f>
        <v>20</v>
      </c>
      <c r="F121" s="481">
        <f ca="1">TblConstr[[#This Row],[Mountain]]</f>
        <v>20</v>
      </c>
      <c r="G121" s="485">
        <f ca="1">TblConstr[[#This Row],[Hill]]</f>
        <v>20</v>
      </c>
      <c r="H121" s="489">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44347.874999999716</v>
      </c>
      <c r="AB121" s="113">
        <f ca="1">TblMili[[#This Row],[Draftees]]</f>
        <v>646</v>
      </c>
      <c r="AC121" s="113">
        <f ca="1">TblProd[[#This Row],[Platinum]]</f>
        <v>743216</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161</v>
      </c>
    </row>
    <row r="122" spans="1:36" s="49" customFormat="1" x14ac:dyDescent="0.2">
      <c r="A122" s="228">
        <f>TblRezone[[#This Row],[Hour]]</f>
        <v>119</v>
      </c>
      <c r="B122" s="280">
        <f ca="1">TblConstr[[#This Row],[Land]]</f>
        <v>250</v>
      </c>
      <c r="C122" s="281"/>
      <c r="D122" s="282">
        <f ca="1">TblConstr[[#This Row],[Plain]]</f>
        <v>39</v>
      </c>
      <c r="E122" s="236">
        <f ca="1">TblConstr[[#This Row],[Forest]]</f>
        <v>20</v>
      </c>
      <c r="F122" s="481">
        <f ca="1">TblConstr[[#This Row],[Mountain]]</f>
        <v>20</v>
      </c>
      <c r="G122" s="485">
        <f ca="1">TblConstr[[#This Row],[Hill]]</f>
        <v>20</v>
      </c>
      <c r="H122" s="489">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44347.91666666638</v>
      </c>
      <c r="AB122" s="113">
        <f ca="1">TblMili[[#This Row],[Draftees]]</f>
        <v>646</v>
      </c>
      <c r="AC122" s="113">
        <f ca="1">TblProd[[#This Row],[Platinum]]</f>
        <v>748715</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161</v>
      </c>
    </row>
    <row r="123" spans="1:36" s="49" customFormat="1" x14ac:dyDescent="0.2">
      <c r="A123" s="228">
        <f>TblRezone[[#This Row],[Hour]]</f>
        <v>120</v>
      </c>
      <c r="B123" s="280">
        <f ca="1">TblConstr[[#This Row],[Land]]</f>
        <v>250</v>
      </c>
      <c r="C123" s="281"/>
      <c r="D123" s="282">
        <f ca="1">TblConstr[[#This Row],[Plain]]</f>
        <v>39</v>
      </c>
      <c r="E123" s="236">
        <f ca="1">TblConstr[[#This Row],[Forest]]</f>
        <v>20</v>
      </c>
      <c r="F123" s="481">
        <f ca="1">TblConstr[[#This Row],[Mountain]]</f>
        <v>20</v>
      </c>
      <c r="G123" s="485">
        <f ca="1">TblConstr[[#This Row],[Hill]]</f>
        <v>20</v>
      </c>
      <c r="H123" s="489">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44347.958333333045</v>
      </c>
      <c r="AB123" s="113">
        <f ca="1">TblMili[[#This Row],[Draftees]]</f>
        <v>646</v>
      </c>
      <c r="AC123" s="113">
        <f ca="1">TblProd[[#This Row],[Platinum]]</f>
        <v>754214</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161</v>
      </c>
    </row>
    <row r="124" spans="1:36" s="49" customFormat="1" x14ac:dyDescent="0.2">
      <c r="A124" s="228">
        <f>TblRezone[[#This Row],[Hour]]</f>
        <v>121</v>
      </c>
      <c r="B124" s="280">
        <f ca="1">TblConstr[[#This Row],[Land]]</f>
        <v>250</v>
      </c>
      <c r="C124" s="281"/>
      <c r="D124" s="282">
        <f ca="1">TblConstr[[#This Row],[Plain]]</f>
        <v>39</v>
      </c>
      <c r="E124" s="236">
        <f ca="1">TblConstr[[#This Row],[Forest]]</f>
        <v>20</v>
      </c>
      <c r="F124" s="481">
        <f ca="1">TblConstr[[#This Row],[Mountain]]</f>
        <v>20</v>
      </c>
      <c r="G124" s="485">
        <f ca="1">TblConstr[[#This Row],[Hill]]</f>
        <v>20</v>
      </c>
      <c r="H124" s="489">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44347.999999999709</v>
      </c>
      <c r="AB124" s="113">
        <f ca="1">TblMili[[#This Row],[Draftees]]</f>
        <v>646</v>
      </c>
      <c r="AC124" s="113">
        <f ca="1">TblProd[[#This Row],[Platinum]]</f>
        <v>759713</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161</v>
      </c>
    </row>
    <row r="125" spans="1:36" s="49" customFormat="1" x14ac:dyDescent="0.2">
      <c r="A125" s="228">
        <f>TblRezone[[#This Row],[Hour]]</f>
        <v>122</v>
      </c>
      <c r="B125" s="280">
        <f ca="1">TblConstr[[#This Row],[Land]]</f>
        <v>250</v>
      </c>
      <c r="C125" s="281"/>
      <c r="D125" s="282">
        <f ca="1">TblConstr[[#This Row],[Plain]]</f>
        <v>39</v>
      </c>
      <c r="E125" s="236">
        <f ca="1">TblConstr[[#This Row],[Forest]]</f>
        <v>20</v>
      </c>
      <c r="F125" s="481">
        <f ca="1">TblConstr[[#This Row],[Mountain]]</f>
        <v>20</v>
      </c>
      <c r="G125" s="485">
        <f ca="1">TblConstr[[#This Row],[Hill]]</f>
        <v>20</v>
      </c>
      <c r="H125" s="489">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44348.041666666373</v>
      </c>
      <c r="AB125" s="113">
        <f ca="1">TblMili[[#This Row],[Draftees]]</f>
        <v>646</v>
      </c>
      <c r="AC125" s="113">
        <f ca="1">TblProd[[#This Row],[Platinum]]</f>
        <v>765212</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161</v>
      </c>
    </row>
    <row r="126" spans="1:36" s="49" customFormat="1" x14ac:dyDescent="0.2">
      <c r="A126" s="228">
        <f>TblRezone[[#This Row],[Hour]]</f>
        <v>123</v>
      </c>
      <c r="B126" s="280">
        <f ca="1">TblConstr[[#This Row],[Land]]</f>
        <v>250</v>
      </c>
      <c r="C126" s="281"/>
      <c r="D126" s="282">
        <f ca="1">TblConstr[[#This Row],[Plain]]</f>
        <v>39</v>
      </c>
      <c r="E126" s="236">
        <f ca="1">TblConstr[[#This Row],[Forest]]</f>
        <v>20</v>
      </c>
      <c r="F126" s="481">
        <f ca="1">TblConstr[[#This Row],[Mountain]]</f>
        <v>20</v>
      </c>
      <c r="G126" s="485">
        <f ca="1">TblConstr[[#This Row],[Hill]]</f>
        <v>20</v>
      </c>
      <c r="H126" s="489">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44348.083333333037</v>
      </c>
      <c r="AB126" s="113">
        <f ca="1">TblMili[[#This Row],[Draftees]]</f>
        <v>646</v>
      </c>
      <c r="AC126" s="113">
        <f ca="1">TblProd[[#This Row],[Platinum]]</f>
        <v>770711</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161</v>
      </c>
    </row>
    <row r="127" spans="1:36" s="49" customFormat="1" x14ac:dyDescent="0.2">
      <c r="A127" s="228">
        <f>TblRezone[[#This Row],[Hour]]</f>
        <v>124</v>
      </c>
      <c r="B127" s="280">
        <f ca="1">TblConstr[[#This Row],[Land]]</f>
        <v>250</v>
      </c>
      <c r="C127" s="281"/>
      <c r="D127" s="282">
        <f ca="1">TblConstr[[#This Row],[Plain]]</f>
        <v>39</v>
      </c>
      <c r="E127" s="236">
        <f ca="1">TblConstr[[#This Row],[Forest]]</f>
        <v>20</v>
      </c>
      <c r="F127" s="481">
        <f ca="1">TblConstr[[#This Row],[Mountain]]</f>
        <v>20</v>
      </c>
      <c r="G127" s="485">
        <f ca="1">TblConstr[[#This Row],[Hill]]</f>
        <v>20</v>
      </c>
      <c r="H127" s="489">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44348.124999999702</v>
      </c>
      <c r="AB127" s="113">
        <f ca="1">TblMili[[#This Row],[Draftees]]</f>
        <v>646</v>
      </c>
      <c r="AC127" s="113">
        <f ca="1">TblProd[[#This Row],[Platinum]]</f>
        <v>776210</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161</v>
      </c>
    </row>
    <row r="128" spans="1:36" s="49" customFormat="1" x14ac:dyDescent="0.2">
      <c r="A128" s="228">
        <f>TblRezone[[#This Row],[Hour]]</f>
        <v>125</v>
      </c>
      <c r="B128" s="280">
        <f ca="1">TblConstr[[#This Row],[Land]]</f>
        <v>250</v>
      </c>
      <c r="C128" s="281"/>
      <c r="D128" s="282">
        <f ca="1">TblConstr[[#This Row],[Plain]]</f>
        <v>39</v>
      </c>
      <c r="E128" s="236">
        <f ca="1">TblConstr[[#This Row],[Forest]]</f>
        <v>20</v>
      </c>
      <c r="F128" s="481">
        <f ca="1">TblConstr[[#This Row],[Mountain]]</f>
        <v>20</v>
      </c>
      <c r="G128" s="485">
        <f ca="1">TblConstr[[#This Row],[Hill]]</f>
        <v>20</v>
      </c>
      <c r="H128" s="489">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44348.166666666366</v>
      </c>
      <c r="AB128" s="113">
        <f ca="1">TblMili[[#This Row],[Draftees]]</f>
        <v>646</v>
      </c>
      <c r="AC128" s="113">
        <f ca="1">TblProd[[#This Row],[Platinum]]</f>
        <v>781709</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161</v>
      </c>
    </row>
    <row r="129" spans="1:36" s="49" customFormat="1" x14ac:dyDescent="0.2">
      <c r="A129" s="228">
        <f>TblRezone[[#This Row],[Hour]]</f>
        <v>126</v>
      </c>
      <c r="B129" s="280">
        <f ca="1">TblConstr[[#This Row],[Land]]</f>
        <v>250</v>
      </c>
      <c r="C129" s="281"/>
      <c r="D129" s="282">
        <f ca="1">TblConstr[[#This Row],[Plain]]</f>
        <v>39</v>
      </c>
      <c r="E129" s="236">
        <f ca="1">TblConstr[[#This Row],[Forest]]</f>
        <v>20</v>
      </c>
      <c r="F129" s="481">
        <f ca="1">TblConstr[[#This Row],[Mountain]]</f>
        <v>20</v>
      </c>
      <c r="G129" s="485">
        <f ca="1">TblConstr[[#This Row],[Hill]]</f>
        <v>20</v>
      </c>
      <c r="H129" s="489">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44348.20833333303</v>
      </c>
      <c r="AB129" s="113">
        <f ca="1">TblMili[[#This Row],[Draftees]]</f>
        <v>646</v>
      </c>
      <c r="AC129" s="113">
        <f ca="1">TblProd[[#This Row],[Platinum]]</f>
        <v>787208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161</v>
      </c>
    </row>
    <row r="130" spans="1:36" s="49" customFormat="1" x14ac:dyDescent="0.2">
      <c r="A130" s="228">
        <f>TblRezone[[#This Row],[Hour]]</f>
        <v>127</v>
      </c>
      <c r="B130" s="280">
        <f ca="1">TblConstr[[#This Row],[Land]]</f>
        <v>250</v>
      </c>
      <c r="C130" s="281"/>
      <c r="D130" s="282">
        <f ca="1">TblConstr[[#This Row],[Plain]]</f>
        <v>39</v>
      </c>
      <c r="E130" s="236">
        <f ca="1">TblConstr[[#This Row],[Forest]]</f>
        <v>20</v>
      </c>
      <c r="F130" s="481">
        <f ca="1">TblConstr[[#This Row],[Mountain]]</f>
        <v>20</v>
      </c>
      <c r="G130" s="485">
        <f ca="1">TblConstr[[#This Row],[Hill]]</f>
        <v>20</v>
      </c>
      <c r="H130" s="489">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44348.249999999694</v>
      </c>
      <c r="AB130" s="113">
        <f ca="1">TblMili[[#This Row],[Draftees]]</f>
        <v>646</v>
      </c>
      <c r="AC130" s="113">
        <f ca="1">TblProd[[#This Row],[Platinum]]</f>
        <v>792707</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161</v>
      </c>
    </row>
    <row r="131" spans="1:36" s="49" customFormat="1" x14ac:dyDescent="0.2">
      <c r="A131" s="228">
        <f>TblRezone[[#This Row],[Hour]]</f>
        <v>128</v>
      </c>
      <c r="B131" s="280">
        <f ca="1">TblConstr[[#This Row],[Land]]</f>
        <v>250</v>
      </c>
      <c r="C131" s="281"/>
      <c r="D131" s="282">
        <f ca="1">TblConstr[[#This Row],[Plain]]</f>
        <v>39</v>
      </c>
      <c r="E131" s="236">
        <f ca="1">TblConstr[[#This Row],[Forest]]</f>
        <v>20</v>
      </c>
      <c r="F131" s="481">
        <f ca="1">TblConstr[[#This Row],[Mountain]]</f>
        <v>20</v>
      </c>
      <c r="G131" s="485">
        <f ca="1">TblConstr[[#This Row],[Hill]]</f>
        <v>20</v>
      </c>
      <c r="H131" s="489">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44348.291666666359</v>
      </c>
      <c r="AB131" s="113">
        <f ca="1">TblMili[[#This Row],[Draftees]]</f>
        <v>646</v>
      </c>
      <c r="AC131" s="113">
        <f ca="1">TblProd[[#This Row],[Platinum]]</f>
        <v>798206</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161</v>
      </c>
    </row>
    <row r="132" spans="1:36" s="49" customFormat="1" x14ac:dyDescent="0.2">
      <c r="A132" s="228">
        <f>TblRezone[[#This Row],[Hour]]</f>
        <v>129</v>
      </c>
      <c r="B132" s="280">
        <f ca="1">TblConstr[[#This Row],[Land]]</f>
        <v>250</v>
      </c>
      <c r="C132" s="281"/>
      <c r="D132" s="282">
        <f ca="1">TblConstr[[#This Row],[Plain]]</f>
        <v>39</v>
      </c>
      <c r="E132" s="236">
        <f ca="1">TblConstr[[#This Row],[Forest]]</f>
        <v>20</v>
      </c>
      <c r="F132" s="481">
        <f ca="1">TblConstr[[#This Row],[Mountain]]</f>
        <v>20</v>
      </c>
      <c r="G132" s="485">
        <f ca="1">TblConstr[[#This Row],[Hill]]</f>
        <v>20</v>
      </c>
      <c r="H132" s="489">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44348.333333333023</v>
      </c>
      <c r="AB132" s="113">
        <f ca="1">TblMili[[#This Row],[Draftees]]</f>
        <v>646</v>
      </c>
      <c r="AC132" s="113">
        <f ca="1">TblProd[[#This Row],[Platinum]]</f>
        <v>803705</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161</v>
      </c>
    </row>
    <row r="133" spans="1:36" s="49" customFormat="1" x14ac:dyDescent="0.2">
      <c r="A133" s="228">
        <f>TblRezone[[#This Row],[Hour]]</f>
        <v>130</v>
      </c>
      <c r="B133" s="280">
        <f ca="1">TblConstr[[#This Row],[Land]]</f>
        <v>250</v>
      </c>
      <c r="C133" s="281"/>
      <c r="D133" s="282">
        <f ca="1">TblConstr[[#This Row],[Plain]]</f>
        <v>39</v>
      </c>
      <c r="E133" s="236">
        <f ca="1">TblConstr[[#This Row],[Forest]]</f>
        <v>20</v>
      </c>
      <c r="F133" s="481">
        <f ca="1">TblConstr[[#This Row],[Mountain]]</f>
        <v>20</v>
      </c>
      <c r="G133" s="485">
        <f ca="1">TblConstr[[#This Row],[Hill]]</f>
        <v>20</v>
      </c>
      <c r="H133" s="489">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44348.374999999687</v>
      </c>
      <c r="AB133" s="113">
        <f ca="1">TblMili[[#This Row],[Draftees]]</f>
        <v>646</v>
      </c>
      <c r="AC133" s="113">
        <f ca="1">TblProd[[#This Row],[Platinum]]</f>
        <v>809204</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161</v>
      </c>
    </row>
    <row r="134" spans="1:36" s="49" customFormat="1" x14ac:dyDescent="0.2">
      <c r="A134" s="228">
        <f>TblRezone[[#This Row],[Hour]]</f>
        <v>131</v>
      </c>
      <c r="B134" s="280">
        <f ca="1">TblConstr[[#This Row],[Land]]</f>
        <v>250</v>
      </c>
      <c r="C134" s="281"/>
      <c r="D134" s="282">
        <f ca="1">TblConstr[[#This Row],[Plain]]</f>
        <v>39</v>
      </c>
      <c r="E134" s="236">
        <f ca="1">TblConstr[[#This Row],[Forest]]</f>
        <v>20</v>
      </c>
      <c r="F134" s="481">
        <f ca="1">TblConstr[[#This Row],[Mountain]]</f>
        <v>20</v>
      </c>
      <c r="G134" s="485">
        <f ca="1">TblConstr[[#This Row],[Hill]]</f>
        <v>20</v>
      </c>
      <c r="H134" s="489">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44348.416666666351</v>
      </c>
      <c r="AB134" s="113">
        <f ca="1">TblMili[[#This Row],[Draftees]]</f>
        <v>646</v>
      </c>
      <c r="AC134" s="113">
        <f ca="1">TblProd[[#This Row],[Platinum]]</f>
        <v>814703</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161</v>
      </c>
    </row>
    <row r="135" spans="1:36" s="49" customFormat="1" x14ac:dyDescent="0.2">
      <c r="A135" s="228">
        <f>TblRezone[[#This Row],[Hour]]</f>
        <v>132</v>
      </c>
      <c r="B135" s="280">
        <f ca="1">TblConstr[[#This Row],[Land]]</f>
        <v>250</v>
      </c>
      <c r="C135" s="281"/>
      <c r="D135" s="282">
        <f ca="1">TblConstr[[#This Row],[Plain]]</f>
        <v>39</v>
      </c>
      <c r="E135" s="236">
        <f ca="1">TblConstr[[#This Row],[Forest]]</f>
        <v>20</v>
      </c>
      <c r="F135" s="481">
        <f ca="1">TblConstr[[#This Row],[Mountain]]</f>
        <v>20</v>
      </c>
      <c r="G135" s="485">
        <f ca="1">TblConstr[[#This Row],[Hill]]</f>
        <v>20</v>
      </c>
      <c r="H135" s="489">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44348.458333333016</v>
      </c>
      <c r="AB135" s="113">
        <f ca="1">TblMili[[#This Row],[Draftees]]</f>
        <v>646</v>
      </c>
      <c r="AC135" s="113">
        <f ca="1">TblProd[[#This Row],[Platinum]]</f>
        <v>820202</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161</v>
      </c>
    </row>
    <row r="136" spans="1:36" s="49" customFormat="1" x14ac:dyDescent="0.2">
      <c r="A136" s="228">
        <f>TblRezone[[#This Row],[Hour]]</f>
        <v>133</v>
      </c>
      <c r="B136" s="280">
        <f ca="1">TblConstr[[#This Row],[Land]]</f>
        <v>250</v>
      </c>
      <c r="C136" s="281"/>
      <c r="D136" s="282">
        <f ca="1">TblConstr[[#This Row],[Plain]]</f>
        <v>39</v>
      </c>
      <c r="E136" s="236">
        <f ca="1">TblConstr[[#This Row],[Forest]]</f>
        <v>20</v>
      </c>
      <c r="F136" s="481">
        <f ca="1">TblConstr[[#This Row],[Mountain]]</f>
        <v>20</v>
      </c>
      <c r="G136" s="485">
        <f ca="1">TblConstr[[#This Row],[Hill]]</f>
        <v>20</v>
      </c>
      <c r="H136" s="489">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44348.49999999968</v>
      </c>
      <c r="AB136" s="113">
        <f ca="1">TblMili[[#This Row],[Draftees]]</f>
        <v>646</v>
      </c>
      <c r="AC136" s="113">
        <f ca="1">TblProd[[#This Row],[Platinum]]</f>
        <v>825701</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161</v>
      </c>
    </row>
    <row r="1269" spans="2:13" x14ac:dyDescent="0.2">
      <c r="B1269" s="584" t="s">
        <v>327</v>
      </c>
      <c r="C1269" s="584"/>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69" priority="13" stopIfTrue="1">
      <formula>$M26&lt;$M17</formula>
    </cfRule>
    <cfRule type="expression" dxfId="468" priority="14" stopIfTrue="1">
      <formula>$M17&lt;$M26</formula>
    </cfRule>
  </conditionalFormatting>
  <conditionalFormatting sqref="C1270 D1269:AJ1270 A1269:B1270">
    <cfRule type="expression" dxfId="467" priority="11" stopIfTrue="1">
      <formula>$B$1270&gt;144</formula>
    </cfRule>
  </conditionalFormatting>
  <conditionalFormatting sqref="A4:J136 N4:AJ136">
    <cfRule type="expression" dxfId="466" priority="1" stopIfTrue="1">
      <formula>ROW()-3=$B$1270</formula>
    </cfRule>
  </conditionalFormatting>
  <conditionalFormatting sqref="D4:J136">
    <cfRule type="expression" dxfId="465" priority="2" stopIfTrue="1">
      <formula>OR(ROW()-3=$B$1270,D4&lt;0)</formula>
    </cfRule>
  </conditionalFormatting>
  <conditionalFormatting sqref="A1:XFD3">
    <cfRule type="expression" dxfId="464" priority="16" stopIfTrue="1">
      <formula>$B$1270&lt;0</formula>
    </cfRule>
  </conditionalFormatting>
  <conditionalFormatting sqref="A4:AJ136">
    <cfRule type="expression" dxfId="463" priority="3">
      <formula>$A4=73</formula>
    </cfRule>
    <cfRule type="expression" dxfId="462"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1064</v>
      </c>
      <c r="M3" s="176" t="s">
        <v>1065</v>
      </c>
      <c r="N3" s="176" t="s">
        <v>1066</v>
      </c>
      <c r="O3" s="176" t="s">
        <v>1067</v>
      </c>
      <c r="P3" s="176" t="s">
        <v>1068</v>
      </c>
      <c r="Q3" s="176" t="s">
        <v>1069</v>
      </c>
      <c r="R3" s="176" t="s">
        <v>1070</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39</v>
      </c>
      <c r="C4" s="236">
        <f ca="1">TblConstr[[#This Row],[Forest]]</f>
        <v>20</v>
      </c>
      <c r="D4" s="481">
        <f ca="1">TblConstr[[#This Row],[Mountain]]</f>
        <v>20</v>
      </c>
      <c r="E4" s="485">
        <f ca="1">TblConstr[[#This Row],[Hill]]</f>
        <v>20</v>
      </c>
      <c r="F4" s="489">
        <f ca="1">TblConstr[[#This Row],[Swamp]]</f>
        <v>20</v>
      </c>
      <c r="G4" s="239">
        <f ca="1">TblConstr[[#This Row],[Cavern]]</f>
        <v>20</v>
      </c>
      <c r="H4" s="240">
        <f ca="1">TblConstr[[#This Row],[Water]]</f>
        <v>20</v>
      </c>
      <c r="I4" s="281"/>
      <c r="J4" s="228">
        <v>1</v>
      </c>
      <c r="K4" s="305">
        <f>TblImps[[#This Row],[Real time]]</f>
        <v>44343</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99150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39</v>
      </c>
      <c r="C5" s="236">
        <f ca="1">TblConstr[[#This Row],[Forest]]</f>
        <v>20</v>
      </c>
      <c r="D5" s="481">
        <f ca="1">TblConstr[[#This Row],[Mountain]]</f>
        <v>20</v>
      </c>
      <c r="E5" s="485">
        <f ca="1">TblConstr[[#This Row],[Hill]]</f>
        <v>20</v>
      </c>
      <c r="F5" s="489">
        <f ca="1">TblConstr[[#This Row],[Swamp]]</f>
        <v>20</v>
      </c>
      <c r="G5" s="239">
        <f ca="1">TblConstr[[#This Row],[Cavern]]</f>
        <v>20</v>
      </c>
      <c r="H5" s="240">
        <f ca="1">TblConstr[[#This Row],[Water]]</f>
        <v>20</v>
      </c>
      <c r="I5" s="281"/>
      <c r="J5" s="228">
        <f t="shared" ref="J5:J15" si="0">J4+1</f>
        <v>2</v>
      </c>
      <c r="K5" s="305">
        <f ca="1">TblImps[[#This Row],[Real time]]</f>
        <v>44343.041666666664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104010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39</v>
      </c>
      <c r="C6" s="236">
        <f ca="1">TblConstr[[#This Row],[Forest]]</f>
        <v>20</v>
      </c>
      <c r="D6" s="481">
        <f ca="1">TblConstr[[#This Row],[Mountain]]</f>
        <v>20</v>
      </c>
      <c r="E6" s="485">
        <f ca="1">TblConstr[[#This Row],[Hill]]</f>
        <v>20</v>
      </c>
      <c r="F6" s="489">
        <f ca="1">TblConstr[[#This Row],[Swamp]]</f>
        <v>20</v>
      </c>
      <c r="G6" s="239">
        <f ca="1">TblConstr[[#This Row],[Cavern]]</f>
        <v>20</v>
      </c>
      <c r="H6" s="240">
        <f ca="1">TblConstr[[#This Row],[Water]]</f>
        <v>20</v>
      </c>
      <c r="I6" s="281"/>
      <c r="J6" s="228">
        <f t="shared" si="0"/>
        <v>3</v>
      </c>
      <c r="K6" s="305">
        <f ca="1">TblImps[[#This Row],[Real time]]</f>
        <v>44343.083333333328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108940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39</v>
      </c>
      <c r="C7" s="236">
        <f ca="1">TblConstr[[#This Row],[Forest]]</f>
        <v>20</v>
      </c>
      <c r="D7" s="481">
        <f ca="1">TblConstr[[#This Row],[Mountain]]</f>
        <v>20</v>
      </c>
      <c r="E7" s="485">
        <f ca="1">TblConstr[[#This Row],[Hill]]</f>
        <v>20</v>
      </c>
      <c r="F7" s="489">
        <f ca="1">TblConstr[[#This Row],[Swamp]]</f>
        <v>20</v>
      </c>
      <c r="G7" s="239">
        <f ca="1">TblConstr[[#This Row],[Cavern]]</f>
        <v>20</v>
      </c>
      <c r="H7" s="240">
        <f ca="1">TblConstr[[#This Row],[Water]]</f>
        <v>20</v>
      </c>
      <c r="I7" s="281"/>
      <c r="J7" s="228">
        <f t="shared" si="0"/>
        <v>4</v>
      </c>
      <c r="K7" s="305">
        <f ca="1">TblImps[[#This Row],[Real time]]</f>
        <v>44343.124999999993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113940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39</v>
      </c>
      <c r="C8" s="236">
        <f ca="1">TblConstr[[#This Row],[Forest]]</f>
        <v>20</v>
      </c>
      <c r="D8" s="481">
        <f ca="1">TblConstr[[#This Row],[Mountain]]</f>
        <v>20</v>
      </c>
      <c r="E8" s="485">
        <f ca="1">TblConstr[[#This Row],[Hill]]</f>
        <v>20</v>
      </c>
      <c r="F8" s="489">
        <f ca="1">TblConstr[[#This Row],[Swamp]]</f>
        <v>20</v>
      </c>
      <c r="G8" s="239">
        <f ca="1">TblConstr[[#This Row],[Cavern]]</f>
        <v>20</v>
      </c>
      <c r="H8" s="240">
        <f ca="1">TblConstr[[#This Row],[Water]]</f>
        <v>20</v>
      </c>
      <c r="I8" s="281"/>
      <c r="J8" s="228">
        <f t="shared" si="0"/>
        <v>5</v>
      </c>
      <c r="K8" s="305">
        <f ca="1">TblImps[[#This Row],[Real time]]</f>
        <v>44343.166666666657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119010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39</v>
      </c>
      <c r="C9" s="236">
        <f ca="1">TblConstr[[#This Row],[Forest]]</f>
        <v>20</v>
      </c>
      <c r="D9" s="481">
        <f ca="1">TblConstr[[#This Row],[Mountain]]</f>
        <v>20</v>
      </c>
      <c r="E9" s="485">
        <f ca="1">TblConstr[[#This Row],[Hill]]</f>
        <v>20</v>
      </c>
      <c r="F9" s="489">
        <f ca="1">TblConstr[[#This Row],[Swamp]]</f>
        <v>20</v>
      </c>
      <c r="G9" s="239">
        <f ca="1">TblConstr[[#This Row],[Cavern]]</f>
        <v>20</v>
      </c>
      <c r="H9" s="240">
        <f ca="1">TblConstr[[#This Row],[Water]]</f>
        <v>20</v>
      </c>
      <c r="I9" s="281"/>
      <c r="J9" s="228">
        <f t="shared" si="0"/>
        <v>6</v>
      </c>
      <c r="K9" s="305">
        <f ca="1">TblImps[[#This Row],[Real time]]</f>
        <v>44343.208333333321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124153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39</v>
      </c>
      <c r="C10" s="236">
        <f ca="1">TblConstr[[#This Row],[Forest]]</f>
        <v>20</v>
      </c>
      <c r="D10" s="481">
        <f ca="1">TblConstr[[#This Row],[Mountain]]</f>
        <v>20</v>
      </c>
      <c r="E10" s="485">
        <f ca="1">TblConstr[[#This Row],[Hill]]</f>
        <v>20</v>
      </c>
      <c r="F10" s="489">
        <f ca="1">TblConstr[[#This Row],[Swamp]]</f>
        <v>20</v>
      </c>
      <c r="G10" s="239">
        <f ca="1">TblConstr[[#This Row],[Cavern]]</f>
        <v>20</v>
      </c>
      <c r="H10" s="240">
        <f ca="1">TblConstr[[#This Row],[Water]]</f>
        <v>20</v>
      </c>
      <c r="I10" s="281"/>
      <c r="J10" s="228">
        <f t="shared" si="0"/>
        <v>7</v>
      </c>
      <c r="K10" s="305">
        <f ca="1">TblImps[[#This Row],[Real time]]</f>
        <v>44343.249999999985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129372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39</v>
      </c>
      <c r="C11" s="236">
        <f ca="1">TblConstr[[#This Row],[Forest]]</f>
        <v>20</v>
      </c>
      <c r="D11" s="481">
        <f ca="1">TblConstr[[#This Row],[Mountain]]</f>
        <v>20</v>
      </c>
      <c r="E11" s="485">
        <f ca="1">TblConstr[[#This Row],[Hill]]</f>
        <v>20</v>
      </c>
      <c r="F11" s="489">
        <f ca="1">TblConstr[[#This Row],[Swamp]]</f>
        <v>20</v>
      </c>
      <c r="G11" s="239">
        <f ca="1">TblConstr[[#This Row],[Cavern]]</f>
        <v>20</v>
      </c>
      <c r="H11" s="240">
        <f ca="1">TblConstr[[#This Row],[Water]]</f>
        <v>20</v>
      </c>
      <c r="I11" s="281"/>
      <c r="J11" s="228">
        <f t="shared" si="0"/>
        <v>8</v>
      </c>
      <c r="K11" s="305">
        <f ca="1">TblImps[[#This Row],[Real time]]</f>
        <v>44343.29166666665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134669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39</v>
      </c>
      <c r="C12" s="236">
        <f ca="1">TblConstr[[#This Row],[Forest]]</f>
        <v>20</v>
      </c>
      <c r="D12" s="481">
        <f ca="1">TblConstr[[#This Row],[Mountain]]</f>
        <v>20</v>
      </c>
      <c r="E12" s="485">
        <f ca="1">TblConstr[[#This Row],[Hill]]</f>
        <v>20</v>
      </c>
      <c r="F12" s="489">
        <f ca="1">TblConstr[[#This Row],[Swamp]]</f>
        <v>20</v>
      </c>
      <c r="G12" s="239">
        <f ca="1">TblConstr[[#This Row],[Cavern]]</f>
        <v>20</v>
      </c>
      <c r="H12" s="240">
        <f ca="1">TblConstr[[#This Row],[Water]]</f>
        <v>20</v>
      </c>
      <c r="I12" s="281"/>
      <c r="J12" s="228">
        <f t="shared" si="0"/>
        <v>9</v>
      </c>
      <c r="K12" s="305">
        <f ca="1">TblImps[[#This Row],[Real time]]</f>
        <v>44343.333333333314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140042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39</v>
      </c>
      <c r="C13" s="236">
        <f ca="1">TblConstr[[#This Row],[Forest]]</f>
        <v>20</v>
      </c>
      <c r="D13" s="481">
        <f ca="1">TblConstr[[#This Row],[Mountain]]</f>
        <v>20</v>
      </c>
      <c r="E13" s="485">
        <f ca="1">TblConstr[[#This Row],[Hill]]</f>
        <v>20</v>
      </c>
      <c r="F13" s="489">
        <f ca="1">TblConstr[[#This Row],[Swamp]]</f>
        <v>20</v>
      </c>
      <c r="G13" s="239">
        <f ca="1">TblConstr[[#This Row],[Cavern]]</f>
        <v>20</v>
      </c>
      <c r="H13" s="240">
        <f ca="1">TblConstr[[#This Row],[Water]]</f>
        <v>20</v>
      </c>
      <c r="I13" s="281"/>
      <c r="J13" s="228">
        <f t="shared" si="0"/>
        <v>10</v>
      </c>
      <c r="K13" s="305">
        <f ca="1">TblImps[[#This Row],[Real time]]</f>
        <v>44343.374999999978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145493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39</v>
      </c>
      <c r="C14" s="236">
        <f ca="1">TblConstr[[#This Row],[Forest]]</f>
        <v>20</v>
      </c>
      <c r="D14" s="481">
        <f ca="1">TblConstr[[#This Row],[Mountain]]</f>
        <v>20</v>
      </c>
      <c r="E14" s="485">
        <f ca="1">TblConstr[[#This Row],[Hill]]</f>
        <v>20</v>
      </c>
      <c r="F14" s="489">
        <f ca="1">TblConstr[[#This Row],[Swamp]]</f>
        <v>20</v>
      </c>
      <c r="G14" s="239">
        <f ca="1">TblConstr[[#This Row],[Cavern]]</f>
        <v>20</v>
      </c>
      <c r="H14" s="240">
        <f ca="1">TblConstr[[#This Row],[Water]]</f>
        <v>20</v>
      </c>
      <c r="I14" s="281"/>
      <c r="J14" s="228">
        <f t="shared" si="0"/>
        <v>11</v>
      </c>
      <c r="K14" s="305">
        <f ca="1">TblImps[[#This Row],[Real time]]</f>
        <v>44343.416666666642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151025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39</v>
      </c>
      <c r="C15" s="236">
        <f ca="1">TblConstr[[#This Row],[Forest]]</f>
        <v>20</v>
      </c>
      <c r="D15" s="481">
        <f ca="1">TblConstr[[#This Row],[Mountain]]</f>
        <v>20</v>
      </c>
      <c r="E15" s="485">
        <f ca="1">TblConstr[[#This Row],[Hill]]</f>
        <v>20</v>
      </c>
      <c r="F15" s="489">
        <f ca="1">TblConstr[[#This Row],[Swamp]]</f>
        <v>20</v>
      </c>
      <c r="G15" s="239">
        <f ca="1">TblConstr[[#This Row],[Cavern]]</f>
        <v>20</v>
      </c>
      <c r="H15" s="240">
        <f ca="1">TblConstr[[#This Row],[Water]]</f>
        <v>20</v>
      </c>
      <c r="I15" s="281"/>
      <c r="J15" s="228">
        <f t="shared" si="0"/>
        <v>12</v>
      </c>
      <c r="K15" s="305">
        <f ca="1">TblImps[[#This Row],[Real time]]</f>
        <v>44343.458333333307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156641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39</v>
      </c>
      <c r="C16" s="236">
        <f ca="1">TblConstr[[#This Row],[Forest]]</f>
        <v>20</v>
      </c>
      <c r="D16" s="481">
        <f ca="1">TblConstr[[#This Row],[Mountain]]</f>
        <v>20</v>
      </c>
      <c r="E16" s="485">
        <f ca="1">TblConstr[[#This Row],[Hill]]</f>
        <v>20</v>
      </c>
      <c r="F16" s="489">
        <f ca="1">TblConstr[[#This Row],[Swamp]]</f>
        <v>20</v>
      </c>
      <c r="G16" s="239">
        <f ca="1">TblConstr[[#This Row],[Cavern]]</f>
        <v>20</v>
      </c>
      <c r="H16" s="240">
        <f ca="1">TblConstr[[#This Row],[Water]]</f>
        <v>20</v>
      </c>
      <c r="I16" s="281"/>
      <c r="J16" s="228">
        <f>J15+1</f>
        <v>13</v>
      </c>
      <c r="K16" s="305">
        <f ca="1">TblImps[[#This Row],[Real time]]</f>
        <v>44343.499999999971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162311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39</v>
      </c>
      <c r="C17" s="236">
        <f ca="1">TblConstr[[#This Row],[Forest]]</f>
        <v>20</v>
      </c>
      <c r="D17" s="481">
        <f ca="1">TblConstr[[#This Row],[Mountain]]</f>
        <v>20</v>
      </c>
      <c r="E17" s="485">
        <f ca="1">TblConstr[[#This Row],[Hill]]</f>
        <v>20</v>
      </c>
      <c r="F17" s="489">
        <f ca="1">TblConstr[[#This Row],[Swamp]]</f>
        <v>20</v>
      </c>
      <c r="G17" s="239">
        <f ca="1">TblConstr[[#This Row],[Cavern]]</f>
        <v>20</v>
      </c>
      <c r="H17" s="240">
        <f ca="1">TblConstr[[#This Row],[Water]]</f>
        <v>20</v>
      </c>
      <c r="I17" s="281"/>
      <c r="J17" s="228">
        <f t="shared" ref="J17:J76" si="1">J16+1</f>
        <v>14</v>
      </c>
      <c r="K17" s="305">
        <f ca="1">TblImps[[#This Row],[Real time]]</f>
        <v>44343.541666666635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167981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39</v>
      </c>
      <c r="C18" s="236">
        <f ca="1">TblConstr[[#This Row],[Forest]]</f>
        <v>20</v>
      </c>
      <c r="D18" s="481">
        <f ca="1">TblConstr[[#This Row],[Mountain]]</f>
        <v>20</v>
      </c>
      <c r="E18" s="485">
        <f ca="1">TblConstr[[#This Row],[Hill]]</f>
        <v>20</v>
      </c>
      <c r="F18" s="489">
        <f ca="1">TblConstr[[#This Row],[Swamp]]</f>
        <v>20</v>
      </c>
      <c r="G18" s="239">
        <f ca="1">TblConstr[[#This Row],[Cavern]]</f>
        <v>20</v>
      </c>
      <c r="H18" s="240">
        <f ca="1">TblConstr[[#This Row],[Water]]</f>
        <v>20</v>
      </c>
      <c r="I18" s="281"/>
      <c r="J18" s="228">
        <f t="shared" si="1"/>
        <v>15</v>
      </c>
      <c r="K18" s="305">
        <f ca="1">TblImps[[#This Row],[Real time]]</f>
        <v>44343.583333333299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173651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39</v>
      </c>
      <c r="C19" s="236">
        <f ca="1">TblConstr[[#This Row],[Forest]]</f>
        <v>20</v>
      </c>
      <c r="D19" s="481">
        <f ca="1">TblConstr[[#This Row],[Mountain]]</f>
        <v>20</v>
      </c>
      <c r="E19" s="485">
        <f ca="1">TblConstr[[#This Row],[Hill]]</f>
        <v>20</v>
      </c>
      <c r="F19" s="489">
        <f ca="1">TblConstr[[#This Row],[Swamp]]</f>
        <v>20</v>
      </c>
      <c r="G19" s="239">
        <f ca="1">TblConstr[[#This Row],[Cavern]]</f>
        <v>20</v>
      </c>
      <c r="H19" s="240">
        <f ca="1">TblConstr[[#This Row],[Water]]</f>
        <v>20</v>
      </c>
      <c r="I19" s="281"/>
      <c r="J19" s="228">
        <f t="shared" si="1"/>
        <v>16</v>
      </c>
      <c r="K19" s="305">
        <f ca="1">TblImps[[#This Row],[Real time]]</f>
        <v>44343.624999999964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179321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39</v>
      </c>
      <c r="C20" s="236">
        <f ca="1">TblConstr[[#This Row],[Forest]]</f>
        <v>20</v>
      </c>
      <c r="D20" s="481">
        <f ca="1">TblConstr[[#This Row],[Mountain]]</f>
        <v>20</v>
      </c>
      <c r="E20" s="485">
        <f ca="1">TblConstr[[#This Row],[Hill]]</f>
        <v>20</v>
      </c>
      <c r="F20" s="489">
        <f ca="1">TblConstr[[#This Row],[Swamp]]</f>
        <v>20</v>
      </c>
      <c r="G20" s="239">
        <f ca="1">TblConstr[[#This Row],[Cavern]]</f>
        <v>20</v>
      </c>
      <c r="H20" s="240">
        <f ca="1">TblConstr[[#This Row],[Water]]</f>
        <v>20</v>
      </c>
      <c r="I20" s="281"/>
      <c r="J20" s="228">
        <f t="shared" si="1"/>
        <v>17</v>
      </c>
      <c r="K20" s="305">
        <f ca="1">TblImps[[#This Row],[Real time]]</f>
        <v>44343.666666666628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184991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39</v>
      </c>
      <c r="C21" s="236">
        <f ca="1">TblConstr[[#This Row],[Forest]]</f>
        <v>20</v>
      </c>
      <c r="D21" s="481">
        <f ca="1">TblConstr[[#This Row],[Mountain]]</f>
        <v>20</v>
      </c>
      <c r="E21" s="485">
        <f ca="1">TblConstr[[#This Row],[Hill]]</f>
        <v>20</v>
      </c>
      <c r="F21" s="489">
        <f ca="1">TblConstr[[#This Row],[Swamp]]</f>
        <v>20</v>
      </c>
      <c r="G21" s="239">
        <f ca="1">TblConstr[[#This Row],[Cavern]]</f>
        <v>20</v>
      </c>
      <c r="H21" s="240">
        <f ca="1">TblConstr[[#This Row],[Water]]</f>
        <v>20</v>
      </c>
      <c r="I21" s="281"/>
      <c r="J21" s="228">
        <f t="shared" si="1"/>
        <v>18</v>
      </c>
      <c r="K21" s="305">
        <f ca="1">TblImps[[#This Row],[Real time]]</f>
        <v>44343.708333333292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190661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39</v>
      </c>
      <c r="C22" s="236">
        <f ca="1">TblConstr[[#This Row],[Forest]]</f>
        <v>20</v>
      </c>
      <c r="D22" s="481">
        <f ca="1">TblConstr[[#This Row],[Mountain]]</f>
        <v>20</v>
      </c>
      <c r="E22" s="485">
        <f ca="1">TblConstr[[#This Row],[Hill]]</f>
        <v>20</v>
      </c>
      <c r="F22" s="489">
        <f ca="1">TblConstr[[#This Row],[Swamp]]</f>
        <v>20</v>
      </c>
      <c r="G22" s="239">
        <f ca="1">TblConstr[[#This Row],[Cavern]]</f>
        <v>20</v>
      </c>
      <c r="H22" s="240">
        <f ca="1">TblConstr[[#This Row],[Water]]</f>
        <v>20</v>
      </c>
      <c r="I22" s="281"/>
      <c r="J22" s="228">
        <f t="shared" si="1"/>
        <v>19</v>
      </c>
      <c r="K22" s="305">
        <f ca="1">TblImps[[#This Row],[Real time]]</f>
        <v>44343.749999999956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196331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39</v>
      </c>
      <c r="C23" s="236">
        <f ca="1">TblConstr[[#This Row],[Forest]]</f>
        <v>20</v>
      </c>
      <c r="D23" s="481">
        <f ca="1">TblConstr[[#This Row],[Mountain]]</f>
        <v>20</v>
      </c>
      <c r="E23" s="485">
        <f ca="1">TblConstr[[#This Row],[Hill]]</f>
        <v>20</v>
      </c>
      <c r="F23" s="489">
        <f ca="1">TblConstr[[#This Row],[Swamp]]</f>
        <v>20</v>
      </c>
      <c r="G23" s="239">
        <f ca="1">TblConstr[[#This Row],[Cavern]]</f>
        <v>20</v>
      </c>
      <c r="H23" s="240">
        <f ca="1">TblConstr[[#This Row],[Water]]</f>
        <v>20</v>
      </c>
      <c r="I23" s="281"/>
      <c r="J23" s="228">
        <f t="shared" si="1"/>
        <v>20</v>
      </c>
      <c r="K23" s="305">
        <f ca="1">TblImps[[#This Row],[Real time]]</f>
        <v>44343.791666666621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202001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39</v>
      </c>
      <c r="C24" s="236">
        <f ca="1">TblConstr[[#This Row],[Forest]]</f>
        <v>20</v>
      </c>
      <c r="D24" s="481">
        <f ca="1">TblConstr[[#This Row],[Mountain]]</f>
        <v>20</v>
      </c>
      <c r="E24" s="485">
        <f ca="1">TblConstr[[#This Row],[Hill]]</f>
        <v>20</v>
      </c>
      <c r="F24" s="489">
        <f ca="1">TblConstr[[#This Row],[Swamp]]</f>
        <v>20</v>
      </c>
      <c r="G24" s="239">
        <f ca="1">TblConstr[[#This Row],[Cavern]]</f>
        <v>20</v>
      </c>
      <c r="H24" s="240">
        <f ca="1">TblConstr[[#This Row],[Water]]</f>
        <v>20</v>
      </c>
      <c r="I24" s="281"/>
      <c r="J24" s="228">
        <f t="shared" si="1"/>
        <v>21</v>
      </c>
      <c r="K24" s="305">
        <f ca="1">TblImps[[#This Row],[Real time]]</f>
        <v>44343.833333333285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207671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39</v>
      </c>
      <c r="C25" s="236">
        <f ca="1">TblConstr[[#This Row],[Forest]]</f>
        <v>20</v>
      </c>
      <c r="D25" s="481">
        <f ca="1">TblConstr[[#This Row],[Mountain]]</f>
        <v>20</v>
      </c>
      <c r="E25" s="485">
        <f ca="1">TblConstr[[#This Row],[Hill]]</f>
        <v>20</v>
      </c>
      <c r="F25" s="489">
        <f ca="1">TblConstr[[#This Row],[Swamp]]</f>
        <v>20</v>
      </c>
      <c r="G25" s="239">
        <f ca="1">TblConstr[[#This Row],[Cavern]]</f>
        <v>20</v>
      </c>
      <c r="H25" s="240">
        <f ca="1">TblConstr[[#This Row],[Water]]</f>
        <v>20</v>
      </c>
      <c r="I25" s="281"/>
      <c r="J25" s="228">
        <f t="shared" si="1"/>
        <v>22</v>
      </c>
      <c r="K25" s="305">
        <f ca="1">TblImps[[#This Row],[Real time]]</f>
        <v>44343.874999999949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213341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39</v>
      </c>
      <c r="C26" s="236">
        <f ca="1">TblConstr[[#This Row],[Forest]]</f>
        <v>20</v>
      </c>
      <c r="D26" s="481">
        <f ca="1">TblConstr[[#This Row],[Mountain]]</f>
        <v>20</v>
      </c>
      <c r="E26" s="485">
        <f ca="1">TblConstr[[#This Row],[Hill]]</f>
        <v>20</v>
      </c>
      <c r="F26" s="489">
        <f ca="1">TblConstr[[#This Row],[Swamp]]</f>
        <v>20</v>
      </c>
      <c r="G26" s="239">
        <f ca="1">TblConstr[[#This Row],[Cavern]]</f>
        <v>20</v>
      </c>
      <c r="H26" s="240">
        <f ca="1">TblConstr[[#This Row],[Water]]</f>
        <v>20</v>
      </c>
      <c r="I26" s="281"/>
      <c r="J26" s="228">
        <f t="shared" si="1"/>
        <v>23</v>
      </c>
      <c r="K26" s="305">
        <f ca="1">TblImps[[#This Row],[Real time]]</f>
        <v>44343.916666666613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219011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39</v>
      </c>
      <c r="C27" s="236">
        <f ca="1">TblConstr[[#This Row],[Forest]]</f>
        <v>20</v>
      </c>
      <c r="D27" s="481">
        <f ca="1">TblConstr[[#This Row],[Mountain]]</f>
        <v>20</v>
      </c>
      <c r="E27" s="485">
        <f ca="1">TblConstr[[#This Row],[Hill]]</f>
        <v>20</v>
      </c>
      <c r="F27" s="489">
        <f ca="1">TblConstr[[#This Row],[Swamp]]</f>
        <v>20</v>
      </c>
      <c r="G27" s="239">
        <f ca="1">TblConstr[[#This Row],[Cavern]]</f>
        <v>20</v>
      </c>
      <c r="H27" s="240">
        <f ca="1">TblConstr[[#This Row],[Water]]</f>
        <v>20</v>
      </c>
      <c r="I27" s="281"/>
      <c r="J27" s="228">
        <f t="shared" si="1"/>
        <v>24</v>
      </c>
      <c r="K27" s="305">
        <f ca="1">TblImps[[#This Row],[Real time]]</f>
        <v>44343.958333333278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224681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39</v>
      </c>
      <c r="C28" s="236">
        <f ca="1">TblConstr[[#This Row],[Forest]]</f>
        <v>20</v>
      </c>
      <c r="D28" s="481">
        <f ca="1">TblConstr[[#This Row],[Mountain]]</f>
        <v>20</v>
      </c>
      <c r="E28" s="485">
        <f ca="1">TblConstr[[#This Row],[Hill]]</f>
        <v>20</v>
      </c>
      <c r="F28" s="489">
        <f ca="1">TblConstr[[#This Row],[Swamp]]</f>
        <v>20</v>
      </c>
      <c r="G28" s="239">
        <f ca="1">TblConstr[[#This Row],[Cavern]]</f>
        <v>20</v>
      </c>
      <c r="H28" s="240">
        <f ca="1">TblConstr[[#This Row],[Water]]</f>
        <v>20</v>
      </c>
      <c r="I28" s="281"/>
      <c r="J28" s="228">
        <f t="shared" si="1"/>
        <v>25</v>
      </c>
      <c r="K28" s="305">
        <f ca="1">TblImps[[#This Row],[Real time]]</f>
        <v>44343.999999999942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230351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39</v>
      </c>
      <c r="C29" s="236">
        <f ca="1">TblConstr[[#This Row],[Forest]]</f>
        <v>20</v>
      </c>
      <c r="D29" s="481">
        <f ca="1">TblConstr[[#This Row],[Mountain]]</f>
        <v>20</v>
      </c>
      <c r="E29" s="485">
        <f ca="1">TblConstr[[#This Row],[Hill]]</f>
        <v>20</v>
      </c>
      <c r="F29" s="489">
        <f ca="1">TblConstr[[#This Row],[Swamp]]</f>
        <v>20</v>
      </c>
      <c r="G29" s="239">
        <f ca="1">TblConstr[[#This Row],[Cavern]]</f>
        <v>20</v>
      </c>
      <c r="H29" s="240">
        <f ca="1">TblConstr[[#This Row],[Water]]</f>
        <v>20</v>
      </c>
      <c r="I29" s="281"/>
      <c r="J29" s="228">
        <f t="shared" si="1"/>
        <v>26</v>
      </c>
      <c r="K29" s="305">
        <f ca="1">TblImps[[#This Row],[Real time]]</f>
        <v>44344.041666666606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236021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39</v>
      </c>
      <c r="C30" s="236">
        <f ca="1">TblConstr[[#This Row],[Forest]]</f>
        <v>20</v>
      </c>
      <c r="D30" s="481">
        <f ca="1">TblConstr[[#This Row],[Mountain]]</f>
        <v>20</v>
      </c>
      <c r="E30" s="485">
        <f ca="1">TblConstr[[#This Row],[Hill]]</f>
        <v>20</v>
      </c>
      <c r="F30" s="489">
        <f ca="1">TblConstr[[#This Row],[Swamp]]</f>
        <v>20</v>
      </c>
      <c r="G30" s="239">
        <f ca="1">TblConstr[[#This Row],[Cavern]]</f>
        <v>20</v>
      </c>
      <c r="H30" s="240">
        <f ca="1">TblConstr[[#This Row],[Water]]</f>
        <v>20</v>
      </c>
      <c r="I30" s="281"/>
      <c r="J30" s="228">
        <f t="shared" si="1"/>
        <v>27</v>
      </c>
      <c r="K30" s="305">
        <f ca="1">TblImps[[#This Row],[Real time]]</f>
        <v>44344.08333333327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241691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39</v>
      </c>
      <c r="C31" s="236">
        <f ca="1">TblConstr[[#This Row],[Forest]]</f>
        <v>20</v>
      </c>
      <c r="D31" s="481">
        <f ca="1">TblConstr[[#This Row],[Mountain]]</f>
        <v>20</v>
      </c>
      <c r="E31" s="485">
        <f ca="1">TblConstr[[#This Row],[Hill]]</f>
        <v>20</v>
      </c>
      <c r="F31" s="489">
        <f ca="1">TblConstr[[#This Row],[Swamp]]</f>
        <v>20</v>
      </c>
      <c r="G31" s="239">
        <f ca="1">TblConstr[[#This Row],[Cavern]]</f>
        <v>20</v>
      </c>
      <c r="H31" s="240">
        <f ca="1">TblConstr[[#This Row],[Water]]</f>
        <v>20</v>
      </c>
      <c r="I31" s="281"/>
      <c r="J31" s="228">
        <f t="shared" si="1"/>
        <v>28</v>
      </c>
      <c r="K31" s="305">
        <f ca="1">TblImps[[#This Row],[Real time]]</f>
        <v>44344.124999999935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247361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39</v>
      </c>
      <c r="C32" s="236">
        <f ca="1">TblConstr[[#This Row],[Forest]]</f>
        <v>20</v>
      </c>
      <c r="D32" s="481">
        <f ca="1">TblConstr[[#This Row],[Mountain]]</f>
        <v>20</v>
      </c>
      <c r="E32" s="485">
        <f ca="1">TblConstr[[#This Row],[Hill]]</f>
        <v>20</v>
      </c>
      <c r="F32" s="489">
        <f ca="1">TblConstr[[#This Row],[Swamp]]</f>
        <v>20</v>
      </c>
      <c r="G32" s="239">
        <f ca="1">TblConstr[[#This Row],[Cavern]]</f>
        <v>20</v>
      </c>
      <c r="H32" s="240">
        <f ca="1">TblConstr[[#This Row],[Water]]</f>
        <v>20</v>
      </c>
      <c r="I32" s="281"/>
      <c r="J32" s="228">
        <f t="shared" si="1"/>
        <v>29</v>
      </c>
      <c r="K32" s="305">
        <f ca="1">TblImps[[#This Row],[Real time]]</f>
        <v>44344.166666666599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253031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39</v>
      </c>
      <c r="C33" s="236">
        <f ca="1">TblConstr[[#This Row],[Forest]]</f>
        <v>20</v>
      </c>
      <c r="D33" s="481">
        <f ca="1">TblConstr[[#This Row],[Mountain]]</f>
        <v>20</v>
      </c>
      <c r="E33" s="485">
        <f ca="1">TblConstr[[#This Row],[Hill]]</f>
        <v>20</v>
      </c>
      <c r="F33" s="489">
        <f ca="1">TblConstr[[#This Row],[Swamp]]</f>
        <v>20</v>
      </c>
      <c r="G33" s="239">
        <f ca="1">TblConstr[[#This Row],[Cavern]]</f>
        <v>20</v>
      </c>
      <c r="H33" s="240">
        <f ca="1">TblConstr[[#This Row],[Water]]</f>
        <v>20</v>
      </c>
      <c r="I33" s="281"/>
      <c r="J33" s="228">
        <f t="shared" si="1"/>
        <v>30</v>
      </c>
      <c r="K33" s="305">
        <f ca="1">TblImps[[#This Row],[Real time]]</f>
        <v>44344.208333333263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258701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39</v>
      </c>
      <c r="C34" s="236">
        <f ca="1">TblConstr[[#This Row],[Forest]]</f>
        <v>20</v>
      </c>
      <c r="D34" s="481">
        <f ca="1">TblConstr[[#This Row],[Mountain]]</f>
        <v>20</v>
      </c>
      <c r="E34" s="485">
        <f ca="1">TblConstr[[#This Row],[Hill]]</f>
        <v>20</v>
      </c>
      <c r="F34" s="489">
        <f ca="1">TblConstr[[#This Row],[Swamp]]</f>
        <v>20</v>
      </c>
      <c r="G34" s="239">
        <f ca="1">TblConstr[[#This Row],[Cavern]]</f>
        <v>20</v>
      </c>
      <c r="H34" s="240">
        <f ca="1">TblConstr[[#This Row],[Water]]</f>
        <v>20</v>
      </c>
      <c r="I34" s="281"/>
      <c r="J34" s="228">
        <f t="shared" si="1"/>
        <v>31</v>
      </c>
      <c r="K34" s="305">
        <f ca="1">TblImps[[#This Row],[Real time]]</f>
        <v>44344.249999999927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264371</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39</v>
      </c>
      <c r="C35" s="236">
        <f ca="1">TblConstr[[#This Row],[Forest]]</f>
        <v>20</v>
      </c>
      <c r="D35" s="481">
        <f ca="1">TblConstr[[#This Row],[Mountain]]</f>
        <v>20</v>
      </c>
      <c r="E35" s="485">
        <f ca="1">TblConstr[[#This Row],[Hill]]</f>
        <v>20</v>
      </c>
      <c r="F35" s="489">
        <f ca="1">TblConstr[[#This Row],[Swamp]]</f>
        <v>20</v>
      </c>
      <c r="G35" s="239">
        <f ca="1">TblConstr[[#This Row],[Cavern]]</f>
        <v>20</v>
      </c>
      <c r="H35" s="240">
        <f ca="1">TblConstr[[#This Row],[Water]]</f>
        <v>20</v>
      </c>
      <c r="I35" s="281"/>
      <c r="J35" s="228">
        <f t="shared" si="1"/>
        <v>32</v>
      </c>
      <c r="K35" s="305">
        <f ca="1">TblImps[[#This Row],[Real time]]</f>
        <v>44344.291666666591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270041</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39</v>
      </c>
      <c r="C36" s="236">
        <f ca="1">TblConstr[[#This Row],[Forest]]</f>
        <v>20</v>
      </c>
      <c r="D36" s="481">
        <f ca="1">TblConstr[[#This Row],[Mountain]]</f>
        <v>20</v>
      </c>
      <c r="E36" s="485">
        <f ca="1">TblConstr[[#This Row],[Hill]]</f>
        <v>20</v>
      </c>
      <c r="F36" s="489">
        <f ca="1">TblConstr[[#This Row],[Swamp]]</f>
        <v>20</v>
      </c>
      <c r="G36" s="239">
        <f ca="1">TblConstr[[#This Row],[Cavern]]</f>
        <v>20</v>
      </c>
      <c r="H36" s="240">
        <f ca="1">TblConstr[[#This Row],[Water]]</f>
        <v>20</v>
      </c>
      <c r="I36" s="281"/>
      <c r="J36" s="228">
        <f t="shared" si="1"/>
        <v>33</v>
      </c>
      <c r="K36" s="305">
        <f ca="1">TblImps[[#This Row],[Real time]]</f>
        <v>44344.333333333256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275670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39</v>
      </c>
      <c r="C37" s="236">
        <f ca="1">TblConstr[[#This Row],[Forest]]</f>
        <v>20</v>
      </c>
      <c r="D37" s="481">
        <f ca="1">TblConstr[[#This Row],[Mountain]]</f>
        <v>20</v>
      </c>
      <c r="E37" s="485">
        <f ca="1">TblConstr[[#This Row],[Hill]]</f>
        <v>20</v>
      </c>
      <c r="F37" s="489">
        <f ca="1">TblConstr[[#This Row],[Swamp]]</f>
        <v>20</v>
      </c>
      <c r="G37" s="239">
        <f ca="1">TblConstr[[#This Row],[Cavern]]</f>
        <v>20</v>
      </c>
      <c r="H37" s="240">
        <f ca="1">TblConstr[[#This Row],[Water]]</f>
        <v>20</v>
      </c>
      <c r="I37" s="281"/>
      <c r="J37" s="228">
        <f t="shared" si="1"/>
        <v>34</v>
      </c>
      <c r="K37" s="305">
        <f ca="1">TblImps[[#This Row],[Real time]]</f>
        <v>44344.37499999992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281256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39</v>
      </c>
      <c r="C38" s="236">
        <f ca="1">TblConstr[[#This Row],[Forest]]</f>
        <v>20</v>
      </c>
      <c r="D38" s="481">
        <f ca="1">TblConstr[[#This Row],[Mountain]]</f>
        <v>20</v>
      </c>
      <c r="E38" s="485">
        <f ca="1">TblConstr[[#This Row],[Hill]]</f>
        <v>20</v>
      </c>
      <c r="F38" s="489">
        <f ca="1">TblConstr[[#This Row],[Swamp]]</f>
        <v>20</v>
      </c>
      <c r="G38" s="239">
        <f ca="1">TblConstr[[#This Row],[Cavern]]</f>
        <v>20</v>
      </c>
      <c r="H38" s="240">
        <f ca="1">TblConstr[[#This Row],[Water]]</f>
        <v>20</v>
      </c>
      <c r="I38" s="281"/>
      <c r="J38" s="228">
        <f t="shared" si="1"/>
        <v>35</v>
      </c>
      <c r="K38" s="305">
        <f ca="1">TblImps[[#This Row],[Real time]]</f>
        <v>44344.416666666584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286799</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39</v>
      </c>
      <c r="C39" s="236">
        <f ca="1">TblConstr[[#This Row],[Forest]]</f>
        <v>20</v>
      </c>
      <c r="D39" s="481">
        <f ca="1">TblConstr[[#This Row],[Mountain]]</f>
        <v>20</v>
      </c>
      <c r="E39" s="485">
        <f ca="1">TblConstr[[#This Row],[Hill]]</f>
        <v>20</v>
      </c>
      <c r="F39" s="489">
        <f ca="1">TblConstr[[#This Row],[Swamp]]</f>
        <v>20</v>
      </c>
      <c r="G39" s="239">
        <f ca="1">TblConstr[[#This Row],[Cavern]]</f>
        <v>20</v>
      </c>
      <c r="H39" s="240">
        <f ca="1">TblConstr[[#This Row],[Water]]</f>
        <v>20</v>
      </c>
      <c r="I39" s="281"/>
      <c r="J39" s="228">
        <f t="shared" si="1"/>
        <v>36</v>
      </c>
      <c r="K39" s="305">
        <f ca="1">TblImps[[#This Row],[Real time]]</f>
        <v>44344.458333333248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292298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39</v>
      </c>
      <c r="C40" s="236">
        <f ca="1">TblConstr[[#This Row],[Forest]]</f>
        <v>20</v>
      </c>
      <c r="D40" s="481">
        <f ca="1">TblConstr[[#This Row],[Mountain]]</f>
        <v>20</v>
      </c>
      <c r="E40" s="485">
        <f ca="1">TblConstr[[#This Row],[Hill]]</f>
        <v>20</v>
      </c>
      <c r="F40" s="489">
        <f ca="1">TblConstr[[#This Row],[Swamp]]</f>
        <v>20</v>
      </c>
      <c r="G40" s="239">
        <f ca="1">TblConstr[[#This Row],[Cavern]]</f>
        <v>20</v>
      </c>
      <c r="H40" s="240">
        <f ca="1">TblConstr[[#This Row],[Water]]</f>
        <v>20</v>
      </c>
      <c r="I40" s="281"/>
      <c r="J40" s="228">
        <f t="shared" si="1"/>
        <v>37</v>
      </c>
      <c r="K40" s="305">
        <f ca="1">TblImps[[#This Row],[Real time]]</f>
        <v>44344.499999999913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297797</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39</v>
      </c>
      <c r="C41" s="236">
        <f ca="1">TblConstr[[#This Row],[Forest]]</f>
        <v>20</v>
      </c>
      <c r="D41" s="481">
        <f ca="1">TblConstr[[#This Row],[Mountain]]</f>
        <v>20</v>
      </c>
      <c r="E41" s="485">
        <f ca="1">TblConstr[[#This Row],[Hill]]</f>
        <v>20</v>
      </c>
      <c r="F41" s="489">
        <f ca="1">TblConstr[[#This Row],[Swamp]]</f>
        <v>20</v>
      </c>
      <c r="G41" s="239">
        <f ca="1">TblConstr[[#This Row],[Cavern]]</f>
        <v>20</v>
      </c>
      <c r="H41" s="240">
        <f ca="1">TblConstr[[#This Row],[Water]]</f>
        <v>20</v>
      </c>
      <c r="I41" s="281"/>
      <c r="J41" s="228">
        <f t="shared" si="1"/>
        <v>38</v>
      </c>
      <c r="K41" s="305">
        <f ca="1">TblImps[[#This Row],[Real time]]</f>
        <v>44344.541666666577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303296</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39</v>
      </c>
      <c r="C42" s="236">
        <f ca="1">TblConstr[[#This Row],[Forest]]</f>
        <v>20</v>
      </c>
      <c r="D42" s="481">
        <f ca="1">TblConstr[[#This Row],[Mountain]]</f>
        <v>20</v>
      </c>
      <c r="E42" s="485">
        <f ca="1">TblConstr[[#This Row],[Hill]]</f>
        <v>20</v>
      </c>
      <c r="F42" s="489">
        <f ca="1">TblConstr[[#This Row],[Swamp]]</f>
        <v>20</v>
      </c>
      <c r="G42" s="239">
        <f ca="1">TblConstr[[#This Row],[Cavern]]</f>
        <v>20</v>
      </c>
      <c r="H42" s="240">
        <f ca="1">TblConstr[[#This Row],[Water]]</f>
        <v>20</v>
      </c>
      <c r="I42" s="281"/>
      <c r="J42" s="228">
        <f t="shared" si="1"/>
        <v>39</v>
      </c>
      <c r="K42" s="305">
        <f ca="1">TblImps[[#This Row],[Real time]]</f>
        <v>44344.583333333241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308795</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39</v>
      </c>
      <c r="C43" s="236">
        <f ca="1">TblConstr[[#This Row],[Forest]]</f>
        <v>20</v>
      </c>
      <c r="D43" s="481">
        <f ca="1">TblConstr[[#This Row],[Mountain]]</f>
        <v>20</v>
      </c>
      <c r="E43" s="485">
        <f ca="1">TblConstr[[#This Row],[Hill]]</f>
        <v>20</v>
      </c>
      <c r="F43" s="489">
        <f ca="1">TblConstr[[#This Row],[Swamp]]</f>
        <v>20</v>
      </c>
      <c r="G43" s="239">
        <f ca="1">TblConstr[[#This Row],[Cavern]]</f>
        <v>20</v>
      </c>
      <c r="H43" s="240">
        <f ca="1">TblConstr[[#This Row],[Water]]</f>
        <v>20</v>
      </c>
      <c r="I43" s="281"/>
      <c r="J43" s="228">
        <f t="shared" si="1"/>
        <v>40</v>
      </c>
      <c r="K43" s="305">
        <f ca="1">TblImps[[#This Row],[Real time]]</f>
        <v>44344.624999999905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314294</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39</v>
      </c>
      <c r="C44" s="236">
        <f ca="1">TblConstr[[#This Row],[Forest]]</f>
        <v>20</v>
      </c>
      <c r="D44" s="481">
        <f ca="1">TblConstr[[#This Row],[Mountain]]</f>
        <v>20</v>
      </c>
      <c r="E44" s="485">
        <f ca="1">TblConstr[[#This Row],[Hill]]</f>
        <v>20</v>
      </c>
      <c r="F44" s="489">
        <f ca="1">TblConstr[[#This Row],[Swamp]]</f>
        <v>20</v>
      </c>
      <c r="G44" s="239">
        <f ca="1">TblConstr[[#This Row],[Cavern]]</f>
        <v>20</v>
      </c>
      <c r="H44" s="240">
        <f ca="1">TblConstr[[#This Row],[Water]]</f>
        <v>20</v>
      </c>
      <c r="I44" s="281"/>
      <c r="J44" s="228">
        <f t="shared" si="1"/>
        <v>41</v>
      </c>
      <c r="K44" s="305">
        <f ca="1">TblImps[[#This Row],[Real time]]</f>
        <v>44344.66666666657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319793</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39</v>
      </c>
      <c r="C45" s="236">
        <f ca="1">TblConstr[[#This Row],[Forest]]</f>
        <v>20</v>
      </c>
      <c r="D45" s="481">
        <f ca="1">TblConstr[[#This Row],[Mountain]]</f>
        <v>20</v>
      </c>
      <c r="E45" s="485">
        <f ca="1">TblConstr[[#This Row],[Hill]]</f>
        <v>20</v>
      </c>
      <c r="F45" s="489">
        <f ca="1">TblConstr[[#This Row],[Swamp]]</f>
        <v>20</v>
      </c>
      <c r="G45" s="239">
        <f ca="1">TblConstr[[#This Row],[Cavern]]</f>
        <v>20</v>
      </c>
      <c r="H45" s="240">
        <f ca="1">TblConstr[[#This Row],[Water]]</f>
        <v>20</v>
      </c>
      <c r="I45" s="281"/>
      <c r="J45" s="228">
        <f t="shared" si="1"/>
        <v>42</v>
      </c>
      <c r="K45" s="305">
        <f ca="1">TblImps[[#This Row],[Real time]]</f>
        <v>44344.708333333234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325292</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39</v>
      </c>
      <c r="C46" s="236">
        <f ca="1">TblConstr[[#This Row],[Forest]]</f>
        <v>20</v>
      </c>
      <c r="D46" s="481">
        <f ca="1">TblConstr[[#This Row],[Mountain]]</f>
        <v>20</v>
      </c>
      <c r="E46" s="485">
        <f ca="1">TblConstr[[#This Row],[Hill]]</f>
        <v>20</v>
      </c>
      <c r="F46" s="489">
        <f ca="1">TblConstr[[#This Row],[Swamp]]</f>
        <v>20</v>
      </c>
      <c r="G46" s="239">
        <f ca="1">TblConstr[[#This Row],[Cavern]]</f>
        <v>20</v>
      </c>
      <c r="H46" s="240">
        <f ca="1">TblConstr[[#This Row],[Water]]</f>
        <v>20</v>
      </c>
      <c r="I46" s="281"/>
      <c r="J46" s="228">
        <f t="shared" si="1"/>
        <v>43</v>
      </c>
      <c r="K46" s="305">
        <f ca="1">TblImps[[#This Row],[Real time]]</f>
        <v>44344.749999999898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330791</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39</v>
      </c>
      <c r="C47" s="236">
        <f ca="1">TblConstr[[#This Row],[Forest]]</f>
        <v>20</v>
      </c>
      <c r="D47" s="481">
        <f ca="1">TblConstr[[#This Row],[Mountain]]</f>
        <v>20</v>
      </c>
      <c r="E47" s="485">
        <f ca="1">TblConstr[[#This Row],[Hill]]</f>
        <v>20</v>
      </c>
      <c r="F47" s="489">
        <f ca="1">TblConstr[[#This Row],[Swamp]]</f>
        <v>20</v>
      </c>
      <c r="G47" s="239">
        <f ca="1">TblConstr[[#This Row],[Cavern]]</f>
        <v>20</v>
      </c>
      <c r="H47" s="240">
        <f ca="1">TblConstr[[#This Row],[Water]]</f>
        <v>20</v>
      </c>
      <c r="I47" s="281"/>
      <c r="J47" s="228">
        <f t="shared" si="1"/>
        <v>44</v>
      </c>
      <c r="K47" s="305">
        <f ca="1">TblImps[[#This Row],[Real time]]</f>
        <v>44344.791666666562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336290</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39</v>
      </c>
      <c r="C48" s="236">
        <f ca="1">TblConstr[[#This Row],[Forest]]</f>
        <v>20</v>
      </c>
      <c r="D48" s="481">
        <f ca="1">TblConstr[[#This Row],[Mountain]]</f>
        <v>20</v>
      </c>
      <c r="E48" s="485">
        <f ca="1">TblConstr[[#This Row],[Hill]]</f>
        <v>20</v>
      </c>
      <c r="F48" s="489">
        <f ca="1">TblConstr[[#This Row],[Swamp]]</f>
        <v>20</v>
      </c>
      <c r="G48" s="239">
        <f ca="1">TblConstr[[#This Row],[Cavern]]</f>
        <v>20</v>
      </c>
      <c r="H48" s="240">
        <f ca="1">TblConstr[[#This Row],[Water]]</f>
        <v>20</v>
      </c>
      <c r="I48" s="281"/>
      <c r="J48" s="228">
        <f t="shared" si="1"/>
        <v>45</v>
      </c>
      <c r="K48" s="305">
        <f ca="1">TblImps[[#This Row],[Real time]]</f>
        <v>44344.833333333227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341789</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39</v>
      </c>
      <c r="C49" s="236">
        <f ca="1">TblConstr[[#This Row],[Forest]]</f>
        <v>20</v>
      </c>
      <c r="D49" s="481">
        <f ca="1">TblConstr[[#This Row],[Mountain]]</f>
        <v>20</v>
      </c>
      <c r="E49" s="485">
        <f ca="1">TblConstr[[#This Row],[Hill]]</f>
        <v>20</v>
      </c>
      <c r="F49" s="489">
        <f ca="1">TblConstr[[#This Row],[Swamp]]</f>
        <v>20</v>
      </c>
      <c r="G49" s="239">
        <f ca="1">TblConstr[[#This Row],[Cavern]]</f>
        <v>20</v>
      </c>
      <c r="H49" s="240">
        <f ca="1">TblConstr[[#This Row],[Water]]</f>
        <v>20</v>
      </c>
      <c r="I49" s="281"/>
      <c r="J49" s="228">
        <f t="shared" si="1"/>
        <v>46</v>
      </c>
      <c r="K49" s="305">
        <f ca="1">TblImps[[#This Row],[Real time]]</f>
        <v>44344.874999999891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347288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39</v>
      </c>
      <c r="C50" s="236">
        <f ca="1">TblConstr[[#This Row],[Forest]]</f>
        <v>20</v>
      </c>
      <c r="D50" s="481">
        <f ca="1">TblConstr[[#This Row],[Mountain]]</f>
        <v>20</v>
      </c>
      <c r="E50" s="485">
        <f ca="1">TblConstr[[#This Row],[Hill]]</f>
        <v>20</v>
      </c>
      <c r="F50" s="489">
        <f ca="1">TblConstr[[#This Row],[Swamp]]</f>
        <v>20</v>
      </c>
      <c r="G50" s="239">
        <f ca="1">TblConstr[[#This Row],[Cavern]]</f>
        <v>20</v>
      </c>
      <c r="H50" s="240">
        <f ca="1">TblConstr[[#This Row],[Water]]</f>
        <v>20</v>
      </c>
      <c r="I50" s="281"/>
      <c r="J50" s="228">
        <f t="shared" si="1"/>
        <v>47</v>
      </c>
      <c r="K50" s="305">
        <f ca="1">TblImps[[#This Row],[Real time]]</f>
        <v>44344.916666666555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352787</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39</v>
      </c>
      <c r="C51" s="236">
        <f ca="1">TblConstr[[#This Row],[Forest]]</f>
        <v>20</v>
      </c>
      <c r="D51" s="481">
        <f ca="1">TblConstr[[#This Row],[Mountain]]</f>
        <v>20</v>
      </c>
      <c r="E51" s="485">
        <f ca="1">TblConstr[[#This Row],[Hill]]</f>
        <v>20</v>
      </c>
      <c r="F51" s="489">
        <f ca="1">TblConstr[[#This Row],[Swamp]]</f>
        <v>20</v>
      </c>
      <c r="G51" s="239">
        <f ca="1">TblConstr[[#This Row],[Cavern]]</f>
        <v>20</v>
      </c>
      <c r="H51" s="240">
        <f ca="1">TblConstr[[#This Row],[Water]]</f>
        <v>20</v>
      </c>
      <c r="I51" s="281"/>
      <c r="J51" s="228">
        <f t="shared" si="1"/>
        <v>48</v>
      </c>
      <c r="K51" s="305">
        <f ca="1">TblImps[[#This Row],[Real time]]</f>
        <v>44344.958333333219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358286</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39</v>
      </c>
      <c r="C52" s="236">
        <f ca="1">TblConstr[[#This Row],[Forest]]</f>
        <v>20</v>
      </c>
      <c r="D52" s="481">
        <f ca="1">TblConstr[[#This Row],[Mountain]]</f>
        <v>20</v>
      </c>
      <c r="E52" s="485">
        <f ca="1">TblConstr[[#This Row],[Hill]]</f>
        <v>20</v>
      </c>
      <c r="F52" s="489">
        <f ca="1">TblConstr[[#This Row],[Swamp]]</f>
        <v>20</v>
      </c>
      <c r="G52" s="239">
        <f ca="1">TblConstr[[#This Row],[Cavern]]</f>
        <v>20</v>
      </c>
      <c r="H52" s="240">
        <f ca="1">TblConstr[[#This Row],[Water]]</f>
        <v>20</v>
      </c>
      <c r="I52" s="281"/>
      <c r="J52" s="228">
        <f t="shared" si="1"/>
        <v>49</v>
      </c>
      <c r="K52" s="305">
        <f ca="1">TblImps[[#This Row],[Real time]]</f>
        <v>44344.999999999884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363785</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39</v>
      </c>
      <c r="C53" s="236">
        <f ca="1">TblConstr[[#This Row],[Forest]]</f>
        <v>20</v>
      </c>
      <c r="D53" s="481">
        <f ca="1">TblConstr[[#This Row],[Mountain]]</f>
        <v>20</v>
      </c>
      <c r="E53" s="485">
        <f ca="1">TblConstr[[#This Row],[Hill]]</f>
        <v>20</v>
      </c>
      <c r="F53" s="489">
        <f ca="1">TblConstr[[#This Row],[Swamp]]</f>
        <v>20</v>
      </c>
      <c r="G53" s="239">
        <f ca="1">TblConstr[[#This Row],[Cavern]]</f>
        <v>20</v>
      </c>
      <c r="H53" s="240">
        <f ca="1">TblConstr[[#This Row],[Water]]</f>
        <v>20</v>
      </c>
      <c r="I53" s="281"/>
      <c r="J53" s="228">
        <f t="shared" si="1"/>
        <v>50</v>
      </c>
      <c r="K53" s="305">
        <f ca="1">TblImps[[#This Row],[Real time]]</f>
        <v>44345.041666666548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369284</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39</v>
      </c>
      <c r="C54" s="236">
        <f ca="1">TblConstr[[#This Row],[Forest]]</f>
        <v>20</v>
      </c>
      <c r="D54" s="481">
        <f ca="1">TblConstr[[#This Row],[Mountain]]</f>
        <v>20</v>
      </c>
      <c r="E54" s="485">
        <f ca="1">TblConstr[[#This Row],[Hill]]</f>
        <v>20</v>
      </c>
      <c r="F54" s="489">
        <f ca="1">TblConstr[[#This Row],[Swamp]]</f>
        <v>20</v>
      </c>
      <c r="G54" s="239">
        <f ca="1">TblConstr[[#This Row],[Cavern]]</f>
        <v>20</v>
      </c>
      <c r="H54" s="240">
        <f ca="1">TblConstr[[#This Row],[Water]]</f>
        <v>20</v>
      </c>
      <c r="I54" s="281"/>
      <c r="J54" s="228">
        <f t="shared" si="1"/>
        <v>51</v>
      </c>
      <c r="K54" s="305">
        <f ca="1">TblImps[[#This Row],[Real time]]</f>
        <v>44345.083333333212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374783</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39</v>
      </c>
      <c r="C55" s="236">
        <f ca="1">TblConstr[[#This Row],[Forest]]</f>
        <v>20</v>
      </c>
      <c r="D55" s="481">
        <f ca="1">TblConstr[[#This Row],[Mountain]]</f>
        <v>20</v>
      </c>
      <c r="E55" s="485">
        <f ca="1">TblConstr[[#This Row],[Hill]]</f>
        <v>20</v>
      </c>
      <c r="F55" s="489">
        <f ca="1">TblConstr[[#This Row],[Swamp]]</f>
        <v>20</v>
      </c>
      <c r="G55" s="239">
        <f ca="1">TblConstr[[#This Row],[Cavern]]</f>
        <v>20</v>
      </c>
      <c r="H55" s="240">
        <f ca="1">TblConstr[[#This Row],[Water]]</f>
        <v>20</v>
      </c>
      <c r="I55" s="281"/>
      <c r="J55" s="228">
        <f t="shared" si="1"/>
        <v>52</v>
      </c>
      <c r="K55" s="305">
        <f ca="1">TblImps[[#This Row],[Real time]]</f>
        <v>44345.124999999876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380282</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39</v>
      </c>
      <c r="C56" s="236">
        <f ca="1">TblConstr[[#This Row],[Forest]]</f>
        <v>20</v>
      </c>
      <c r="D56" s="481">
        <f ca="1">TblConstr[[#This Row],[Mountain]]</f>
        <v>20</v>
      </c>
      <c r="E56" s="485">
        <f ca="1">TblConstr[[#This Row],[Hill]]</f>
        <v>20</v>
      </c>
      <c r="F56" s="489">
        <f ca="1">TblConstr[[#This Row],[Swamp]]</f>
        <v>20</v>
      </c>
      <c r="G56" s="239">
        <f ca="1">TblConstr[[#This Row],[Cavern]]</f>
        <v>20</v>
      </c>
      <c r="H56" s="240">
        <f ca="1">TblConstr[[#This Row],[Water]]</f>
        <v>20</v>
      </c>
      <c r="I56" s="281"/>
      <c r="J56" s="228">
        <f t="shared" si="1"/>
        <v>53</v>
      </c>
      <c r="K56" s="305">
        <f ca="1">TblImps[[#This Row],[Real time]]</f>
        <v>44345.166666666541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385781</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39</v>
      </c>
      <c r="C57" s="236">
        <f ca="1">TblConstr[[#This Row],[Forest]]</f>
        <v>20</v>
      </c>
      <c r="D57" s="481">
        <f ca="1">TblConstr[[#This Row],[Mountain]]</f>
        <v>20</v>
      </c>
      <c r="E57" s="485">
        <f ca="1">TblConstr[[#This Row],[Hill]]</f>
        <v>20</v>
      </c>
      <c r="F57" s="489">
        <f ca="1">TblConstr[[#This Row],[Swamp]]</f>
        <v>20</v>
      </c>
      <c r="G57" s="239">
        <f ca="1">TblConstr[[#This Row],[Cavern]]</f>
        <v>20</v>
      </c>
      <c r="H57" s="240">
        <f ca="1">TblConstr[[#This Row],[Water]]</f>
        <v>20</v>
      </c>
      <c r="I57" s="281"/>
      <c r="J57" s="228">
        <f t="shared" si="1"/>
        <v>54</v>
      </c>
      <c r="K57" s="305">
        <f ca="1">TblImps[[#This Row],[Real time]]</f>
        <v>44345.208333333205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391280</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39</v>
      </c>
      <c r="C58" s="236">
        <f ca="1">TblConstr[[#This Row],[Forest]]</f>
        <v>20</v>
      </c>
      <c r="D58" s="481">
        <f ca="1">TblConstr[[#This Row],[Mountain]]</f>
        <v>20</v>
      </c>
      <c r="E58" s="485">
        <f ca="1">TblConstr[[#This Row],[Hill]]</f>
        <v>20</v>
      </c>
      <c r="F58" s="489">
        <f ca="1">TblConstr[[#This Row],[Swamp]]</f>
        <v>20</v>
      </c>
      <c r="G58" s="239">
        <f ca="1">TblConstr[[#This Row],[Cavern]]</f>
        <v>20</v>
      </c>
      <c r="H58" s="240">
        <f ca="1">TblConstr[[#This Row],[Water]]</f>
        <v>20</v>
      </c>
      <c r="I58" s="281"/>
      <c r="J58" s="228">
        <f t="shared" si="1"/>
        <v>55</v>
      </c>
      <c r="K58" s="305">
        <f ca="1">TblImps[[#This Row],[Real time]]</f>
        <v>44345.249999999869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396779</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39</v>
      </c>
      <c r="C59" s="236">
        <f ca="1">TblConstr[[#This Row],[Forest]]</f>
        <v>20</v>
      </c>
      <c r="D59" s="481">
        <f ca="1">TblConstr[[#This Row],[Mountain]]</f>
        <v>20</v>
      </c>
      <c r="E59" s="485">
        <f ca="1">TblConstr[[#This Row],[Hill]]</f>
        <v>20</v>
      </c>
      <c r="F59" s="489">
        <f ca="1">TblConstr[[#This Row],[Swamp]]</f>
        <v>20</v>
      </c>
      <c r="G59" s="239">
        <f ca="1">TblConstr[[#This Row],[Cavern]]</f>
        <v>20</v>
      </c>
      <c r="H59" s="240">
        <f ca="1">TblConstr[[#This Row],[Water]]</f>
        <v>20</v>
      </c>
      <c r="I59" s="281"/>
      <c r="J59" s="228">
        <f t="shared" si="1"/>
        <v>56</v>
      </c>
      <c r="K59" s="305">
        <f ca="1">TblImps[[#This Row],[Real time]]</f>
        <v>44345.291666666533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402278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39</v>
      </c>
      <c r="C60" s="236">
        <f ca="1">TblConstr[[#This Row],[Forest]]</f>
        <v>20</v>
      </c>
      <c r="D60" s="481">
        <f ca="1">TblConstr[[#This Row],[Mountain]]</f>
        <v>20</v>
      </c>
      <c r="E60" s="485">
        <f ca="1">TblConstr[[#This Row],[Hill]]</f>
        <v>20</v>
      </c>
      <c r="F60" s="489">
        <f ca="1">TblConstr[[#This Row],[Swamp]]</f>
        <v>20</v>
      </c>
      <c r="G60" s="239">
        <f ca="1">TblConstr[[#This Row],[Cavern]]</f>
        <v>20</v>
      </c>
      <c r="H60" s="240">
        <f ca="1">TblConstr[[#This Row],[Water]]</f>
        <v>20</v>
      </c>
      <c r="I60" s="281"/>
      <c r="J60" s="228">
        <f t="shared" si="1"/>
        <v>57</v>
      </c>
      <c r="K60" s="305">
        <f ca="1">TblImps[[#This Row],[Real time]]</f>
        <v>44345.333333333198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407777</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39</v>
      </c>
      <c r="C61" s="236">
        <f ca="1">TblConstr[[#This Row],[Forest]]</f>
        <v>20</v>
      </c>
      <c r="D61" s="481">
        <f ca="1">TblConstr[[#This Row],[Mountain]]</f>
        <v>20</v>
      </c>
      <c r="E61" s="485">
        <f ca="1">TblConstr[[#This Row],[Hill]]</f>
        <v>20</v>
      </c>
      <c r="F61" s="489">
        <f ca="1">TblConstr[[#This Row],[Swamp]]</f>
        <v>20</v>
      </c>
      <c r="G61" s="239">
        <f ca="1">TblConstr[[#This Row],[Cavern]]</f>
        <v>20</v>
      </c>
      <c r="H61" s="240">
        <f ca="1">TblConstr[[#This Row],[Water]]</f>
        <v>20</v>
      </c>
      <c r="I61" s="281"/>
      <c r="J61" s="228">
        <f t="shared" si="1"/>
        <v>58</v>
      </c>
      <c r="K61" s="305">
        <f ca="1">TblImps[[#This Row],[Real time]]</f>
        <v>44345.374999999862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413276</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39</v>
      </c>
      <c r="C62" s="236">
        <f ca="1">TblConstr[[#This Row],[Forest]]</f>
        <v>20</v>
      </c>
      <c r="D62" s="481">
        <f ca="1">TblConstr[[#This Row],[Mountain]]</f>
        <v>20</v>
      </c>
      <c r="E62" s="485">
        <f ca="1">TblConstr[[#This Row],[Hill]]</f>
        <v>20</v>
      </c>
      <c r="F62" s="489">
        <f ca="1">TblConstr[[#This Row],[Swamp]]</f>
        <v>20</v>
      </c>
      <c r="G62" s="239">
        <f ca="1">TblConstr[[#This Row],[Cavern]]</f>
        <v>20</v>
      </c>
      <c r="H62" s="240">
        <f ca="1">TblConstr[[#This Row],[Water]]</f>
        <v>20</v>
      </c>
      <c r="I62" s="281"/>
      <c r="J62" s="228">
        <f t="shared" si="1"/>
        <v>59</v>
      </c>
      <c r="K62" s="305">
        <f ca="1">TblImps[[#This Row],[Real time]]</f>
        <v>44345.416666666526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418775</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39</v>
      </c>
      <c r="C63" s="236">
        <f ca="1">TblConstr[[#This Row],[Forest]]</f>
        <v>20</v>
      </c>
      <c r="D63" s="481">
        <f ca="1">TblConstr[[#This Row],[Mountain]]</f>
        <v>20</v>
      </c>
      <c r="E63" s="485">
        <f ca="1">TblConstr[[#This Row],[Hill]]</f>
        <v>20</v>
      </c>
      <c r="F63" s="489">
        <f ca="1">TblConstr[[#This Row],[Swamp]]</f>
        <v>20</v>
      </c>
      <c r="G63" s="239">
        <f ca="1">TblConstr[[#This Row],[Cavern]]</f>
        <v>20</v>
      </c>
      <c r="H63" s="240">
        <f ca="1">TblConstr[[#This Row],[Water]]</f>
        <v>20</v>
      </c>
      <c r="I63" s="281"/>
      <c r="J63" s="228">
        <f t="shared" si="1"/>
        <v>60</v>
      </c>
      <c r="K63" s="305">
        <f ca="1">TblImps[[#This Row],[Real time]]</f>
        <v>44345.45833333319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424274</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39</v>
      </c>
      <c r="C64" s="236">
        <f ca="1">TblConstr[[#This Row],[Forest]]</f>
        <v>20</v>
      </c>
      <c r="D64" s="481">
        <f ca="1">TblConstr[[#This Row],[Mountain]]</f>
        <v>20</v>
      </c>
      <c r="E64" s="485">
        <f ca="1">TblConstr[[#This Row],[Hill]]</f>
        <v>20</v>
      </c>
      <c r="F64" s="489">
        <f ca="1">TblConstr[[#This Row],[Swamp]]</f>
        <v>20</v>
      </c>
      <c r="G64" s="239">
        <f ca="1">TblConstr[[#This Row],[Cavern]]</f>
        <v>20</v>
      </c>
      <c r="H64" s="240">
        <f ca="1">TblConstr[[#This Row],[Water]]</f>
        <v>20</v>
      </c>
      <c r="I64" s="281"/>
      <c r="J64" s="228">
        <f t="shared" si="1"/>
        <v>61</v>
      </c>
      <c r="K64" s="305">
        <f ca="1">TblImps[[#This Row],[Real time]]</f>
        <v>44345.499999999854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429773</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39</v>
      </c>
      <c r="C65" s="236">
        <f ca="1">TblConstr[[#This Row],[Forest]]</f>
        <v>20</v>
      </c>
      <c r="D65" s="481">
        <f ca="1">TblConstr[[#This Row],[Mountain]]</f>
        <v>20</v>
      </c>
      <c r="E65" s="485">
        <f ca="1">TblConstr[[#This Row],[Hill]]</f>
        <v>20</v>
      </c>
      <c r="F65" s="489">
        <f ca="1">TblConstr[[#This Row],[Swamp]]</f>
        <v>20</v>
      </c>
      <c r="G65" s="239">
        <f ca="1">TblConstr[[#This Row],[Cavern]]</f>
        <v>20</v>
      </c>
      <c r="H65" s="240">
        <f ca="1">TblConstr[[#This Row],[Water]]</f>
        <v>20</v>
      </c>
      <c r="I65" s="281"/>
      <c r="J65" s="228">
        <f t="shared" si="1"/>
        <v>62</v>
      </c>
      <c r="K65" s="305">
        <f ca="1">TblImps[[#This Row],[Real time]]</f>
        <v>44345.541666666519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435272</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39</v>
      </c>
      <c r="C66" s="236">
        <f ca="1">TblConstr[[#This Row],[Forest]]</f>
        <v>20</v>
      </c>
      <c r="D66" s="481">
        <f ca="1">TblConstr[[#This Row],[Mountain]]</f>
        <v>20</v>
      </c>
      <c r="E66" s="485">
        <f ca="1">TblConstr[[#This Row],[Hill]]</f>
        <v>20</v>
      </c>
      <c r="F66" s="489">
        <f ca="1">TblConstr[[#This Row],[Swamp]]</f>
        <v>20</v>
      </c>
      <c r="G66" s="239">
        <f ca="1">TblConstr[[#This Row],[Cavern]]</f>
        <v>20</v>
      </c>
      <c r="H66" s="240">
        <f ca="1">TblConstr[[#This Row],[Water]]</f>
        <v>20</v>
      </c>
      <c r="I66" s="281"/>
      <c r="J66" s="228">
        <f t="shared" si="1"/>
        <v>63</v>
      </c>
      <c r="K66" s="305">
        <f ca="1">TblImps[[#This Row],[Real time]]</f>
        <v>44345.583333333183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440771</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39</v>
      </c>
      <c r="C67" s="236">
        <f ca="1">TblConstr[[#This Row],[Forest]]</f>
        <v>20</v>
      </c>
      <c r="D67" s="481">
        <f ca="1">TblConstr[[#This Row],[Mountain]]</f>
        <v>20</v>
      </c>
      <c r="E67" s="485">
        <f ca="1">TblConstr[[#This Row],[Hill]]</f>
        <v>20</v>
      </c>
      <c r="F67" s="489">
        <f ca="1">TblConstr[[#This Row],[Swamp]]</f>
        <v>20</v>
      </c>
      <c r="G67" s="239">
        <f ca="1">TblConstr[[#This Row],[Cavern]]</f>
        <v>20</v>
      </c>
      <c r="H67" s="240">
        <f ca="1">TblConstr[[#This Row],[Water]]</f>
        <v>20</v>
      </c>
      <c r="I67" s="281"/>
      <c r="J67" s="228">
        <f t="shared" si="1"/>
        <v>64</v>
      </c>
      <c r="K67" s="305">
        <f ca="1">TblImps[[#This Row],[Real time]]</f>
        <v>44345.624999999847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446270</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39</v>
      </c>
      <c r="C68" s="236">
        <f ca="1">TblConstr[[#This Row],[Forest]]</f>
        <v>20</v>
      </c>
      <c r="D68" s="481">
        <f ca="1">TblConstr[[#This Row],[Mountain]]</f>
        <v>20</v>
      </c>
      <c r="E68" s="485">
        <f ca="1">TblConstr[[#This Row],[Hill]]</f>
        <v>20</v>
      </c>
      <c r="F68" s="489">
        <f ca="1">TblConstr[[#This Row],[Swamp]]</f>
        <v>20</v>
      </c>
      <c r="G68" s="239">
        <f ca="1">TblConstr[[#This Row],[Cavern]]</f>
        <v>20</v>
      </c>
      <c r="H68" s="240">
        <f ca="1">TblConstr[[#This Row],[Water]]</f>
        <v>20</v>
      </c>
      <c r="I68" s="281"/>
      <c r="J68" s="228">
        <f t="shared" si="1"/>
        <v>65</v>
      </c>
      <c r="K68" s="305">
        <f ca="1">TblImps[[#This Row],[Real time]]</f>
        <v>44345.666666666511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451769</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39</v>
      </c>
      <c r="C69" s="236">
        <f ca="1">TblConstr[[#This Row],[Forest]]</f>
        <v>20</v>
      </c>
      <c r="D69" s="481">
        <f ca="1">TblConstr[[#This Row],[Mountain]]</f>
        <v>20</v>
      </c>
      <c r="E69" s="485">
        <f ca="1">TblConstr[[#This Row],[Hill]]</f>
        <v>20</v>
      </c>
      <c r="F69" s="489">
        <f ca="1">TblConstr[[#This Row],[Swamp]]</f>
        <v>20</v>
      </c>
      <c r="G69" s="239">
        <f ca="1">TblConstr[[#This Row],[Cavern]]</f>
        <v>20</v>
      </c>
      <c r="H69" s="240">
        <f ca="1">TblConstr[[#This Row],[Water]]</f>
        <v>20</v>
      </c>
      <c r="I69" s="281"/>
      <c r="J69" s="228">
        <f t="shared" si="1"/>
        <v>66</v>
      </c>
      <c r="K69" s="305">
        <f ca="1">TblImps[[#This Row],[Real time]]</f>
        <v>44345.708333333176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457268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39</v>
      </c>
      <c r="C70" s="236">
        <f ca="1">TblConstr[[#This Row],[Forest]]</f>
        <v>20</v>
      </c>
      <c r="D70" s="481">
        <f ca="1">TblConstr[[#This Row],[Mountain]]</f>
        <v>20</v>
      </c>
      <c r="E70" s="485">
        <f ca="1">TblConstr[[#This Row],[Hill]]</f>
        <v>20</v>
      </c>
      <c r="F70" s="489">
        <f ca="1">TblConstr[[#This Row],[Swamp]]</f>
        <v>20</v>
      </c>
      <c r="G70" s="239">
        <f ca="1">TblConstr[[#This Row],[Cavern]]</f>
        <v>20</v>
      </c>
      <c r="H70" s="240">
        <f ca="1">TblConstr[[#This Row],[Water]]</f>
        <v>20</v>
      </c>
      <c r="I70" s="281"/>
      <c r="J70" s="228">
        <f t="shared" si="1"/>
        <v>67</v>
      </c>
      <c r="K70" s="305">
        <f ca="1">TblImps[[#This Row],[Real time]]</f>
        <v>44345.74999999984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462767</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39</v>
      </c>
      <c r="C71" s="236">
        <f ca="1">TblConstr[[#This Row],[Forest]]</f>
        <v>20</v>
      </c>
      <c r="D71" s="481">
        <f ca="1">TblConstr[[#This Row],[Mountain]]</f>
        <v>20</v>
      </c>
      <c r="E71" s="485">
        <f ca="1">TblConstr[[#This Row],[Hill]]</f>
        <v>20</v>
      </c>
      <c r="F71" s="489">
        <f ca="1">TblConstr[[#This Row],[Swamp]]</f>
        <v>20</v>
      </c>
      <c r="G71" s="239">
        <f ca="1">TblConstr[[#This Row],[Cavern]]</f>
        <v>20</v>
      </c>
      <c r="H71" s="240">
        <f ca="1">TblConstr[[#This Row],[Water]]</f>
        <v>20</v>
      </c>
      <c r="I71" s="281"/>
      <c r="J71" s="228">
        <f t="shared" si="1"/>
        <v>68</v>
      </c>
      <c r="K71" s="305">
        <f ca="1">TblImps[[#This Row],[Real time]]</f>
        <v>44345.791666666504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468266</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39</v>
      </c>
      <c r="C72" s="236">
        <f ca="1">TblConstr[[#This Row],[Forest]]</f>
        <v>20</v>
      </c>
      <c r="D72" s="481">
        <f ca="1">TblConstr[[#This Row],[Mountain]]</f>
        <v>20</v>
      </c>
      <c r="E72" s="485">
        <f ca="1">TblConstr[[#This Row],[Hill]]</f>
        <v>20</v>
      </c>
      <c r="F72" s="489">
        <f ca="1">TblConstr[[#This Row],[Swamp]]</f>
        <v>20</v>
      </c>
      <c r="G72" s="239">
        <f ca="1">TblConstr[[#This Row],[Cavern]]</f>
        <v>20</v>
      </c>
      <c r="H72" s="240">
        <f ca="1">TblConstr[[#This Row],[Water]]</f>
        <v>20</v>
      </c>
      <c r="I72" s="281"/>
      <c r="J72" s="228">
        <f t="shared" si="1"/>
        <v>69</v>
      </c>
      <c r="K72" s="305">
        <f ca="1">TblImps[[#This Row],[Real time]]</f>
        <v>44345.833333333168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473765</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39</v>
      </c>
      <c r="C73" s="236">
        <f ca="1">TblConstr[[#This Row],[Forest]]</f>
        <v>20</v>
      </c>
      <c r="D73" s="481">
        <f ca="1">TblConstr[[#This Row],[Mountain]]</f>
        <v>20</v>
      </c>
      <c r="E73" s="485">
        <f ca="1">TblConstr[[#This Row],[Hill]]</f>
        <v>20</v>
      </c>
      <c r="F73" s="489">
        <f ca="1">TblConstr[[#This Row],[Swamp]]</f>
        <v>20</v>
      </c>
      <c r="G73" s="239">
        <f ca="1">TblConstr[[#This Row],[Cavern]]</f>
        <v>20</v>
      </c>
      <c r="H73" s="240">
        <f ca="1">TblConstr[[#This Row],[Water]]</f>
        <v>20</v>
      </c>
      <c r="I73" s="281"/>
      <c r="J73" s="228">
        <f t="shared" si="1"/>
        <v>70</v>
      </c>
      <c r="K73" s="305">
        <f ca="1">TblImps[[#This Row],[Real time]]</f>
        <v>44345.874999999833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479264</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39</v>
      </c>
      <c r="C74" s="236">
        <f ca="1">TblConstr[[#This Row],[Forest]]</f>
        <v>20</v>
      </c>
      <c r="D74" s="481">
        <f ca="1">TblConstr[[#This Row],[Mountain]]</f>
        <v>20</v>
      </c>
      <c r="E74" s="485">
        <f ca="1">TblConstr[[#This Row],[Hill]]</f>
        <v>20</v>
      </c>
      <c r="F74" s="489">
        <f ca="1">TblConstr[[#This Row],[Swamp]]</f>
        <v>20</v>
      </c>
      <c r="G74" s="239">
        <f ca="1">TblConstr[[#This Row],[Cavern]]</f>
        <v>20</v>
      </c>
      <c r="H74" s="240">
        <f ca="1">TblConstr[[#This Row],[Water]]</f>
        <v>20</v>
      </c>
      <c r="I74" s="281"/>
      <c r="J74" s="228">
        <f t="shared" si="1"/>
        <v>71</v>
      </c>
      <c r="K74" s="305">
        <f ca="1">TblImps[[#This Row],[Real time]]</f>
        <v>44345.916666666497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484763</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39</v>
      </c>
      <c r="C75" s="236">
        <f ca="1">TblConstr[[#This Row],[Forest]]</f>
        <v>20</v>
      </c>
      <c r="D75" s="481">
        <f ca="1">TblConstr[[#This Row],[Mountain]]</f>
        <v>20</v>
      </c>
      <c r="E75" s="485">
        <f ca="1">TblConstr[[#This Row],[Hill]]</f>
        <v>20</v>
      </c>
      <c r="F75" s="489">
        <f ca="1">TblConstr[[#This Row],[Swamp]]</f>
        <v>20</v>
      </c>
      <c r="G75" s="239">
        <f ca="1">TblConstr[[#This Row],[Cavern]]</f>
        <v>20</v>
      </c>
      <c r="H75" s="240">
        <f ca="1">TblConstr[[#This Row],[Water]]</f>
        <v>20</v>
      </c>
      <c r="I75" s="281"/>
      <c r="J75" s="228">
        <f t="shared" si="1"/>
        <v>72</v>
      </c>
      <c r="K75" s="305">
        <f ca="1">TblImps[[#This Row],[Real time]]</f>
        <v>44345.958333333161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490262</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39</v>
      </c>
      <c r="C76" s="254">
        <f ca="1">TblConstr[[#This Row],[Forest]]</f>
        <v>20</v>
      </c>
      <c r="D76" s="482">
        <f ca="1">TblConstr[[#This Row],[Mountain]]</f>
        <v>20</v>
      </c>
      <c r="E76" s="486">
        <f ca="1">TblConstr[[#This Row],[Hill]]</f>
        <v>20</v>
      </c>
      <c r="F76" s="490">
        <f ca="1">TblConstr[[#This Row],[Swamp]]</f>
        <v>20</v>
      </c>
      <c r="G76" s="257">
        <f ca="1">TblConstr[[#This Row],[Cavern]]</f>
        <v>20</v>
      </c>
      <c r="H76" s="258">
        <f ca="1">TblConstr[[#This Row],[Water]]</f>
        <v>20</v>
      </c>
      <c r="I76" s="298"/>
      <c r="J76" s="248">
        <f t="shared" si="1"/>
        <v>73</v>
      </c>
      <c r="K76" s="306">
        <f ca="1">TblImps[[#This Row],[Real time]]</f>
        <v>44345.999999999825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495761</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39</v>
      </c>
      <c r="C77" s="236">
        <f ca="1">TblConstr[[#This Row],[Forest]]</f>
        <v>20</v>
      </c>
      <c r="D77" s="481">
        <f ca="1">TblConstr[[#This Row],[Mountain]]</f>
        <v>20</v>
      </c>
      <c r="E77" s="485">
        <f ca="1">TblConstr[[#This Row],[Hill]]</f>
        <v>20</v>
      </c>
      <c r="F77" s="489">
        <f ca="1">TblConstr[[#This Row],[Swamp]]</f>
        <v>20</v>
      </c>
      <c r="G77" s="239">
        <f ca="1">TblConstr[[#This Row],[Cavern]]</f>
        <v>20</v>
      </c>
      <c r="H77" s="240">
        <f ca="1">TblConstr[[#This Row],[Water]]</f>
        <v>20</v>
      </c>
      <c r="I77" s="281"/>
      <c r="J77" s="228">
        <f t="shared" ref="J77:J87" si="2">J76+1</f>
        <v>74</v>
      </c>
      <c r="K77" s="305">
        <f ca="1">TblImps[[#This Row],[Real time]]</f>
        <v>44346.04166666649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501260</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39</v>
      </c>
      <c r="C78" s="236">
        <f ca="1">TblConstr[[#This Row],[Forest]]</f>
        <v>20</v>
      </c>
      <c r="D78" s="481">
        <f ca="1">TblConstr[[#This Row],[Mountain]]</f>
        <v>20</v>
      </c>
      <c r="E78" s="485">
        <f ca="1">TblConstr[[#This Row],[Hill]]</f>
        <v>20</v>
      </c>
      <c r="F78" s="489">
        <f ca="1">TblConstr[[#This Row],[Swamp]]</f>
        <v>20</v>
      </c>
      <c r="G78" s="239">
        <f ca="1">TblConstr[[#This Row],[Cavern]]</f>
        <v>20</v>
      </c>
      <c r="H78" s="240">
        <f ca="1">TblConstr[[#This Row],[Water]]</f>
        <v>20</v>
      </c>
      <c r="I78" s="281"/>
      <c r="J78" s="228">
        <f t="shared" si="2"/>
        <v>75</v>
      </c>
      <c r="K78" s="305">
        <f ca="1">TblImps[[#This Row],[Real time]]</f>
        <v>44346.083333333154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506759</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39</v>
      </c>
      <c r="C79" s="236">
        <f ca="1">TblConstr[[#This Row],[Forest]]</f>
        <v>20</v>
      </c>
      <c r="D79" s="481">
        <f ca="1">TblConstr[[#This Row],[Mountain]]</f>
        <v>20</v>
      </c>
      <c r="E79" s="485">
        <f ca="1">TblConstr[[#This Row],[Hill]]</f>
        <v>20</v>
      </c>
      <c r="F79" s="489">
        <f ca="1">TblConstr[[#This Row],[Swamp]]</f>
        <v>20</v>
      </c>
      <c r="G79" s="239">
        <f ca="1">TblConstr[[#This Row],[Cavern]]</f>
        <v>20</v>
      </c>
      <c r="H79" s="240">
        <f ca="1">TblConstr[[#This Row],[Water]]</f>
        <v>20</v>
      </c>
      <c r="I79" s="281"/>
      <c r="J79" s="228">
        <f t="shared" si="2"/>
        <v>76</v>
      </c>
      <c r="K79" s="305">
        <f ca="1">TblImps[[#This Row],[Real time]]</f>
        <v>44346.124999999818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512258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39</v>
      </c>
      <c r="C80" s="236">
        <f ca="1">TblConstr[[#This Row],[Forest]]</f>
        <v>20</v>
      </c>
      <c r="D80" s="481">
        <f ca="1">TblConstr[[#This Row],[Mountain]]</f>
        <v>20</v>
      </c>
      <c r="E80" s="485">
        <f ca="1">TblConstr[[#This Row],[Hill]]</f>
        <v>20</v>
      </c>
      <c r="F80" s="489">
        <f ca="1">TblConstr[[#This Row],[Swamp]]</f>
        <v>20</v>
      </c>
      <c r="G80" s="239">
        <f ca="1">TblConstr[[#This Row],[Cavern]]</f>
        <v>20</v>
      </c>
      <c r="H80" s="240">
        <f ca="1">TblConstr[[#This Row],[Water]]</f>
        <v>20</v>
      </c>
      <c r="I80" s="281"/>
      <c r="J80" s="228">
        <f t="shared" si="2"/>
        <v>77</v>
      </c>
      <c r="K80" s="305">
        <f ca="1">TblImps[[#This Row],[Real time]]</f>
        <v>44346.166666666482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517757</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39</v>
      </c>
      <c r="C81" s="236">
        <f ca="1">TblConstr[[#This Row],[Forest]]</f>
        <v>20</v>
      </c>
      <c r="D81" s="481">
        <f ca="1">TblConstr[[#This Row],[Mountain]]</f>
        <v>20</v>
      </c>
      <c r="E81" s="485">
        <f ca="1">TblConstr[[#This Row],[Hill]]</f>
        <v>20</v>
      </c>
      <c r="F81" s="489">
        <f ca="1">TblConstr[[#This Row],[Swamp]]</f>
        <v>20</v>
      </c>
      <c r="G81" s="239">
        <f ca="1">TblConstr[[#This Row],[Cavern]]</f>
        <v>20</v>
      </c>
      <c r="H81" s="240">
        <f ca="1">TblConstr[[#This Row],[Water]]</f>
        <v>20</v>
      </c>
      <c r="I81" s="281"/>
      <c r="J81" s="228">
        <f t="shared" si="2"/>
        <v>78</v>
      </c>
      <c r="K81" s="305">
        <f ca="1">TblImps[[#This Row],[Real time]]</f>
        <v>44346.208333333147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523256</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39</v>
      </c>
      <c r="C82" s="236">
        <f ca="1">TblConstr[[#This Row],[Forest]]</f>
        <v>20</v>
      </c>
      <c r="D82" s="481">
        <f ca="1">TblConstr[[#This Row],[Mountain]]</f>
        <v>20</v>
      </c>
      <c r="E82" s="485">
        <f ca="1">TblConstr[[#This Row],[Hill]]</f>
        <v>20</v>
      </c>
      <c r="F82" s="489">
        <f ca="1">TblConstr[[#This Row],[Swamp]]</f>
        <v>20</v>
      </c>
      <c r="G82" s="239">
        <f ca="1">TblConstr[[#This Row],[Cavern]]</f>
        <v>20</v>
      </c>
      <c r="H82" s="240">
        <f ca="1">TblConstr[[#This Row],[Water]]</f>
        <v>20</v>
      </c>
      <c r="I82" s="281"/>
      <c r="J82" s="228">
        <f t="shared" si="2"/>
        <v>79</v>
      </c>
      <c r="K82" s="305">
        <f ca="1">TblImps[[#This Row],[Real time]]</f>
        <v>44346.249999999811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528755</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39</v>
      </c>
      <c r="C83" s="236">
        <f ca="1">TblConstr[[#This Row],[Forest]]</f>
        <v>20</v>
      </c>
      <c r="D83" s="481">
        <f ca="1">TblConstr[[#This Row],[Mountain]]</f>
        <v>20</v>
      </c>
      <c r="E83" s="485">
        <f ca="1">TblConstr[[#This Row],[Hill]]</f>
        <v>20</v>
      </c>
      <c r="F83" s="489">
        <f ca="1">TblConstr[[#This Row],[Swamp]]</f>
        <v>20</v>
      </c>
      <c r="G83" s="239">
        <f ca="1">TblConstr[[#This Row],[Cavern]]</f>
        <v>20</v>
      </c>
      <c r="H83" s="240">
        <f ca="1">TblConstr[[#This Row],[Water]]</f>
        <v>20</v>
      </c>
      <c r="I83" s="281"/>
      <c r="J83" s="228">
        <f t="shared" si="2"/>
        <v>80</v>
      </c>
      <c r="K83" s="305">
        <f ca="1">TblImps[[#This Row],[Real time]]</f>
        <v>44346.291666666475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534254</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39</v>
      </c>
      <c r="C84" s="236">
        <f ca="1">TblConstr[[#This Row],[Forest]]</f>
        <v>20</v>
      </c>
      <c r="D84" s="481">
        <f ca="1">TblConstr[[#This Row],[Mountain]]</f>
        <v>20</v>
      </c>
      <c r="E84" s="485">
        <f ca="1">TblConstr[[#This Row],[Hill]]</f>
        <v>20</v>
      </c>
      <c r="F84" s="489">
        <f ca="1">TblConstr[[#This Row],[Swamp]]</f>
        <v>20</v>
      </c>
      <c r="G84" s="239">
        <f ca="1">TblConstr[[#This Row],[Cavern]]</f>
        <v>20</v>
      </c>
      <c r="H84" s="240">
        <f ca="1">TblConstr[[#This Row],[Water]]</f>
        <v>20</v>
      </c>
      <c r="I84" s="281"/>
      <c r="J84" s="228">
        <f t="shared" si="2"/>
        <v>81</v>
      </c>
      <c r="K84" s="305">
        <f ca="1">TblImps[[#This Row],[Real time]]</f>
        <v>44346.333333333139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539753</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39</v>
      </c>
      <c r="C85" s="236">
        <f ca="1">TblConstr[[#This Row],[Forest]]</f>
        <v>20</v>
      </c>
      <c r="D85" s="481">
        <f ca="1">TblConstr[[#This Row],[Mountain]]</f>
        <v>20</v>
      </c>
      <c r="E85" s="485">
        <f ca="1">TblConstr[[#This Row],[Hill]]</f>
        <v>20</v>
      </c>
      <c r="F85" s="489">
        <f ca="1">TblConstr[[#This Row],[Swamp]]</f>
        <v>20</v>
      </c>
      <c r="G85" s="239">
        <f ca="1">TblConstr[[#This Row],[Cavern]]</f>
        <v>20</v>
      </c>
      <c r="H85" s="240">
        <f ca="1">TblConstr[[#This Row],[Water]]</f>
        <v>20</v>
      </c>
      <c r="I85" s="281"/>
      <c r="J85" s="228">
        <f t="shared" si="2"/>
        <v>82</v>
      </c>
      <c r="K85" s="305">
        <f ca="1">TblImps[[#This Row],[Real time]]</f>
        <v>44346.374999999804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545252</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39</v>
      </c>
      <c r="C86" s="236">
        <f ca="1">TblConstr[[#This Row],[Forest]]</f>
        <v>20</v>
      </c>
      <c r="D86" s="481">
        <f ca="1">TblConstr[[#This Row],[Mountain]]</f>
        <v>20</v>
      </c>
      <c r="E86" s="485">
        <f ca="1">TblConstr[[#This Row],[Hill]]</f>
        <v>20</v>
      </c>
      <c r="F86" s="489">
        <f ca="1">TblConstr[[#This Row],[Swamp]]</f>
        <v>20</v>
      </c>
      <c r="G86" s="239">
        <f ca="1">TblConstr[[#This Row],[Cavern]]</f>
        <v>20</v>
      </c>
      <c r="H86" s="240">
        <f ca="1">TblConstr[[#This Row],[Water]]</f>
        <v>20</v>
      </c>
      <c r="I86" s="281"/>
      <c r="J86" s="228">
        <f t="shared" si="2"/>
        <v>83</v>
      </c>
      <c r="K86" s="305">
        <f ca="1">TblImps[[#This Row],[Real time]]</f>
        <v>44346.416666666468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550751</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39</v>
      </c>
      <c r="C87" s="236">
        <f ca="1">TblConstr[[#This Row],[Forest]]</f>
        <v>20</v>
      </c>
      <c r="D87" s="481">
        <f ca="1">TblConstr[[#This Row],[Mountain]]</f>
        <v>20</v>
      </c>
      <c r="E87" s="485">
        <f ca="1">TblConstr[[#This Row],[Hill]]</f>
        <v>20</v>
      </c>
      <c r="F87" s="489">
        <f ca="1">TblConstr[[#This Row],[Swamp]]</f>
        <v>20</v>
      </c>
      <c r="G87" s="239">
        <f ca="1">TblConstr[[#This Row],[Cavern]]</f>
        <v>20</v>
      </c>
      <c r="H87" s="240">
        <f ca="1">TblConstr[[#This Row],[Water]]</f>
        <v>20</v>
      </c>
      <c r="I87" s="281"/>
      <c r="J87" s="228">
        <f t="shared" si="2"/>
        <v>84</v>
      </c>
      <c r="K87" s="305">
        <f ca="1">TblImps[[#This Row],[Real time]]</f>
        <v>44346.458333333132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556250</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39</v>
      </c>
      <c r="C88" s="236">
        <f ca="1">TblConstr[[#This Row],[Forest]]</f>
        <v>20</v>
      </c>
      <c r="D88" s="481">
        <f ca="1">TblConstr[[#This Row],[Mountain]]</f>
        <v>20</v>
      </c>
      <c r="E88" s="485">
        <f ca="1">TblConstr[[#This Row],[Hill]]</f>
        <v>20</v>
      </c>
      <c r="F88" s="489">
        <f ca="1">TblConstr[[#This Row],[Swamp]]</f>
        <v>20</v>
      </c>
      <c r="G88" s="239">
        <f ca="1">TblConstr[[#This Row],[Cavern]]</f>
        <v>20</v>
      </c>
      <c r="H88" s="240">
        <f ca="1">TblConstr[[#This Row],[Water]]</f>
        <v>20</v>
      </c>
      <c r="I88" s="281"/>
      <c r="J88" s="228">
        <f>J87+1</f>
        <v>85</v>
      </c>
      <c r="K88" s="305">
        <f ca="1">TblImps[[#This Row],[Real time]]</f>
        <v>44346.499999999796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561749</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39</v>
      </c>
      <c r="C89" s="236">
        <f ca="1">TblConstr[[#This Row],[Forest]]</f>
        <v>20</v>
      </c>
      <c r="D89" s="481">
        <f ca="1">TblConstr[[#This Row],[Mountain]]</f>
        <v>20</v>
      </c>
      <c r="E89" s="485">
        <f ca="1">TblConstr[[#This Row],[Hill]]</f>
        <v>20</v>
      </c>
      <c r="F89" s="489">
        <f ca="1">TblConstr[[#This Row],[Swamp]]</f>
        <v>20</v>
      </c>
      <c r="G89" s="239">
        <f ca="1">TblConstr[[#This Row],[Cavern]]</f>
        <v>20</v>
      </c>
      <c r="H89" s="240">
        <f ca="1">TblConstr[[#This Row],[Water]]</f>
        <v>20</v>
      </c>
      <c r="I89" s="281"/>
      <c r="J89" s="228">
        <f t="shared" ref="J89:J136" si="3">J88+1</f>
        <v>86</v>
      </c>
      <c r="K89" s="305">
        <f ca="1">TblImps[[#This Row],[Real time]]</f>
        <v>44346.541666666461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567248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39</v>
      </c>
      <c r="C90" s="236">
        <f ca="1">TblConstr[[#This Row],[Forest]]</f>
        <v>20</v>
      </c>
      <c r="D90" s="481">
        <f ca="1">TblConstr[[#This Row],[Mountain]]</f>
        <v>20</v>
      </c>
      <c r="E90" s="485">
        <f ca="1">TblConstr[[#This Row],[Hill]]</f>
        <v>20</v>
      </c>
      <c r="F90" s="489">
        <f ca="1">TblConstr[[#This Row],[Swamp]]</f>
        <v>20</v>
      </c>
      <c r="G90" s="239">
        <f ca="1">TblConstr[[#This Row],[Cavern]]</f>
        <v>20</v>
      </c>
      <c r="H90" s="240">
        <f ca="1">TblConstr[[#This Row],[Water]]</f>
        <v>20</v>
      </c>
      <c r="I90" s="281"/>
      <c r="J90" s="228">
        <f t="shared" si="3"/>
        <v>87</v>
      </c>
      <c r="K90" s="305">
        <f ca="1">TblImps[[#This Row],[Real time]]</f>
        <v>44346.583333333125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572747</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39</v>
      </c>
      <c r="C91" s="236">
        <f ca="1">TblConstr[[#This Row],[Forest]]</f>
        <v>20</v>
      </c>
      <c r="D91" s="481">
        <f ca="1">TblConstr[[#This Row],[Mountain]]</f>
        <v>20</v>
      </c>
      <c r="E91" s="485">
        <f ca="1">TblConstr[[#This Row],[Hill]]</f>
        <v>20</v>
      </c>
      <c r="F91" s="489">
        <f ca="1">TblConstr[[#This Row],[Swamp]]</f>
        <v>20</v>
      </c>
      <c r="G91" s="239">
        <f ca="1">TblConstr[[#This Row],[Cavern]]</f>
        <v>20</v>
      </c>
      <c r="H91" s="240">
        <f ca="1">TblConstr[[#This Row],[Water]]</f>
        <v>20</v>
      </c>
      <c r="I91" s="281"/>
      <c r="J91" s="228">
        <f t="shared" si="3"/>
        <v>88</v>
      </c>
      <c r="K91" s="305">
        <f ca="1">TblImps[[#This Row],[Real time]]</f>
        <v>44346.624999999789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578246</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39</v>
      </c>
      <c r="C92" s="236">
        <f ca="1">TblConstr[[#This Row],[Forest]]</f>
        <v>20</v>
      </c>
      <c r="D92" s="481">
        <f ca="1">TblConstr[[#This Row],[Mountain]]</f>
        <v>20</v>
      </c>
      <c r="E92" s="485">
        <f ca="1">TblConstr[[#This Row],[Hill]]</f>
        <v>20</v>
      </c>
      <c r="F92" s="489">
        <f ca="1">TblConstr[[#This Row],[Swamp]]</f>
        <v>20</v>
      </c>
      <c r="G92" s="239">
        <f ca="1">TblConstr[[#This Row],[Cavern]]</f>
        <v>20</v>
      </c>
      <c r="H92" s="240">
        <f ca="1">TblConstr[[#This Row],[Water]]</f>
        <v>20</v>
      </c>
      <c r="I92" s="281"/>
      <c r="J92" s="228">
        <f t="shared" si="3"/>
        <v>89</v>
      </c>
      <c r="K92" s="305">
        <f ca="1">TblImps[[#This Row],[Real time]]</f>
        <v>44346.666666666453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583745</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39</v>
      </c>
      <c r="C93" s="236">
        <f ca="1">TblConstr[[#This Row],[Forest]]</f>
        <v>20</v>
      </c>
      <c r="D93" s="481">
        <f ca="1">TblConstr[[#This Row],[Mountain]]</f>
        <v>20</v>
      </c>
      <c r="E93" s="485">
        <f ca="1">TblConstr[[#This Row],[Hill]]</f>
        <v>20</v>
      </c>
      <c r="F93" s="489">
        <f ca="1">TblConstr[[#This Row],[Swamp]]</f>
        <v>20</v>
      </c>
      <c r="G93" s="239">
        <f ca="1">TblConstr[[#This Row],[Cavern]]</f>
        <v>20</v>
      </c>
      <c r="H93" s="240">
        <f ca="1">TblConstr[[#This Row],[Water]]</f>
        <v>20</v>
      </c>
      <c r="I93" s="281"/>
      <c r="J93" s="228">
        <f t="shared" si="3"/>
        <v>90</v>
      </c>
      <c r="K93" s="305">
        <f ca="1">TblImps[[#This Row],[Real time]]</f>
        <v>44346.708333333117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589244</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39</v>
      </c>
      <c r="C94" s="236">
        <f ca="1">TblConstr[[#This Row],[Forest]]</f>
        <v>20</v>
      </c>
      <c r="D94" s="481">
        <f ca="1">TblConstr[[#This Row],[Mountain]]</f>
        <v>20</v>
      </c>
      <c r="E94" s="485">
        <f ca="1">TblConstr[[#This Row],[Hill]]</f>
        <v>20</v>
      </c>
      <c r="F94" s="489">
        <f ca="1">TblConstr[[#This Row],[Swamp]]</f>
        <v>20</v>
      </c>
      <c r="G94" s="239">
        <f ca="1">TblConstr[[#This Row],[Cavern]]</f>
        <v>20</v>
      </c>
      <c r="H94" s="240">
        <f ca="1">TblConstr[[#This Row],[Water]]</f>
        <v>20</v>
      </c>
      <c r="I94" s="281"/>
      <c r="J94" s="228">
        <f t="shared" si="3"/>
        <v>91</v>
      </c>
      <c r="K94" s="305">
        <f ca="1">TblImps[[#This Row],[Real time]]</f>
        <v>44346.749999999782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594743</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39</v>
      </c>
      <c r="C95" s="236">
        <f ca="1">TblConstr[[#This Row],[Forest]]</f>
        <v>20</v>
      </c>
      <c r="D95" s="481">
        <f ca="1">TblConstr[[#This Row],[Mountain]]</f>
        <v>20</v>
      </c>
      <c r="E95" s="485">
        <f ca="1">TblConstr[[#This Row],[Hill]]</f>
        <v>20</v>
      </c>
      <c r="F95" s="489">
        <f ca="1">TblConstr[[#This Row],[Swamp]]</f>
        <v>20</v>
      </c>
      <c r="G95" s="239">
        <f ca="1">TblConstr[[#This Row],[Cavern]]</f>
        <v>20</v>
      </c>
      <c r="H95" s="240">
        <f ca="1">TblConstr[[#This Row],[Water]]</f>
        <v>20</v>
      </c>
      <c r="I95" s="281"/>
      <c r="J95" s="228">
        <f t="shared" si="3"/>
        <v>92</v>
      </c>
      <c r="K95" s="305">
        <f ca="1">TblImps[[#This Row],[Real time]]</f>
        <v>44346.791666666446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600242</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39</v>
      </c>
      <c r="C96" s="236">
        <f ca="1">TblConstr[[#This Row],[Forest]]</f>
        <v>20</v>
      </c>
      <c r="D96" s="481">
        <f ca="1">TblConstr[[#This Row],[Mountain]]</f>
        <v>20</v>
      </c>
      <c r="E96" s="485">
        <f ca="1">TblConstr[[#This Row],[Hill]]</f>
        <v>20</v>
      </c>
      <c r="F96" s="489">
        <f ca="1">TblConstr[[#This Row],[Swamp]]</f>
        <v>20</v>
      </c>
      <c r="G96" s="239">
        <f ca="1">TblConstr[[#This Row],[Cavern]]</f>
        <v>20</v>
      </c>
      <c r="H96" s="240">
        <f ca="1">TblConstr[[#This Row],[Water]]</f>
        <v>20</v>
      </c>
      <c r="I96" s="281"/>
      <c r="J96" s="228">
        <f t="shared" si="3"/>
        <v>93</v>
      </c>
      <c r="K96" s="305">
        <f ca="1">TblImps[[#This Row],[Real time]]</f>
        <v>44346.83333333311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605741</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39</v>
      </c>
      <c r="C97" s="236">
        <f ca="1">TblConstr[[#This Row],[Forest]]</f>
        <v>20</v>
      </c>
      <c r="D97" s="481">
        <f ca="1">TblConstr[[#This Row],[Mountain]]</f>
        <v>20</v>
      </c>
      <c r="E97" s="485">
        <f ca="1">TblConstr[[#This Row],[Hill]]</f>
        <v>20</v>
      </c>
      <c r="F97" s="489">
        <f ca="1">TblConstr[[#This Row],[Swamp]]</f>
        <v>20</v>
      </c>
      <c r="G97" s="239">
        <f ca="1">TblConstr[[#This Row],[Cavern]]</f>
        <v>20</v>
      </c>
      <c r="H97" s="240">
        <f ca="1">TblConstr[[#This Row],[Water]]</f>
        <v>20</v>
      </c>
      <c r="I97" s="281"/>
      <c r="J97" s="228">
        <f t="shared" si="3"/>
        <v>94</v>
      </c>
      <c r="K97" s="305">
        <f ca="1">TblImps[[#This Row],[Real time]]</f>
        <v>44346.874999999774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611240</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39</v>
      </c>
      <c r="C98" s="236">
        <f ca="1">TblConstr[[#This Row],[Forest]]</f>
        <v>20</v>
      </c>
      <c r="D98" s="481">
        <f ca="1">TblConstr[[#This Row],[Mountain]]</f>
        <v>20</v>
      </c>
      <c r="E98" s="485">
        <f ca="1">TblConstr[[#This Row],[Hill]]</f>
        <v>20</v>
      </c>
      <c r="F98" s="489">
        <f ca="1">TblConstr[[#This Row],[Swamp]]</f>
        <v>20</v>
      </c>
      <c r="G98" s="239">
        <f ca="1">TblConstr[[#This Row],[Cavern]]</f>
        <v>20</v>
      </c>
      <c r="H98" s="240">
        <f ca="1">TblConstr[[#This Row],[Water]]</f>
        <v>20</v>
      </c>
      <c r="I98" s="281"/>
      <c r="J98" s="228">
        <f t="shared" si="3"/>
        <v>95</v>
      </c>
      <c r="K98" s="305">
        <f ca="1">TblImps[[#This Row],[Real time]]</f>
        <v>44346.916666666439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616739</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39</v>
      </c>
      <c r="C99" s="236">
        <f ca="1">TblConstr[[#This Row],[Forest]]</f>
        <v>20</v>
      </c>
      <c r="D99" s="481">
        <f ca="1">TblConstr[[#This Row],[Mountain]]</f>
        <v>20</v>
      </c>
      <c r="E99" s="485">
        <f ca="1">TblConstr[[#This Row],[Hill]]</f>
        <v>20</v>
      </c>
      <c r="F99" s="489">
        <f ca="1">TblConstr[[#This Row],[Swamp]]</f>
        <v>20</v>
      </c>
      <c r="G99" s="239">
        <f ca="1">TblConstr[[#This Row],[Cavern]]</f>
        <v>20</v>
      </c>
      <c r="H99" s="240">
        <f ca="1">TblConstr[[#This Row],[Water]]</f>
        <v>20</v>
      </c>
      <c r="I99" s="281"/>
      <c r="J99" s="228">
        <f t="shared" si="3"/>
        <v>96</v>
      </c>
      <c r="K99" s="305">
        <f ca="1">TblImps[[#This Row],[Real time]]</f>
        <v>44346.958333333103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622238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39</v>
      </c>
      <c r="C100" s="236">
        <f ca="1">TblConstr[[#This Row],[Forest]]</f>
        <v>20</v>
      </c>
      <c r="D100" s="481">
        <f ca="1">TblConstr[[#This Row],[Mountain]]</f>
        <v>20</v>
      </c>
      <c r="E100" s="485">
        <f ca="1">TblConstr[[#This Row],[Hill]]</f>
        <v>20</v>
      </c>
      <c r="F100" s="489">
        <f ca="1">TblConstr[[#This Row],[Swamp]]</f>
        <v>20</v>
      </c>
      <c r="G100" s="239">
        <f ca="1">TblConstr[[#This Row],[Cavern]]</f>
        <v>20</v>
      </c>
      <c r="H100" s="240">
        <f ca="1">TblConstr[[#This Row],[Water]]</f>
        <v>20</v>
      </c>
      <c r="I100" s="281"/>
      <c r="J100" s="228">
        <f t="shared" si="3"/>
        <v>97</v>
      </c>
      <c r="K100" s="305">
        <f ca="1">TblImps[[#This Row],[Real time]]</f>
        <v>44346.999999999767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627737</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39</v>
      </c>
      <c r="C101" s="236">
        <f ca="1">TblConstr[[#This Row],[Forest]]</f>
        <v>20</v>
      </c>
      <c r="D101" s="481">
        <f ca="1">TblConstr[[#This Row],[Mountain]]</f>
        <v>20</v>
      </c>
      <c r="E101" s="485">
        <f ca="1">TblConstr[[#This Row],[Hill]]</f>
        <v>20</v>
      </c>
      <c r="F101" s="489">
        <f ca="1">TblConstr[[#This Row],[Swamp]]</f>
        <v>20</v>
      </c>
      <c r="G101" s="239">
        <f ca="1">TblConstr[[#This Row],[Cavern]]</f>
        <v>20</v>
      </c>
      <c r="H101" s="240">
        <f ca="1">TblConstr[[#This Row],[Water]]</f>
        <v>20</v>
      </c>
      <c r="I101" s="281"/>
      <c r="J101" s="228">
        <f t="shared" si="3"/>
        <v>98</v>
      </c>
      <c r="K101" s="305">
        <f ca="1">TblImps[[#This Row],[Real time]]</f>
        <v>44347.041666666431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633236</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39</v>
      </c>
      <c r="C102" s="236">
        <f ca="1">TblConstr[[#This Row],[Forest]]</f>
        <v>20</v>
      </c>
      <c r="D102" s="481">
        <f ca="1">TblConstr[[#This Row],[Mountain]]</f>
        <v>20</v>
      </c>
      <c r="E102" s="485">
        <f ca="1">TblConstr[[#This Row],[Hill]]</f>
        <v>20</v>
      </c>
      <c r="F102" s="489">
        <f ca="1">TblConstr[[#This Row],[Swamp]]</f>
        <v>20</v>
      </c>
      <c r="G102" s="239">
        <f ca="1">TblConstr[[#This Row],[Cavern]]</f>
        <v>20</v>
      </c>
      <c r="H102" s="240">
        <f ca="1">TblConstr[[#This Row],[Water]]</f>
        <v>20</v>
      </c>
      <c r="I102" s="281"/>
      <c r="J102" s="228">
        <f t="shared" si="3"/>
        <v>99</v>
      </c>
      <c r="K102" s="305">
        <f ca="1">TblImps[[#This Row],[Real time]]</f>
        <v>44347.083333333096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638735</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39</v>
      </c>
      <c r="C103" s="236">
        <f ca="1">TblConstr[[#This Row],[Forest]]</f>
        <v>20</v>
      </c>
      <c r="D103" s="481">
        <f ca="1">TblConstr[[#This Row],[Mountain]]</f>
        <v>20</v>
      </c>
      <c r="E103" s="485">
        <f ca="1">TblConstr[[#This Row],[Hill]]</f>
        <v>20</v>
      </c>
      <c r="F103" s="489">
        <f ca="1">TblConstr[[#This Row],[Swamp]]</f>
        <v>20</v>
      </c>
      <c r="G103" s="239">
        <f ca="1">TblConstr[[#This Row],[Cavern]]</f>
        <v>20</v>
      </c>
      <c r="H103" s="240">
        <f ca="1">TblConstr[[#This Row],[Water]]</f>
        <v>20</v>
      </c>
      <c r="I103" s="281"/>
      <c r="J103" s="228">
        <f t="shared" si="3"/>
        <v>100</v>
      </c>
      <c r="K103" s="305">
        <f ca="1">TblImps[[#This Row],[Real time]]</f>
        <v>44347.12499999976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644234</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39</v>
      </c>
      <c r="C104" s="236">
        <f ca="1">TblConstr[[#This Row],[Forest]]</f>
        <v>20</v>
      </c>
      <c r="D104" s="481">
        <f ca="1">TblConstr[[#This Row],[Mountain]]</f>
        <v>20</v>
      </c>
      <c r="E104" s="485">
        <f ca="1">TblConstr[[#This Row],[Hill]]</f>
        <v>20</v>
      </c>
      <c r="F104" s="489">
        <f ca="1">TblConstr[[#This Row],[Swamp]]</f>
        <v>20</v>
      </c>
      <c r="G104" s="239">
        <f ca="1">TblConstr[[#This Row],[Cavern]]</f>
        <v>20</v>
      </c>
      <c r="H104" s="240">
        <f ca="1">TblConstr[[#This Row],[Water]]</f>
        <v>20</v>
      </c>
      <c r="I104" s="281"/>
      <c r="J104" s="228">
        <f t="shared" si="3"/>
        <v>101</v>
      </c>
      <c r="K104" s="305">
        <f ca="1">TblImps[[#This Row],[Real time]]</f>
        <v>44347.166666666424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649733</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39</v>
      </c>
      <c r="C105" s="236">
        <f ca="1">TblConstr[[#This Row],[Forest]]</f>
        <v>20</v>
      </c>
      <c r="D105" s="481">
        <f ca="1">TblConstr[[#This Row],[Mountain]]</f>
        <v>20</v>
      </c>
      <c r="E105" s="485">
        <f ca="1">TblConstr[[#This Row],[Hill]]</f>
        <v>20</v>
      </c>
      <c r="F105" s="489">
        <f ca="1">TblConstr[[#This Row],[Swamp]]</f>
        <v>20</v>
      </c>
      <c r="G105" s="239">
        <f ca="1">TblConstr[[#This Row],[Cavern]]</f>
        <v>20</v>
      </c>
      <c r="H105" s="240">
        <f ca="1">TblConstr[[#This Row],[Water]]</f>
        <v>20</v>
      </c>
      <c r="I105" s="281"/>
      <c r="J105" s="228">
        <f t="shared" si="3"/>
        <v>102</v>
      </c>
      <c r="K105" s="305">
        <f ca="1">TblImps[[#This Row],[Real time]]</f>
        <v>44347.208333333088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655232</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39</v>
      </c>
      <c r="C106" s="236">
        <f ca="1">TblConstr[[#This Row],[Forest]]</f>
        <v>20</v>
      </c>
      <c r="D106" s="481">
        <f ca="1">TblConstr[[#This Row],[Mountain]]</f>
        <v>20</v>
      </c>
      <c r="E106" s="485">
        <f ca="1">TblConstr[[#This Row],[Hill]]</f>
        <v>20</v>
      </c>
      <c r="F106" s="489">
        <f ca="1">TblConstr[[#This Row],[Swamp]]</f>
        <v>20</v>
      </c>
      <c r="G106" s="239">
        <f ca="1">TblConstr[[#This Row],[Cavern]]</f>
        <v>20</v>
      </c>
      <c r="H106" s="240">
        <f ca="1">TblConstr[[#This Row],[Water]]</f>
        <v>20</v>
      </c>
      <c r="I106" s="281"/>
      <c r="J106" s="228">
        <f t="shared" si="3"/>
        <v>103</v>
      </c>
      <c r="K106" s="305">
        <f ca="1">TblImps[[#This Row],[Real time]]</f>
        <v>44347.249999999753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660731</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39</v>
      </c>
      <c r="C107" s="236">
        <f ca="1">TblConstr[[#This Row],[Forest]]</f>
        <v>20</v>
      </c>
      <c r="D107" s="481">
        <f ca="1">TblConstr[[#This Row],[Mountain]]</f>
        <v>20</v>
      </c>
      <c r="E107" s="485">
        <f ca="1">TblConstr[[#This Row],[Hill]]</f>
        <v>20</v>
      </c>
      <c r="F107" s="489">
        <f ca="1">TblConstr[[#This Row],[Swamp]]</f>
        <v>20</v>
      </c>
      <c r="G107" s="239">
        <f ca="1">TblConstr[[#This Row],[Cavern]]</f>
        <v>20</v>
      </c>
      <c r="H107" s="240">
        <f ca="1">TblConstr[[#This Row],[Water]]</f>
        <v>20</v>
      </c>
      <c r="I107" s="281"/>
      <c r="J107" s="228">
        <f t="shared" si="3"/>
        <v>104</v>
      </c>
      <c r="K107" s="305">
        <f ca="1">TblImps[[#This Row],[Real time]]</f>
        <v>44347.291666666417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666230</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39</v>
      </c>
      <c r="C108" s="236">
        <f ca="1">TblConstr[[#This Row],[Forest]]</f>
        <v>20</v>
      </c>
      <c r="D108" s="481">
        <f ca="1">TblConstr[[#This Row],[Mountain]]</f>
        <v>20</v>
      </c>
      <c r="E108" s="485">
        <f ca="1">TblConstr[[#This Row],[Hill]]</f>
        <v>20</v>
      </c>
      <c r="F108" s="489">
        <f ca="1">TblConstr[[#This Row],[Swamp]]</f>
        <v>20</v>
      </c>
      <c r="G108" s="239">
        <f ca="1">TblConstr[[#This Row],[Cavern]]</f>
        <v>20</v>
      </c>
      <c r="H108" s="240">
        <f ca="1">TblConstr[[#This Row],[Water]]</f>
        <v>20</v>
      </c>
      <c r="I108" s="281"/>
      <c r="J108" s="228">
        <f t="shared" si="3"/>
        <v>105</v>
      </c>
      <c r="K108" s="305">
        <f ca="1">TblImps[[#This Row],[Real time]]</f>
        <v>44347.333333333081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671729</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39</v>
      </c>
      <c r="C109" s="236">
        <f ca="1">TblConstr[[#This Row],[Forest]]</f>
        <v>20</v>
      </c>
      <c r="D109" s="481">
        <f ca="1">TblConstr[[#This Row],[Mountain]]</f>
        <v>20</v>
      </c>
      <c r="E109" s="485">
        <f ca="1">TblConstr[[#This Row],[Hill]]</f>
        <v>20</v>
      </c>
      <c r="F109" s="489">
        <f ca="1">TblConstr[[#This Row],[Swamp]]</f>
        <v>20</v>
      </c>
      <c r="G109" s="239">
        <f ca="1">TblConstr[[#This Row],[Cavern]]</f>
        <v>20</v>
      </c>
      <c r="H109" s="240">
        <f ca="1">TblConstr[[#This Row],[Water]]</f>
        <v>20</v>
      </c>
      <c r="I109" s="281"/>
      <c r="J109" s="228">
        <f t="shared" si="3"/>
        <v>106</v>
      </c>
      <c r="K109" s="305">
        <f ca="1">TblImps[[#This Row],[Real time]]</f>
        <v>44347.374999999745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677228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39</v>
      </c>
      <c r="C110" s="236">
        <f ca="1">TblConstr[[#This Row],[Forest]]</f>
        <v>20</v>
      </c>
      <c r="D110" s="481">
        <f ca="1">TblConstr[[#This Row],[Mountain]]</f>
        <v>20</v>
      </c>
      <c r="E110" s="485">
        <f ca="1">TblConstr[[#This Row],[Hill]]</f>
        <v>20</v>
      </c>
      <c r="F110" s="489">
        <f ca="1">TblConstr[[#This Row],[Swamp]]</f>
        <v>20</v>
      </c>
      <c r="G110" s="239">
        <f ca="1">TblConstr[[#This Row],[Cavern]]</f>
        <v>20</v>
      </c>
      <c r="H110" s="240">
        <f ca="1">TblConstr[[#This Row],[Water]]</f>
        <v>20</v>
      </c>
      <c r="I110" s="281"/>
      <c r="J110" s="228">
        <f t="shared" si="3"/>
        <v>107</v>
      </c>
      <c r="K110" s="305">
        <f ca="1">TblImps[[#This Row],[Real time]]</f>
        <v>44347.41666666641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682727</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39</v>
      </c>
      <c r="C111" s="236">
        <f ca="1">TblConstr[[#This Row],[Forest]]</f>
        <v>20</v>
      </c>
      <c r="D111" s="481">
        <f ca="1">TblConstr[[#This Row],[Mountain]]</f>
        <v>20</v>
      </c>
      <c r="E111" s="485">
        <f ca="1">TblConstr[[#This Row],[Hill]]</f>
        <v>20</v>
      </c>
      <c r="F111" s="489">
        <f ca="1">TblConstr[[#This Row],[Swamp]]</f>
        <v>20</v>
      </c>
      <c r="G111" s="239">
        <f ca="1">TblConstr[[#This Row],[Cavern]]</f>
        <v>20</v>
      </c>
      <c r="H111" s="240">
        <f ca="1">TblConstr[[#This Row],[Water]]</f>
        <v>20</v>
      </c>
      <c r="I111" s="281"/>
      <c r="J111" s="228">
        <f t="shared" si="3"/>
        <v>108</v>
      </c>
      <c r="K111" s="305">
        <f ca="1">TblImps[[#This Row],[Real time]]</f>
        <v>44347.458333333074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688226</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39</v>
      </c>
      <c r="C112" s="236">
        <f ca="1">TblConstr[[#This Row],[Forest]]</f>
        <v>20</v>
      </c>
      <c r="D112" s="481">
        <f ca="1">TblConstr[[#This Row],[Mountain]]</f>
        <v>20</v>
      </c>
      <c r="E112" s="485">
        <f ca="1">TblConstr[[#This Row],[Hill]]</f>
        <v>20</v>
      </c>
      <c r="F112" s="489">
        <f ca="1">TblConstr[[#This Row],[Swamp]]</f>
        <v>20</v>
      </c>
      <c r="G112" s="239">
        <f ca="1">TblConstr[[#This Row],[Cavern]]</f>
        <v>20</v>
      </c>
      <c r="H112" s="240">
        <f ca="1">TblConstr[[#This Row],[Water]]</f>
        <v>20</v>
      </c>
      <c r="I112" s="281"/>
      <c r="J112" s="228">
        <f t="shared" si="3"/>
        <v>109</v>
      </c>
      <c r="K112" s="305">
        <f ca="1">TblImps[[#This Row],[Real time]]</f>
        <v>44347.499999999738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693725</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39</v>
      </c>
      <c r="C113" s="236">
        <f ca="1">TblConstr[[#This Row],[Forest]]</f>
        <v>20</v>
      </c>
      <c r="D113" s="481">
        <f ca="1">TblConstr[[#This Row],[Mountain]]</f>
        <v>20</v>
      </c>
      <c r="E113" s="485">
        <f ca="1">TblConstr[[#This Row],[Hill]]</f>
        <v>20</v>
      </c>
      <c r="F113" s="489">
        <f ca="1">TblConstr[[#This Row],[Swamp]]</f>
        <v>20</v>
      </c>
      <c r="G113" s="239">
        <f ca="1">TblConstr[[#This Row],[Cavern]]</f>
        <v>20</v>
      </c>
      <c r="H113" s="240">
        <f ca="1">TblConstr[[#This Row],[Water]]</f>
        <v>20</v>
      </c>
      <c r="I113" s="281"/>
      <c r="J113" s="228">
        <f t="shared" si="3"/>
        <v>110</v>
      </c>
      <c r="K113" s="305">
        <f ca="1">TblImps[[#This Row],[Real time]]</f>
        <v>44347.541666666402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699224</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39</v>
      </c>
      <c r="C114" s="236">
        <f ca="1">TblConstr[[#This Row],[Forest]]</f>
        <v>20</v>
      </c>
      <c r="D114" s="481">
        <f ca="1">TblConstr[[#This Row],[Mountain]]</f>
        <v>20</v>
      </c>
      <c r="E114" s="485">
        <f ca="1">TblConstr[[#This Row],[Hill]]</f>
        <v>20</v>
      </c>
      <c r="F114" s="489">
        <f ca="1">TblConstr[[#This Row],[Swamp]]</f>
        <v>20</v>
      </c>
      <c r="G114" s="239">
        <f ca="1">TblConstr[[#This Row],[Cavern]]</f>
        <v>20</v>
      </c>
      <c r="H114" s="240">
        <f ca="1">TblConstr[[#This Row],[Water]]</f>
        <v>20</v>
      </c>
      <c r="I114" s="281"/>
      <c r="J114" s="228">
        <f t="shared" si="3"/>
        <v>111</v>
      </c>
      <c r="K114" s="305">
        <f ca="1">TblImps[[#This Row],[Real time]]</f>
        <v>44347.583333333067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704723</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39</v>
      </c>
      <c r="C115" s="236">
        <f ca="1">TblConstr[[#This Row],[Forest]]</f>
        <v>20</v>
      </c>
      <c r="D115" s="481">
        <f ca="1">TblConstr[[#This Row],[Mountain]]</f>
        <v>20</v>
      </c>
      <c r="E115" s="485">
        <f ca="1">TblConstr[[#This Row],[Hill]]</f>
        <v>20</v>
      </c>
      <c r="F115" s="489">
        <f ca="1">TblConstr[[#This Row],[Swamp]]</f>
        <v>20</v>
      </c>
      <c r="G115" s="239">
        <f ca="1">TblConstr[[#This Row],[Cavern]]</f>
        <v>20</v>
      </c>
      <c r="H115" s="240">
        <f ca="1">TblConstr[[#This Row],[Water]]</f>
        <v>20</v>
      </c>
      <c r="I115" s="281"/>
      <c r="J115" s="228">
        <f t="shared" si="3"/>
        <v>112</v>
      </c>
      <c r="K115" s="305">
        <f ca="1">TblImps[[#This Row],[Real time]]</f>
        <v>44347.624999999731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710222</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39</v>
      </c>
      <c r="C116" s="236">
        <f ca="1">TblConstr[[#This Row],[Forest]]</f>
        <v>20</v>
      </c>
      <c r="D116" s="481">
        <f ca="1">TblConstr[[#This Row],[Mountain]]</f>
        <v>20</v>
      </c>
      <c r="E116" s="485">
        <f ca="1">TblConstr[[#This Row],[Hill]]</f>
        <v>20</v>
      </c>
      <c r="F116" s="489">
        <f ca="1">TblConstr[[#This Row],[Swamp]]</f>
        <v>20</v>
      </c>
      <c r="G116" s="239">
        <f ca="1">TblConstr[[#This Row],[Cavern]]</f>
        <v>20</v>
      </c>
      <c r="H116" s="240">
        <f ca="1">TblConstr[[#This Row],[Water]]</f>
        <v>20</v>
      </c>
      <c r="I116" s="281"/>
      <c r="J116" s="228">
        <f t="shared" si="3"/>
        <v>113</v>
      </c>
      <c r="K116" s="305">
        <f ca="1">TblImps[[#This Row],[Real time]]</f>
        <v>44347.666666666395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715721</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39</v>
      </c>
      <c r="C117" s="236">
        <f ca="1">TblConstr[[#This Row],[Forest]]</f>
        <v>20</v>
      </c>
      <c r="D117" s="481">
        <f ca="1">TblConstr[[#This Row],[Mountain]]</f>
        <v>20</v>
      </c>
      <c r="E117" s="485">
        <f ca="1">TblConstr[[#This Row],[Hill]]</f>
        <v>20</v>
      </c>
      <c r="F117" s="489">
        <f ca="1">TblConstr[[#This Row],[Swamp]]</f>
        <v>20</v>
      </c>
      <c r="G117" s="239">
        <f ca="1">TblConstr[[#This Row],[Cavern]]</f>
        <v>20</v>
      </c>
      <c r="H117" s="240">
        <f ca="1">TblConstr[[#This Row],[Water]]</f>
        <v>20</v>
      </c>
      <c r="I117" s="281"/>
      <c r="J117" s="228">
        <f t="shared" si="3"/>
        <v>114</v>
      </c>
      <c r="K117" s="305">
        <f ca="1">TblImps[[#This Row],[Real time]]</f>
        <v>44347.708333333059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721220</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39</v>
      </c>
      <c r="C118" s="236">
        <f ca="1">TblConstr[[#This Row],[Forest]]</f>
        <v>20</v>
      </c>
      <c r="D118" s="481">
        <f ca="1">TblConstr[[#This Row],[Mountain]]</f>
        <v>20</v>
      </c>
      <c r="E118" s="485">
        <f ca="1">TblConstr[[#This Row],[Hill]]</f>
        <v>20</v>
      </c>
      <c r="F118" s="489">
        <f ca="1">TblConstr[[#This Row],[Swamp]]</f>
        <v>20</v>
      </c>
      <c r="G118" s="239">
        <f ca="1">TblConstr[[#This Row],[Cavern]]</f>
        <v>20</v>
      </c>
      <c r="H118" s="240">
        <f ca="1">TblConstr[[#This Row],[Water]]</f>
        <v>20</v>
      </c>
      <c r="I118" s="281"/>
      <c r="J118" s="228">
        <f t="shared" si="3"/>
        <v>115</v>
      </c>
      <c r="K118" s="305">
        <f ca="1">TblImps[[#This Row],[Real time]]</f>
        <v>44347.749999999724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726719</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39</v>
      </c>
      <c r="C119" s="236">
        <f ca="1">TblConstr[[#This Row],[Forest]]</f>
        <v>20</v>
      </c>
      <c r="D119" s="481">
        <f ca="1">TblConstr[[#This Row],[Mountain]]</f>
        <v>20</v>
      </c>
      <c r="E119" s="485">
        <f ca="1">TblConstr[[#This Row],[Hill]]</f>
        <v>20</v>
      </c>
      <c r="F119" s="489">
        <f ca="1">TblConstr[[#This Row],[Swamp]]</f>
        <v>20</v>
      </c>
      <c r="G119" s="239">
        <f ca="1">TblConstr[[#This Row],[Cavern]]</f>
        <v>20</v>
      </c>
      <c r="H119" s="240">
        <f ca="1">TblConstr[[#This Row],[Water]]</f>
        <v>20</v>
      </c>
      <c r="I119" s="281"/>
      <c r="J119" s="228">
        <f t="shared" si="3"/>
        <v>116</v>
      </c>
      <c r="K119" s="305">
        <f ca="1">TblImps[[#This Row],[Real time]]</f>
        <v>44347.791666666388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732218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39</v>
      </c>
      <c r="C120" s="236">
        <f ca="1">TblConstr[[#This Row],[Forest]]</f>
        <v>20</v>
      </c>
      <c r="D120" s="481">
        <f ca="1">TblConstr[[#This Row],[Mountain]]</f>
        <v>20</v>
      </c>
      <c r="E120" s="485">
        <f ca="1">TblConstr[[#This Row],[Hill]]</f>
        <v>20</v>
      </c>
      <c r="F120" s="489">
        <f ca="1">TblConstr[[#This Row],[Swamp]]</f>
        <v>20</v>
      </c>
      <c r="G120" s="239">
        <f ca="1">TblConstr[[#This Row],[Cavern]]</f>
        <v>20</v>
      </c>
      <c r="H120" s="240">
        <f ca="1">TblConstr[[#This Row],[Water]]</f>
        <v>20</v>
      </c>
      <c r="I120" s="281"/>
      <c r="J120" s="228">
        <f t="shared" si="3"/>
        <v>117</v>
      </c>
      <c r="K120" s="305">
        <f ca="1">TblImps[[#This Row],[Real time]]</f>
        <v>44347.833333333052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737717</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39</v>
      </c>
      <c r="C121" s="236">
        <f ca="1">TblConstr[[#This Row],[Forest]]</f>
        <v>20</v>
      </c>
      <c r="D121" s="481">
        <f ca="1">TblConstr[[#This Row],[Mountain]]</f>
        <v>20</v>
      </c>
      <c r="E121" s="485">
        <f ca="1">TblConstr[[#This Row],[Hill]]</f>
        <v>20</v>
      </c>
      <c r="F121" s="489">
        <f ca="1">TblConstr[[#This Row],[Swamp]]</f>
        <v>20</v>
      </c>
      <c r="G121" s="239">
        <f ca="1">TblConstr[[#This Row],[Cavern]]</f>
        <v>20</v>
      </c>
      <c r="H121" s="240">
        <f ca="1">TblConstr[[#This Row],[Water]]</f>
        <v>20</v>
      </c>
      <c r="I121" s="281"/>
      <c r="J121" s="228">
        <f t="shared" si="3"/>
        <v>118</v>
      </c>
      <c r="K121" s="305">
        <f ca="1">TblImps[[#This Row],[Real time]]</f>
        <v>44347.874999999716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743216</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39</v>
      </c>
      <c r="C122" s="236">
        <f ca="1">TblConstr[[#This Row],[Forest]]</f>
        <v>20</v>
      </c>
      <c r="D122" s="481">
        <f ca="1">TblConstr[[#This Row],[Mountain]]</f>
        <v>20</v>
      </c>
      <c r="E122" s="485">
        <f ca="1">TblConstr[[#This Row],[Hill]]</f>
        <v>20</v>
      </c>
      <c r="F122" s="489">
        <f ca="1">TblConstr[[#This Row],[Swamp]]</f>
        <v>20</v>
      </c>
      <c r="G122" s="239">
        <f ca="1">TblConstr[[#This Row],[Cavern]]</f>
        <v>20</v>
      </c>
      <c r="H122" s="240">
        <f ca="1">TblConstr[[#This Row],[Water]]</f>
        <v>20</v>
      </c>
      <c r="I122" s="281"/>
      <c r="J122" s="228">
        <f t="shared" si="3"/>
        <v>119</v>
      </c>
      <c r="K122" s="305">
        <f ca="1">TblImps[[#This Row],[Real time]]</f>
        <v>44347.91666666638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748715</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39</v>
      </c>
      <c r="C123" s="236">
        <f ca="1">TblConstr[[#This Row],[Forest]]</f>
        <v>20</v>
      </c>
      <c r="D123" s="481">
        <f ca="1">TblConstr[[#This Row],[Mountain]]</f>
        <v>20</v>
      </c>
      <c r="E123" s="485">
        <f ca="1">TblConstr[[#This Row],[Hill]]</f>
        <v>20</v>
      </c>
      <c r="F123" s="489">
        <f ca="1">TblConstr[[#This Row],[Swamp]]</f>
        <v>20</v>
      </c>
      <c r="G123" s="239">
        <f ca="1">TblConstr[[#This Row],[Cavern]]</f>
        <v>20</v>
      </c>
      <c r="H123" s="240">
        <f ca="1">TblConstr[[#This Row],[Water]]</f>
        <v>20</v>
      </c>
      <c r="I123" s="281"/>
      <c r="J123" s="228">
        <f t="shared" si="3"/>
        <v>120</v>
      </c>
      <c r="K123" s="305">
        <f ca="1">TblImps[[#This Row],[Real time]]</f>
        <v>44347.958333333045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754214</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39</v>
      </c>
      <c r="C124" s="236">
        <f ca="1">TblConstr[[#This Row],[Forest]]</f>
        <v>20</v>
      </c>
      <c r="D124" s="481">
        <f ca="1">TblConstr[[#This Row],[Mountain]]</f>
        <v>20</v>
      </c>
      <c r="E124" s="485">
        <f ca="1">TblConstr[[#This Row],[Hill]]</f>
        <v>20</v>
      </c>
      <c r="F124" s="489">
        <f ca="1">TblConstr[[#This Row],[Swamp]]</f>
        <v>20</v>
      </c>
      <c r="G124" s="239">
        <f ca="1">TblConstr[[#This Row],[Cavern]]</f>
        <v>20</v>
      </c>
      <c r="H124" s="240">
        <f ca="1">TblConstr[[#This Row],[Water]]</f>
        <v>20</v>
      </c>
      <c r="I124" s="281"/>
      <c r="J124" s="228">
        <f t="shared" si="3"/>
        <v>121</v>
      </c>
      <c r="K124" s="305">
        <f ca="1">TblImps[[#This Row],[Real time]]</f>
        <v>44347.999999999709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759713</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39</v>
      </c>
      <c r="C125" s="236">
        <f ca="1">TblConstr[[#This Row],[Forest]]</f>
        <v>20</v>
      </c>
      <c r="D125" s="481">
        <f ca="1">TblConstr[[#This Row],[Mountain]]</f>
        <v>20</v>
      </c>
      <c r="E125" s="485">
        <f ca="1">TblConstr[[#This Row],[Hill]]</f>
        <v>20</v>
      </c>
      <c r="F125" s="489">
        <f ca="1">TblConstr[[#This Row],[Swamp]]</f>
        <v>20</v>
      </c>
      <c r="G125" s="239">
        <f ca="1">TblConstr[[#This Row],[Cavern]]</f>
        <v>20</v>
      </c>
      <c r="H125" s="240">
        <f ca="1">TblConstr[[#This Row],[Water]]</f>
        <v>20</v>
      </c>
      <c r="I125" s="281"/>
      <c r="J125" s="228">
        <f t="shared" si="3"/>
        <v>122</v>
      </c>
      <c r="K125" s="305">
        <f ca="1">TblImps[[#This Row],[Real time]]</f>
        <v>44348.041666666373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765212</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39</v>
      </c>
      <c r="C126" s="236">
        <f ca="1">TblConstr[[#This Row],[Forest]]</f>
        <v>20</v>
      </c>
      <c r="D126" s="481">
        <f ca="1">TblConstr[[#This Row],[Mountain]]</f>
        <v>20</v>
      </c>
      <c r="E126" s="485">
        <f ca="1">TblConstr[[#This Row],[Hill]]</f>
        <v>20</v>
      </c>
      <c r="F126" s="489">
        <f ca="1">TblConstr[[#This Row],[Swamp]]</f>
        <v>20</v>
      </c>
      <c r="G126" s="239">
        <f ca="1">TblConstr[[#This Row],[Cavern]]</f>
        <v>20</v>
      </c>
      <c r="H126" s="240">
        <f ca="1">TblConstr[[#This Row],[Water]]</f>
        <v>20</v>
      </c>
      <c r="I126" s="281"/>
      <c r="J126" s="228">
        <f t="shared" si="3"/>
        <v>123</v>
      </c>
      <c r="K126" s="305">
        <f ca="1">TblImps[[#This Row],[Real time]]</f>
        <v>44348.083333333037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770711</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39</v>
      </c>
      <c r="C127" s="236">
        <f ca="1">TblConstr[[#This Row],[Forest]]</f>
        <v>20</v>
      </c>
      <c r="D127" s="481">
        <f ca="1">TblConstr[[#This Row],[Mountain]]</f>
        <v>20</v>
      </c>
      <c r="E127" s="485">
        <f ca="1">TblConstr[[#This Row],[Hill]]</f>
        <v>20</v>
      </c>
      <c r="F127" s="489">
        <f ca="1">TblConstr[[#This Row],[Swamp]]</f>
        <v>20</v>
      </c>
      <c r="G127" s="239">
        <f ca="1">TblConstr[[#This Row],[Cavern]]</f>
        <v>20</v>
      </c>
      <c r="H127" s="240">
        <f ca="1">TblConstr[[#This Row],[Water]]</f>
        <v>20</v>
      </c>
      <c r="I127" s="281"/>
      <c r="J127" s="228">
        <f t="shared" si="3"/>
        <v>124</v>
      </c>
      <c r="K127" s="305">
        <f ca="1">TblImps[[#This Row],[Real time]]</f>
        <v>44348.124999999702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776210</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39</v>
      </c>
      <c r="C128" s="236">
        <f ca="1">TblConstr[[#This Row],[Forest]]</f>
        <v>20</v>
      </c>
      <c r="D128" s="481">
        <f ca="1">TblConstr[[#This Row],[Mountain]]</f>
        <v>20</v>
      </c>
      <c r="E128" s="485">
        <f ca="1">TblConstr[[#This Row],[Hill]]</f>
        <v>20</v>
      </c>
      <c r="F128" s="489">
        <f ca="1">TblConstr[[#This Row],[Swamp]]</f>
        <v>20</v>
      </c>
      <c r="G128" s="239">
        <f ca="1">TblConstr[[#This Row],[Cavern]]</f>
        <v>20</v>
      </c>
      <c r="H128" s="240">
        <f ca="1">TblConstr[[#This Row],[Water]]</f>
        <v>20</v>
      </c>
      <c r="I128" s="281"/>
      <c r="J128" s="228">
        <f t="shared" si="3"/>
        <v>125</v>
      </c>
      <c r="K128" s="305">
        <f ca="1">TblImps[[#This Row],[Real time]]</f>
        <v>44348.166666666366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781709</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39</v>
      </c>
      <c r="C129" s="236">
        <f ca="1">TblConstr[[#This Row],[Forest]]</f>
        <v>20</v>
      </c>
      <c r="D129" s="481">
        <f ca="1">TblConstr[[#This Row],[Mountain]]</f>
        <v>20</v>
      </c>
      <c r="E129" s="485">
        <f ca="1">TblConstr[[#This Row],[Hill]]</f>
        <v>20</v>
      </c>
      <c r="F129" s="489">
        <f ca="1">TblConstr[[#This Row],[Swamp]]</f>
        <v>20</v>
      </c>
      <c r="G129" s="239">
        <f ca="1">TblConstr[[#This Row],[Cavern]]</f>
        <v>20</v>
      </c>
      <c r="H129" s="240">
        <f ca="1">TblConstr[[#This Row],[Water]]</f>
        <v>20</v>
      </c>
      <c r="I129" s="281"/>
      <c r="J129" s="228">
        <f t="shared" si="3"/>
        <v>126</v>
      </c>
      <c r="K129" s="305">
        <f ca="1">TblImps[[#This Row],[Real time]]</f>
        <v>44348.20833333303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787208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39</v>
      </c>
      <c r="C130" s="236">
        <f ca="1">TblConstr[[#This Row],[Forest]]</f>
        <v>20</v>
      </c>
      <c r="D130" s="481">
        <f ca="1">TblConstr[[#This Row],[Mountain]]</f>
        <v>20</v>
      </c>
      <c r="E130" s="485">
        <f ca="1">TblConstr[[#This Row],[Hill]]</f>
        <v>20</v>
      </c>
      <c r="F130" s="489">
        <f ca="1">TblConstr[[#This Row],[Swamp]]</f>
        <v>20</v>
      </c>
      <c r="G130" s="239">
        <f ca="1">TblConstr[[#This Row],[Cavern]]</f>
        <v>20</v>
      </c>
      <c r="H130" s="240">
        <f ca="1">TblConstr[[#This Row],[Water]]</f>
        <v>20</v>
      </c>
      <c r="I130" s="281"/>
      <c r="J130" s="228">
        <f t="shared" si="3"/>
        <v>127</v>
      </c>
      <c r="K130" s="305">
        <f ca="1">TblImps[[#This Row],[Real time]]</f>
        <v>44348.249999999694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792707</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39</v>
      </c>
      <c r="C131" s="236">
        <f ca="1">TblConstr[[#This Row],[Forest]]</f>
        <v>20</v>
      </c>
      <c r="D131" s="481">
        <f ca="1">TblConstr[[#This Row],[Mountain]]</f>
        <v>20</v>
      </c>
      <c r="E131" s="485">
        <f ca="1">TblConstr[[#This Row],[Hill]]</f>
        <v>20</v>
      </c>
      <c r="F131" s="489">
        <f ca="1">TblConstr[[#This Row],[Swamp]]</f>
        <v>20</v>
      </c>
      <c r="G131" s="239">
        <f ca="1">TblConstr[[#This Row],[Cavern]]</f>
        <v>20</v>
      </c>
      <c r="H131" s="240">
        <f ca="1">TblConstr[[#This Row],[Water]]</f>
        <v>20</v>
      </c>
      <c r="I131" s="281"/>
      <c r="J131" s="228">
        <f t="shared" si="3"/>
        <v>128</v>
      </c>
      <c r="K131" s="305">
        <f ca="1">TblImps[[#This Row],[Real time]]</f>
        <v>44348.291666666359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798206</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39</v>
      </c>
      <c r="C132" s="236">
        <f ca="1">TblConstr[[#This Row],[Forest]]</f>
        <v>20</v>
      </c>
      <c r="D132" s="481">
        <f ca="1">TblConstr[[#This Row],[Mountain]]</f>
        <v>20</v>
      </c>
      <c r="E132" s="485">
        <f ca="1">TblConstr[[#This Row],[Hill]]</f>
        <v>20</v>
      </c>
      <c r="F132" s="489">
        <f ca="1">TblConstr[[#This Row],[Swamp]]</f>
        <v>20</v>
      </c>
      <c r="G132" s="239">
        <f ca="1">TblConstr[[#This Row],[Cavern]]</f>
        <v>20</v>
      </c>
      <c r="H132" s="240">
        <f ca="1">TblConstr[[#This Row],[Water]]</f>
        <v>20</v>
      </c>
      <c r="I132" s="281"/>
      <c r="J132" s="228">
        <f t="shared" si="3"/>
        <v>129</v>
      </c>
      <c r="K132" s="305">
        <f ca="1">TblImps[[#This Row],[Real time]]</f>
        <v>44348.333333333023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803705</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39</v>
      </c>
      <c r="C133" s="236">
        <f ca="1">TblConstr[[#This Row],[Forest]]</f>
        <v>20</v>
      </c>
      <c r="D133" s="481">
        <f ca="1">TblConstr[[#This Row],[Mountain]]</f>
        <v>20</v>
      </c>
      <c r="E133" s="485">
        <f ca="1">TblConstr[[#This Row],[Hill]]</f>
        <v>20</v>
      </c>
      <c r="F133" s="489">
        <f ca="1">TblConstr[[#This Row],[Swamp]]</f>
        <v>20</v>
      </c>
      <c r="G133" s="239">
        <f ca="1">TblConstr[[#This Row],[Cavern]]</f>
        <v>20</v>
      </c>
      <c r="H133" s="240">
        <f ca="1">TblConstr[[#This Row],[Water]]</f>
        <v>20</v>
      </c>
      <c r="I133" s="281"/>
      <c r="J133" s="228">
        <f t="shared" si="3"/>
        <v>130</v>
      </c>
      <c r="K133" s="305">
        <f ca="1">TblImps[[#This Row],[Real time]]</f>
        <v>44348.374999999687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809204</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39</v>
      </c>
      <c r="C134" s="236">
        <f ca="1">TblConstr[[#This Row],[Forest]]</f>
        <v>20</v>
      </c>
      <c r="D134" s="481">
        <f ca="1">TblConstr[[#This Row],[Mountain]]</f>
        <v>20</v>
      </c>
      <c r="E134" s="485">
        <f ca="1">TblConstr[[#This Row],[Hill]]</f>
        <v>20</v>
      </c>
      <c r="F134" s="489">
        <f ca="1">TblConstr[[#This Row],[Swamp]]</f>
        <v>20</v>
      </c>
      <c r="G134" s="239">
        <f ca="1">TblConstr[[#This Row],[Cavern]]</f>
        <v>20</v>
      </c>
      <c r="H134" s="240">
        <f ca="1">TblConstr[[#This Row],[Water]]</f>
        <v>20</v>
      </c>
      <c r="I134" s="281"/>
      <c r="J134" s="228">
        <f t="shared" si="3"/>
        <v>131</v>
      </c>
      <c r="K134" s="305">
        <f ca="1">TblImps[[#This Row],[Real time]]</f>
        <v>44348.416666666351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814703</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39</v>
      </c>
      <c r="C135" s="236">
        <f ca="1">TblConstr[[#This Row],[Forest]]</f>
        <v>20</v>
      </c>
      <c r="D135" s="481">
        <f ca="1">TblConstr[[#This Row],[Mountain]]</f>
        <v>20</v>
      </c>
      <c r="E135" s="485">
        <f ca="1">TblConstr[[#This Row],[Hill]]</f>
        <v>20</v>
      </c>
      <c r="F135" s="489">
        <f ca="1">TblConstr[[#This Row],[Swamp]]</f>
        <v>20</v>
      </c>
      <c r="G135" s="239">
        <f ca="1">TblConstr[[#This Row],[Cavern]]</f>
        <v>20</v>
      </c>
      <c r="H135" s="240">
        <f ca="1">TblConstr[[#This Row],[Water]]</f>
        <v>20</v>
      </c>
      <c r="I135" s="281"/>
      <c r="J135" s="228">
        <f t="shared" si="3"/>
        <v>132</v>
      </c>
      <c r="K135" s="305">
        <f ca="1">TblImps[[#This Row],[Real time]]</f>
        <v>44348.458333333016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820202</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39</v>
      </c>
      <c r="C136" s="236">
        <f ca="1">TblConstr[[#This Row],[Forest]]</f>
        <v>20</v>
      </c>
      <c r="D136" s="481">
        <f ca="1">TblConstr[[#This Row],[Mountain]]</f>
        <v>20</v>
      </c>
      <c r="E136" s="485">
        <f ca="1">TblConstr[[#This Row],[Hill]]</f>
        <v>20</v>
      </c>
      <c r="F136" s="489">
        <f ca="1">TblConstr[[#This Row],[Swamp]]</f>
        <v>20</v>
      </c>
      <c r="G136" s="239">
        <f ca="1">TblConstr[[#This Row],[Cavern]]</f>
        <v>20</v>
      </c>
      <c r="H136" s="240">
        <f ca="1">TblConstr[[#This Row],[Water]]</f>
        <v>20</v>
      </c>
      <c r="I136" s="281"/>
      <c r="J136" s="228">
        <f t="shared" si="3"/>
        <v>133</v>
      </c>
      <c r="K136" s="305">
        <f ca="1">TblImps[[#This Row],[Real time]]</f>
        <v>44348.49999999968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825701</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4" t="s">
        <v>327</v>
      </c>
      <c r="B1269" s="584"/>
      <c r="I1269" s="308" t="s">
        <v>317</v>
      </c>
      <c r="L1269" s="309"/>
      <c r="M1269" s="309">
        <v>-10</v>
      </c>
      <c r="N1269" s="309">
        <v>10</v>
      </c>
      <c r="O1269" s="309"/>
      <c r="P1269" s="309"/>
      <c r="Q1269" s="309"/>
      <c r="R1269" s="309"/>
    </row>
    <row r="1270" spans="1:18" x14ac:dyDescent="0.2">
      <c r="A1270" s="174">
        <f>Overview!E17</f>
        <v>0</v>
      </c>
      <c r="B1270" s="174"/>
      <c r="L1270" s="593" t="s">
        <v>316</v>
      </c>
      <c r="M1270" s="535"/>
      <c r="N1270" s="535"/>
      <c r="O1270" s="535"/>
      <c r="P1270" s="535"/>
      <c r="Q1270" s="535"/>
      <c r="R1270" s="535"/>
    </row>
  </sheetData>
  <mergeCells count="2">
    <mergeCell ref="L1270:R1270"/>
    <mergeCell ref="A1269:B1269"/>
  </mergeCells>
  <phoneticPr fontId="0" type="noConversion"/>
  <conditionalFormatting sqref="A1271:AC60158 A137:AC1268">
    <cfRule type="expression" dxfId="422" priority="14" stopIfTrue="1">
      <formula>ROW()-2=#REF!</formula>
    </cfRule>
  </conditionalFormatting>
  <conditionalFormatting sqref="A1269:AC1270">
    <cfRule type="expression" dxfId="421" priority="15" stopIfTrue="1">
      <formula>$A$1270&gt;144</formula>
    </cfRule>
  </conditionalFormatting>
  <conditionalFormatting sqref="A1:AC3">
    <cfRule type="expression" dxfId="420" priority="19" stopIfTrue="1">
      <formula>$A$1270&lt;0</formula>
    </cfRule>
  </conditionalFormatting>
  <conditionalFormatting sqref="A4:AC136">
    <cfRule type="expression" dxfId="419" priority="1" stopIfTrue="1">
      <formula>ROW()-3=$A$1270</formula>
    </cfRule>
    <cfRule type="expression" dxfId="418" priority="2" stopIfTrue="1">
      <formula>OR(AND(ROW()-3=$A$1270,A4="Ok",XFD4&lt;&gt;0),A4="Nope")</formula>
    </cfRule>
    <cfRule type="expression" dxfId="417" priority="4">
      <formula>$J4=73</formula>
    </cfRule>
    <cfRule type="expression" dxfId="416" priority="7">
      <formula>ROUND(($J4-1)/12,0)=INT($J4-1)/12</formula>
    </cfRule>
  </conditionalFormatting>
  <conditionalFormatting sqref="T76">
    <cfRule type="expression" dxfId="415" priority="13" stopIfTrue="1">
      <formula>S76=0</formula>
    </cfRule>
  </conditionalFormatting>
  <conditionalFormatting sqref="B4:H136">
    <cfRule type="cellIs" dxfId="414"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5" t="s">
        <v>31</v>
      </c>
      <c r="P1" s="585"/>
      <c r="Q1" s="585"/>
      <c r="R1" s="595" t="s">
        <v>487</v>
      </c>
      <c r="S1" s="585"/>
      <c r="T1" s="310"/>
      <c r="U1" s="585" t="s">
        <v>488</v>
      </c>
      <c r="V1" s="585"/>
      <c r="W1" s="90"/>
      <c r="X1" s="585" t="s">
        <v>24</v>
      </c>
      <c r="Y1" s="585"/>
      <c r="Z1" s="585"/>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5" t="s">
        <v>505</v>
      </c>
      <c r="BG1" s="585"/>
      <c r="BH1" s="585"/>
      <c r="BI1" s="585"/>
      <c r="BJ1" s="585"/>
      <c r="BK1" s="585"/>
      <c r="BL1" s="585"/>
      <c r="BM1" s="585"/>
      <c r="BN1" s="586"/>
      <c r="BO1" s="586"/>
      <c r="BP1" s="586"/>
      <c r="BQ1" s="90"/>
      <c r="BR1" s="591" t="s">
        <v>309</v>
      </c>
      <c r="BS1" s="594"/>
      <c r="BT1" s="594"/>
      <c r="BU1" s="174"/>
      <c r="BV1" s="174"/>
      <c r="BW1" s="276"/>
      <c r="BX1" s="276"/>
      <c r="BY1" s="174"/>
      <c r="BZ1" s="174"/>
      <c r="CA1" s="174"/>
      <c r="CB1" s="174"/>
      <c r="CC1" s="174"/>
      <c r="CD1" s="174"/>
      <c r="CE1" s="174"/>
      <c r="CF1" s="174"/>
      <c r="CG1" s="90"/>
      <c r="CH1" s="90"/>
      <c r="CI1" s="90"/>
      <c r="CJ1" s="585" t="s">
        <v>323</v>
      </c>
      <c r="CK1" s="585"/>
      <c r="CL1" s="585"/>
      <c r="CM1" s="586"/>
      <c r="CN1" s="586"/>
      <c r="CO1" s="586"/>
      <c r="CP1" s="586"/>
      <c r="CQ1" s="586"/>
      <c r="CR1" s="586"/>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INDEX(Constants!A129:B148,MATCH(race,Constants!A129:A148,0),2)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1045</v>
      </c>
      <c r="AP3" s="176" t="s">
        <v>834</v>
      </c>
      <c r="AQ3" s="316" t="s">
        <v>1046</v>
      </c>
      <c r="AR3" s="176" t="s">
        <v>1085</v>
      </c>
      <c r="AS3" s="176" t="s">
        <v>1087</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1048</v>
      </c>
      <c r="BV3" s="176" t="s">
        <v>1047</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1049</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1088</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8">
        <f>start_op_specs - TblMili[[#This Row],[Release Unit 1]]</f>
        <v>0</v>
      </c>
      <c r="F4" s="518">
        <f>start_dp_specs - TblMili[[#This Row],[Release Unit 2]]+days_late*days_late_def_specs</f>
        <v>150</v>
      </c>
      <c r="G4" s="518">
        <f>start_elite1s - TblMili[[#This Row],[Release Unit 3]]</f>
        <v>0</v>
      </c>
      <c r="H4" s="518">
        <f>start_elite2s - TblMili[[#This Row],[Release Unit 4]]</f>
        <v>0</v>
      </c>
      <c r="I4" s="519">
        <f>start_spies -TblMili[[#This Row],[Release Spies]]</f>
        <v>25</v>
      </c>
      <c r="J4" s="519">
        <f>start_wizards  - TblMili[[#This Row],[Train Arch]] - TblMili[[#This Row],[Release Wizards]]</f>
        <v>25</v>
      </c>
      <c r="K4" s="518">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0">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44343</v>
      </c>
      <c r="AF4" s="232"/>
      <c r="AG4" s="232"/>
      <c r="AH4" s="232"/>
      <c r="AI4" s="232"/>
      <c r="AJ4" s="232"/>
      <c r="AK4" s="232"/>
      <c r="AL4" s="232"/>
      <c r="AM4" s="184"/>
      <c r="AN4" s="113">
        <f ca="1">TblProd[[#This Row],[Platinum]]</f>
        <v>99150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44343</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0.4</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44343.041666666664</v>
      </c>
      <c r="AF5" s="232"/>
      <c r="AG5" s="232"/>
      <c r="AH5" s="232"/>
      <c r="AI5" s="232"/>
      <c r="AJ5" s="232"/>
      <c r="AK5" s="232"/>
      <c r="AL5" s="232"/>
      <c r="AM5" s="184"/>
      <c r="AN5" s="113">
        <f ca="1">TblProd[[#This Row],[Platinum]]</f>
        <v>104010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44343.041666666664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0.4</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44343.083333333328</v>
      </c>
      <c r="AF6" s="232"/>
      <c r="AG6" s="232"/>
      <c r="AH6" s="232"/>
      <c r="AI6" s="232"/>
      <c r="AJ6" s="232"/>
      <c r="AK6" s="232"/>
      <c r="AL6" s="232"/>
      <c r="AM6" s="184"/>
      <c r="AN6" s="113">
        <f ca="1">TblProd[[#This Row],[Platinum]]</f>
        <v>108940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44343.083333333328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0.4</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44343.124999999993</v>
      </c>
      <c r="AF7" s="232"/>
      <c r="AG7" s="232"/>
      <c r="AH7" s="232"/>
      <c r="AI7" s="232"/>
      <c r="AJ7" s="232"/>
      <c r="AK7" s="232"/>
      <c r="AL7" s="232"/>
      <c r="AM7" s="184"/>
      <c r="AN7" s="113">
        <f ca="1">TblProd[[#This Row],[Platinum]]</f>
        <v>113940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44343.124999999993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0.4</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44343.166666666657</v>
      </c>
      <c r="AF8" s="232"/>
      <c r="AG8" s="232"/>
      <c r="AH8" s="232"/>
      <c r="AI8" s="232"/>
      <c r="AJ8" s="232"/>
      <c r="AK8" s="232"/>
      <c r="AL8" s="232"/>
      <c r="AM8" s="184"/>
      <c r="AN8" s="113">
        <f ca="1">TblProd[[#This Row],[Platinum]]</f>
        <v>119010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44343.166666666657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0.4</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44343.208333333321</v>
      </c>
      <c r="AF9" s="232"/>
      <c r="AG9" s="232"/>
      <c r="AH9" s="232"/>
      <c r="AI9" s="232"/>
      <c r="AJ9" s="232"/>
      <c r="AK9" s="232"/>
      <c r="AL9" s="232"/>
      <c r="AM9" s="184"/>
      <c r="AN9" s="113">
        <f ca="1">TblProd[[#This Row],[Platinum]]</f>
        <v>124153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44343.208333333321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0.4</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44343.249999999985</v>
      </c>
      <c r="AF10" s="232"/>
      <c r="AG10" s="232"/>
      <c r="AH10" s="232"/>
      <c r="AI10" s="232"/>
      <c r="AJ10" s="232"/>
      <c r="AK10" s="232"/>
      <c r="AL10" s="232"/>
      <c r="AM10" s="184"/>
      <c r="AN10" s="113">
        <f ca="1">TblProd[[#This Row],[Platinum]]</f>
        <v>129372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44343.249999999985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0.4</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44343.29166666665</v>
      </c>
      <c r="AF11" s="232"/>
      <c r="AG11" s="232"/>
      <c r="AH11" s="232"/>
      <c r="AI11" s="232"/>
      <c r="AJ11" s="232"/>
      <c r="AK11" s="232"/>
      <c r="AL11" s="232"/>
      <c r="AM11" s="184"/>
      <c r="AN11" s="113">
        <f ca="1">TblProd[[#This Row],[Platinum]]</f>
        <v>134669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44343.29166666665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0.4</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44343.333333333314</v>
      </c>
      <c r="AF12" s="232"/>
      <c r="AG12" s="232"/>
      <c r="AH12" s="232"/>
      <c r="AI12" s="232"/>
      <c r="AJ12" s="232"/>
      <c r="AK12" s="232"/>
      <c r="AL12" s="232"/>
      <c r="AM12" s="184"/>
      <c r="AN12" s="113">
        <f ca="1">TblProd[[#This Row],[Platinum]]</f>
        <v>140042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44343.333333333314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0.4</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44343.374999999978</v>
      </c>
      <c r="AF13" s="232"/>
      <c r="AG13" s="232"/>
      <c r="AH13" s="232"/>
      <c r="AI13" s="232"/>
      <c r="AJ13" s="232"/>
      <c r="AK13" s="232"/>
      <c r="AL13" s="232"/>
      <c r="AM13" s="184"/>
      <c r="AN13" s="113">
        <f ca="1">TblProd[[#This Row],[Platinum]]</f>
        <v>145493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44343.374999999978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0.4</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44343.416666666642</v>
      </c>
      <c r="AF14" s="232"/>
      <c r="AG14" s="232"/>
      <c r="AH14" s="232"/>
      <c r="AI14" s="232"/>
      <c r="AJ14" s="232"/>
      <c r="AK14" s="232"/>
      <c r="AL14" s="232"/>
      <c r="AM14" s="184"/>
      <c r="AN14" s="113">
        <f ca="1">TblProd[[#This Row],[Platinum]]</f>
        <v>151025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44343.416666666642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0.4</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44343.458333333307</v>
      </c>
      <c r="AF15" s="232"/>
      <c r="AG15" s="232"/>
      <c r="AH15" s="232"/>
      <c r="AI15" s="232"/>
      <c r="AJ15" s="232"/>
      <c r="AK15" s="232"/>
      <c r="AL15" s="232"/>
      <c r="AM15" s="184"/>
      <c r="AN15" s="113">
        <f ca="1">TblProd[[#This Row],[Platinum]]</f>
        <v>156641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44343.458333333307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0.4</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6455</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44343.499999999971</v>
      </c>
      <c r="AF16" s="232"/>
      <c r="AG16" s="232"/>
      <c r="AH16" s="232"/>
      <c r="AI16" s="232"/>
      <c r="AJ16" s="232"/>
      <c r="AK16" s="232"/>
      <c r="AL16" s="232"/>
      <c r="AM16" s="184"/>
      <c r="AN16" s="113">
        <f ca="1">TblProd[[#This Row],[Platinum]]</f>
        <v>162311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44343.499999999971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0.4</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6455</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44343.541666666635</v>
      </c>
      <c r="AF17" s="232"/>
      <c r="AG17" s="232"/>
      <c r="AH17" s="232"/>
      <c r="AI17" s="232"/>
      <c r="AJ17" s="232"/>
      <c r="AK17" s="232"/>
      <c r="AL17" s="232"/>
      <c r="AM17" s="184"/>
      <c r="AN17" s="113">
        <f ca="1">TblProd[[#This Row],[Platinum]]</f>
        <v>167981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44343.541666666635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0.4</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6455</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44343.583333333299</v>
      </c>
      <c r="AF18" s="232"/>
      <c r="AG18" s="232"/>
      <c r="AH18" s="232"/>
      <c r="AI18" s="232"/>
      <c r="AJ18" s="232"/>
      <c r="AK18" s="232"/>
      <c r="AL18" s="232"/>
      <c r="AM18" s="184"/>
      <c r="AN18" s="113">
        <f ca="1">TblProd[[#This Row],[Platinum]]</f>
        <v>173651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44343.583333333299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0.4</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6455</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44343.624999999964</v>
      </c>
      <c r="AF19" s="232"/>
      <c r="AG19" s="232"/>
      <c r="AH19" s="232"/>
      <c r="AI19" s="232"/>
      <c r="AJ19" s="232"/>
      <c r="AK19" s="232"/>
      <c r="AL19" s="232"/>
      <c r="AM19" s="184"/>
      <c r="AN19" s="113">
        <f ca="1">TblProd[[#This Row],[Platinum]]</f>
        <v>179321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44343.624999999964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0.4</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6455</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44343.666666666628</v>
      </c>
      <c r="AF20" s="232"/>
      <c r="AG20" s="232"/>
      <c r="AH20" s="232"/>
      <c r="AI20" s="232"/>
      <c r="AJ20" s="232"/>
      <c r="AK20" s="232"/>
      <c r="AL20" s="232"/>
      <c r="AM20" s="184"/>
      <c r="AN20" s="113">
        <f ca="1">TblProd[[#This Row],[Platinum]]</f>
        <v>184991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44343.666666666628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0.4</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0.23566610455311973</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6455</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44343.708333333292</v>
      </c>
      <c r="AF21" s="232"/>
      <c r="AG21" s="232"/>
      <c r="AH21" s="232"/>
      <c r="AI21" s="232"/>
      <c r="AJ21" s="232"/>
      <c r="AK21" s="232"/>
      <c r="AL21" s="232"/>
      <c r="AM21" s="184"/>
      <c r="AN21" s="113">
        <f ca="1">TblProd[[#This Row],[Platinum]]</f>
        <v>190661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44343.708333333292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0.4</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0.24213176668065464</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6455</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44343.749999999956</v>
      </c>
      <c r="AF22" s="232"/>
      <c r="AG22" s="232"/>
      <c r="AH22" s="232"/>
      <c r="AI22" s="232"/>
      <c r="AJ22" s="232"/>
      <c r="AK22" s="232"/>
      <c r="AL22" s="232"/>
      <c r="AM22" s="184"/>
      <c r="AN22" s="113">
        <f ca="1">TblProd[[#This Row],[Platinum]]</f>
        <v>196331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44343.749999999956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0.4</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0.24968527066722618</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6455</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44343.791666666621</v>
      </c>
      <c r="AF23" s="232"/>
      <c r="AG23" s="232"/>
      <c r="AH23" s="232"/>
      <c r="AI23" s="232"/>
      <c r="AJ23" s="232"/>
      <c r="AK23" s="232"/>
      <c r="AL23" s="232"/>
      <c r="AM23" s="184"/>
      <c r="AN23" s="113">
        <f ca="1">TblProd[[#This Row],[Platinum]]</f>
        <v>202001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44343.791666666621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0.4</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0.25723877465379774</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6455</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44343.833333333285</v>
      </c>
      <c r="AF24" s="232"/>
      <c r="AG24" s="232"/>
      <c r="AH24" s="232"/>
      <c r="AI24" s="232"/>
      <c r="AJ24" s="232"/>
      <c r="AK24" s="232"/>
      <c r="AL24" s="232"/>
      <c r="AM24" s="184"/>
      <c r="AN24" s="113">
        <f ca="1">TblProd[[#This Row],[Platinum]]</f>
        <v>207671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44343.833333333285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0.4</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631</v>
      </c>
      <c r="C25" s="203">
        <f ca="1">TblPop[[#This Row],[Military%]]</f>
        <v>0.26479227864036931</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6455</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881</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881</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431</v>
      </c>
      <c r="AA25" s="200"/>
      <c r="AB25" s="234">
        <f ca="1">(TblConstr[[#This Row],[Tot Smi]]+TblConstr[[#This Row],[Dest Smi]])/(TblConstr[[#This Row],[Land]]-TblExplore[[#This Row],[Land Bonus]]*20)</f>
        <v>0</v>
      </c>
      <c r="AC25" s="178"/>
      <c r="AD25" s="318">
        <f>TblMili[[#This Row],[Hour]]</f>
        <v>22</v>
      </c>
      <c r="AE25" s="179">
        <f ca="1">TblExplore[[#This Row],[Time]]</f>
        <v>44343.874999999949</v>
      </c>
      <c r="AF25" s="232"/>
      <c r="AG25" s="232"/>
      <c r="AH25" s="232"/>
      <c r="AI25" s="232"/>
      <c r="AJ25" s="232"/>
      <c r="AK25" s="232"/>
      <c r="AL25" s="232"/>
      <c r="AM25" s="184"/>
      <c r="AN25" s="113">
        <f ca="1">TblProd[[#This Row],[Platinum]]</f>
        <v>213341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44343.874999999949</v>
      </c>
      <c r="AT25" s="113">
        <f ca="1">TblMili[[#This Row],[Draftees]]</f>
        <v>431</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0.4</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649</v>
      </c>
      <c r="C26" s="203">
        <f ca="1">TblPop[[#This Row],[Military%]]</f>
        <v>0.27234578262694081</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6455</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899</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899</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449</v>
      </c>
      <c r="AA26" s="200"/>
      <c r="AB26" s="234">
        <f ca="1">(TblConstr[[#This Row],[Tot Smi]]+TblConstr[[#This Row],[Dest Smi]])/(TblConstr[[#This Row],[Land]]-TblExplore[[#This Row],[Land Bonus]]*20)</f>
        <v>0</v>
      </c>
      <c r="AC26" s="178"/>
      <c r="AD26" s="318">
        <f>TblMili[[#This Row],[Hour]]</f>
        <v>23</v>
      </c>
      <c r="AE26" s="179">
        <f ca="1">TblExplore[[#This Row],[Time]]</f>
        <v>44343.916666666613</v>
      </c>
      <c r="AF26" s="232"/>
      <c r="AG26" s="232"/>
      <c r="AH26" s="232"/>
      <c r="AI26" s="232"/>
      <c r="AJ26" s="232"/>
      <c r="AK26" s="232"/>
      <c r="AL26" s="232"/>
      <c r="AM26" s="184"/>
      <c r="AN26" s="113">
        <f ca="1">TblProd[[#This Row],[Platinum]]</f>
        <v>219011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44343.916666666613</v>
      </c>
      <c r="AT26" s="113">
        <f ca="1">TblMili[[#This Row],[Draftees]]</f>
        <v>449</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0.4</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666</v>
      </c>
      <c r="C27" s="203">
        <f ca="1">TblPop[[#This Row],[Military%]]</f>
        <v>0.2794796475031473</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6455</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916</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916</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466</v>
      </c>
      <c r="AA27" s="200"/>
      <c r="AB27" s="234">
        <f ca="1">(TblConstr[[#This Row],[Tot Smi]]+TblConstr[[#This Row],[Dest Smi]])/(TblConstr[[#This Row],[Land]]-TblExplore[[#This Row],[Land Bonus]]*20)</f>
        <v>0</v>
      </c>
      <c r="AC27" s="178"/>
      <c r="AD27" s="318">
        <f>TblMili[[#This Row],[Hour]]</f>
        <v>24</v>
      </c>
      <c r="AE27" s="179">
        <f ca="1">TblExplore[[#This Row],[Time]]</f>
        <v>44343.958333333278</v>
      </c>
      <c r="AF27" s="232"/>
      <c r="AG27" s="232"/>
      <c r="AH27" s="232"/>
      <c r="AI27" s="232"/>
      <c r="AJ27" s="232"/>
      <c r="AK27" s="232"/>
      <c r="AL27" s="232"/>
      <c r="AM27" s="184"/>
      <c r="AN27" s="113">
        <f ca="1">TblProd[[#This Row],[Platinum]]</f>
        <v>224681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44343.958333333278</v>
      </c>
      <c r="AT27" s="113">
        <f ca="1">TblMili[[#This Row],[Draftees]]</f>
        <v>466</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0.4</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683</v>
      </c>
      <c r="C28" s="203">
        <f ca="1">TblPop[[#This Row],[Military%]]</f>
        <v>0.28661351237935373</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6455</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933</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933</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483</v>
      </c>
      <c r="AA28" s="200"/>
      <c r="AB28" s="234">
        <f ca="1">(TblConstr[[#This Row],[Tot Smi]]+TblConstr[[#This Row],[Dest Smi]])/(TblConstr[[#This Row],[Land]]-TblExplore[[#This Row],[Land Bonus]]*20)</f>
        <v>0</v>
      </c>
      <c r="AC28" s="178"/>
      <c r="AD28" s="318">
        <f>TblMili[[#This Row],[Hour]]</f>
        <v>25</v>
      </c>
      <c r="AE28" s="179">
        <f ca="1">TblExplore[[#This Row],[Time]]</f>
        <v>44343.999999999942</v>
      </c>
      <c r="AF28" s="232"/>
      <c r="AG28" s="232"/>
      <c r="AH28" s="232"/>
      <c r="AI28" s="232"/>
      <c r="AJ28" s="232"/>
      <c r="AK28" s="232"/>
      <c r="AL28" s="232"/>
      <c r="AM28" s="184"/>
      <c r="AN28" s="113">
        <f ca="1">TblProd[[#This Row],[Platinum]]</f>
        <v>230351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44343.999999999942</v>
      </c>
      <c r="AT28" s="113">
        <f ca="1">TblMili[[#This Row],[Draftees]]</f>
        <v>483</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0.4</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700</v>
      </c>
      <c r="C29" s="203">
        <f ca="1">TblPop[[#This Row],[Military%]]</f>
        <v>0.29374737725556022</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6455</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950</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950</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500</v>
      </c>
      <c r="AA29" s="200"/>
      <c r="AB29" s="234">
        <f ca="1">(TblConstr[[#This Row],[Tot Smi]]+TblConstr[[#This Row],[Dest Smi]])/(TblConstr[[#This Row],[Land]]-TblExplore[[#This Row],[Land Bonus]]*20)</f>
        <v>0</v>
      </c>
      <c r="AC29" s="178"/>
      <c r="AD29" s="318">
        <f>TblMili[[#This Row],[Hour]]</f>
        <v>26</v>
      </c>
      <c r="AE29" s="179">
        <f ca="1">TblExplore[[#This Row],[Time]]</f>
        <v>44344.041666666606</v>
      </c>
      <c r="AF29" s="232"/>
      <c r="AG29" s="232"/>
      <c r="AH29" s="232"/>
      <c r="AI29" s="232"/>
      <c r="AJ29" s="232"/>
      <c r="AK29" s="232"/>
      <c r="AL29" s="232"/>
      <c r="AM29" s="184"/>
      <c r="AN29" s="113">
        <f ca="1">TblProd[[#This Row],[Platinum]]</f>
        <v>236021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44344.041666666606</v>
      </c>
      <c r="AT29" s="113">
        <f ca="1">TblMili[[#This Row],[Draftees]]</f>
        <v>500</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0.4</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717</v>
      </c>
      <c r="C30" s="203">
        <f ca="1">TblPop[[#This Row],[Military%]]</f>
        <v>0.3008812421317667</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6455</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967</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967</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517</v>
      </c>
      <c r="AA30" s="200"/>
      <c r="AB30" s="234">
        <f ca="1">(TblConstr[[#This Row],[Tot Smi]]+TblConstr[[#This Row],[Dest Smi]])/(TblConstr[[#This Row],[Land]]-TblExplore[[#This Row],[Land Bonus]]*20)</f>
        <v>0</v>
      </c>
      <c r="AC30" s="178"/>
      <c r="AD30" s="318">
        <f>TblMili[[#This Row],[Hour]]</f>
        <v>27</v>
      </c>
      <c r="AE30" s="179">
        <f ca="1">TblExplore[[#This Row],[Time]]</f>
        <v>44344.08333333327</v>
      </c>
      <c r="AF30" s="232"/>
      <c r="AG30" s="232"/>
      <c r="AH30" s="232"/>
      <c r="AI30" s="232"/>
      <c r="AJ30" s="232"/>
      <c r="AK30" s="232"/>
      <c r="AL30" s="232"/>
      <c r="AM30" s="184"/>
      <c r="AN30" s="113">
        <f ca="1">TblProd[[#This Row],[Platinum]]</f>
        <v>241691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44344.08333333327</v>
      </c>
      <c r="AT30" s="113">
        <f ca="1">TblMili[[#This Row],[Draftees]]</f>
        <v>517</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0.4</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734</v>
      </c>
      <c r="C31" s="203">
        <f ca="1">TblPop[[#This Row],[Military%]]</f>
        <v>0.30801510700797313</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6455</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984</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984</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534</v>
      </c>
      <c r="AA31" s="200"/>
      <c r="AB31" s="234">
        <f ca="1">(TblConstr[[#This Row],[Tot Smi]]+TblConstr[[#This Row],[Dest Smi]])/(TblConstr[[#This Row],[Land]]-TblExplore[[#This Row],[Land Bonus]]*20)</f>
        <v>0</v>
      </c>
      <c r="AC31" s="178"/>
      <c r="AD31" s="318">
        <f>TblMili[[#This Row],[Hour]]</f>
        <v>28</v>
      </c>
      <c r="AE31" s="179">
        <f ca="1">TblExplore[[#This Row],[Time]]</f>
        <v>44344.124999999935</v>
      </c>
      <c r="AF31" s="232"/>
      <c r="AG31" s="232"/>
      <c r="AH31" s="232"/>
      <c r="AI31" s="232"/>
      <c r="AJ31" s="232"/>
      <c r="AK31" s="232"/>
      <c r="AL31" s="232"/>
      <c r="AM31" s="184"/>
      <c r="AN31" s="113">
        <f ca="1">TblProd[[#This Row],[Platinum]]</f>
        <v>247361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44344.124999999935</v>
      </c>
      <c r="AT31" s="113">
        <f ca="1">TblMili[[#This Row],[Draftees]]</f>
        <v>534</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0.4</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750</v>
      </c>
      <c r="C32" s="203">
        <f ca="1">TblPop[[#This Row],[Military%]]</f>
        <v>0.31472933277381454</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6455</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1000</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1000</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550</v>
      </c>
      <c r="AA32" s="200"/>
      <c r="AB32" s="234">
        <f ca="1">(TblConstr[[#This Row],[Tot Smi]]+TblConstr[[#This Row],[Dest Smi]])/(TblConstr[[#This Row],[Land]]-TblExplore[[#This Row],[Land Bonus]]*20)</f>
        <v>0</v>
      </c>
      <c r="AC32" s="178"/>
      <c r="AD32" s="318">
        <f>TblMili[[#This Row],[Hour]]</f>
        <v>29</v>
      </c>
      <c r="AE32" s="179">
        <f ca="1">TblExplore[[#This Row],[Time]]</f>
        <v>44344.166666666599</v>
      </c>
      <c r="AF32" s="232"/>
      <c r="AG32" s="232"/>
      <c r="AH32" s="232"/>
      <c r="AI32" s="232"/>
      <c r="AJ32" s="232"/>
      <c r="AK32" s="232"/>
      <c r="AL32" s="232"/>
      <c r="AM32" s="184"/>
      <c r="AN32" s="113">
        <f ca="1">TblProd[[#This Row],[Platinum]]</f>
        <v>253031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44344.166666666599</v>
      </c>
      <c r="AT32" s="113">
        <f ca="1">TblMili[[#This Row],[Draftees]]</f>
        <v>550</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0.4</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766</v>
      </c>
      <c r="C33" s="203">
        <f ca="1">TblPop[[#This Row],[Military%]]</f>
        <v>0.32144355853965589</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6455</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1016</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1016</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566</v>
      </c>
      <c r="AA33" s="200"/>
      <c r="AB33" s="234">
        <f ca="1">(TblConstr[[#This Row],[Tot Smi]]+TblConstr[[#This Row],[Dest Smi]])/(TblConstr[[#This Row],[Land]]-TblExplore[[#This Row],[Land Bonus]]*20)</f>
        <v>0</v>
      </c>
      <c r="AC33" s="178"/>
      <c r="AD33" s="318">
        <f>TblMili[[#This Row],[Hour]]</f>
        <v>30</v>
      </c>
      <c r="AE33" s="179">
        <f ca="1">TblExplore[[#This Row],[Time]]</f>
        <v>44344.208333333263</v>
      </c>
      <c r="AF33" s="232"/>
      <c r="AG33" s="232"/>
      <c r="AH33" s="232"/>
      <c r="AI33" s="232"/>
      <c r="AJ33" s="232"/>
      <c r="AK33" s="232"/>
      <c r="AL33" s="232"/>
      <c r="AM33" s="184"/>
      <c r="AN33" s="113">
        <f ca="1">TblProd[[#This Row],[Platinum]]</f>
        <v>258701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44344.208333333263</v>
      </c>
      <c r="AT33" s="113">
        <f ca="1">TblMili[[#This Row],[Draftees]]</f>
        <v>566</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0.4</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782</v>
      </c>
      <c r="C34" s="203">
        <f ca="1">TblPop[[#This Row],[Military%]]</f>
        <v>0.32815778430549725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6455</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1032</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1032</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582</v>
      </c>
      <c r="AA34" s="200"/>
      <c r="AB34" s="234">
        <f ca="1">(TblConstr[[#This Row],[Tot Smi]]+TblConstr[[#This Row],[Dest Smi]])/(TblConstr[[#This Row],[Land]]-TblExplore[[#This Row],[Land Bonus]]*20)</f>
        <v>0</v>
      </c>
      <c r="AC34" s="178"/>
      <c r="AD34" s="318">
        <f>TblMili[[#This Row],[Hour]]</f>
        <v>31</v>
      </c>
      <c r="AE34" s="179">
        <f ca="1">TblExplore[[#This Row],[Time]]</f>
        <v>44344.249999999927</v>
      </c>
      <c r="AF34" s="232"/>
      <c r="AG34" s="232"/>
      <c r="AH34" s="232"/>
      <c r="AI34" s="232"/>
      <c r="AJ34" s="232"/>
      <c r="AK34" s="232"/>
      <c r="AL34" s="232"/>
      <c r="AM34" s="184"/>
      <c r="AN34" s="113">
        <f ca="1">TblProd[[#This Row],[Platinum]]</f>
        <v>264371</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44344.249999999927</v>
      </c>
      <c r="AT34" s="113">
        <f ca="1">TblMili[[#This Row],[Draftees]]</f>
        <v>582</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0.4</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798</v>
      </c>
      <c r="C35" s="203">
        <f ca="1">TblPop[[#This Row],[Military%]]</f>
        <v>0.33487201007133865</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6455</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1048</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1048</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598</v>
      </c>
      <c r="AA35" s="200"/>
      <c r="AB35" s="234">
        <f ca="1">(TblConstr[[#This Row],[Tot Smi]]+TblConstr[[#This Row],[Dest Smi]])/(TblConstr[[#This Row],[Land]]-TblExplore[[#This Row],[Land Bonus]]*20)</f>
        <v>0</v>
      </c>
      <c r="AC35" s="178"/>
      <c r="AD35" s="318">
        <f>TblMili[[#This Row],[Hour]]</f>
        <v>32</v>
      </c>
      <c r="AE35" s="179">
        <f ca="1">TblExplore[[#This Row],[Time]]</f>
        <v>44344.291666666591</v>
      </c>
      <c r="AF35" s="232"/>
      <c r="AG35" s="232"/>
      <c r="AH35" s="232"/>
      <c r="AI35" s="232"/>
      <c r="AJ35" s="232"/>
      <c r="AK35" s="232"/>
      <c r="AL35" s="232"/>
      <c r="AM35" s="184"/>
      <c r="AN35" s="113">
        <f ca="1">TblProd[[#This Row],[Platinum]]</f>
        <v>270041</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44344.291666666591</v>
      </c>
      <c r="AT35" s="113">
        <f ca="1">TblMili[[#This Row],[Draftees]]</f>
        <v>598</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0.4</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814</v>
      </c>
      <c r="C36" s="203">
        <f ca="1">TblPop[[#This Row],[Military%]]</f>
        <v>0.34158623583718001</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6455</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1064</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1064</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614</v>
      </c>
      <c r="AA36" s="200"/>
      <c r="AB36" s="234">
        <f ca="1">(TblConstr[[#This Row],[Tot Smi]]+TblConstr[[#This Row],[Dest Smi]])/(TblConstr[[#This Row],[Land]]-TblExplore[[#This Row],[Land Bonus]]*20)</f>
        <v>0</v>
      </c>
      <c r="AC36" s="178"/>
      <c r="AD36" s="318">
        <f>TblMili[[#This Row],[Hour]]</f>
        <v>33</v>
      </c>
      <c r="AE36" s="179">
        <f ca="1">TblExplore[[#This Row],[Time]]</f>
        <v>44344.333333333256</v>
      </c>
      <c r="AF36" s="232"/>
      <c r="AG36" s="232"/>
      <c r="AH36" s="232"/>
      <c r="AI36" s="232"/>
      <c r="AJ36" s="232"/>
      <c r="AK36" s="232"/>
      <c r="AL36" s="232"/>
      <c r="AM36" s="184"/>
      <c r="AN36" s="113">
        <f ca="1">TblProd[[#This Row],[Platinum]]</f>
        <v>275670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44344.333333333256</v>
      </c>
      <c r="AT36" s="113">
        <f ca="1">TblMili[[#This Row],[Draftees]]</f>
        <v>614</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0.4</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830</v>
      </c>
      <c r="C37" s="203">
        <f ca="1">TblPop[[#This Row],[Military%]]</f>
        <v>0.34830046160302142</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6455</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1080</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1080</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630</v>
      </c>
      <c r="AA37" s="200"/>
      <c r="AB37" s="234">
        <f ca="1">(TblConstr[[#This Row],[Tot Smi]]+TblConstr[[#This Row],[Dest Smi]])/(TblConstr[[#This Row],[Land]]-TblExplore[[#This Row],[Land Bonus]]*20)</f>
        <v>0</v>
      </c>
      <c r="AC37" s="178"/>
      <c r="AD37" s="318">
        <f>TblMili[[#This Row],[Hour]]</f>
        <v>34</v>
      </c>
      <c r="AE37" s="179">
        <f ca="1">TblExplore[[#This Row],[Time]]</f>
        <v>44344.37499999992</v>
      </c>
      <c r="AF37" s="232"/>
      <c r="AG37" s="232"/>
      <c r="AH37" s="232"/>
      <c r="AI37" s="232"/>
      <c r="AJ37" s="232"/>
      <c r="AK37" s="232"/>
      <c r="AL37" s="232"/>
      <c r="AM37" s="184"/>
      <c r="AN37" s="113">
        <f ca="1">TblProd[[#This Row],[Platinum]]</f>
        <v>281256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44344.37499999992</v>
      </c>
      <c r="AT37" s="113">
        <f ca="1">TblMili[[#This Row],[Draftees]]</f>
        <v>630</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0.4</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846</v>
      </c>
      <c r="C38" s="203">
        <f ca="1">TblPop[[#This Row],[Military%]]</f>
        <v>0.35501468736886277</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6455</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1096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1096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646</v>
      </c>
      <c r="AA38" s="200"/>
      <c r="AB38" s="234">
        <f ca="1">(TblConstr[[#This Row],[Tot Smi]]+TblConstr[[#This Row],[Dest Smi]])/(TblConstr[[#This Row],[Land]]-TblExplore[[#This Row],[Land Bonus]]*20)</f>
        <v>0</v>
      </c>
      <c r="AC38" s="178"/>
      <c r="AD38" s="318">
        <f>TblMili[[#This Row],[Hour]]</f>
        <v>35</v>
      </c>
      <c r="AE38" s="179">
        <f ca="1">TblExplore[[#This Row],[Time]]</f>
        <v>44344.416666666584</v>
      </c>
      <c r="AF38" s="232"/>
      <c r="AG38" s="232"/>
      <c r="AH38" s="232"/>
      <c r="AI38" s="232"/>
      <c r="AJ38" s="232"/>
      <c r="AK38" s="232"/>
      <c r="AL38" s="232"/>
      <c r="AM38" s="184"/>
      <c r="AN38" s="113">
        <f ca="1">TblProd[[#This Row],[Platinum]]</f>
        <v>286799</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44344.416666666584</v>
      </c>
      <c r="AT38" s="113">
        <f ca="1">TblMili[[#This Row],[Draftees]]</f>
        <v>646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0.4</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846</v>
      </c>
      <c r="C39" s="203">
        <f ca="1">TblPop[[#This Row],[Military%]]</f>
        <v>0.35501468736886277</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6455</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1096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1096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646</v>
      </c>
      <c r="AA39" s="200"/>
      <c r="AB39" s="234">
        <f ca="1">(TblConstr[[#This Row],[Tot Smi]]+TblConstr[[#This Row],[Dest Smi]])/(TblConstr[[#This Row],[Land]]-TblExplore[[#This Row],[Land Bonus]]*20)</f>
        <v>0</v>
      </c>
      <c r="AC39" s="178"/>
      <c r="AD39" s="318">
        <f>TblMili[[#This Row],[Hour]]</f>
        <v>36</v>
      </c>
      <c r="AE39" s="179">
        <f ca="1">TblExplore[[#This Row],[Time]]</f>
        <v>44344.458333333248</v>
      </c>
      <c r="AF39" s="232"/>
      <c r="AG39" s="232"/>
      <c r="AH39" s="232"/>
      <c r="AI39" s="232"/>
      <c r="AJ39" s="232"/>
      <c r="AK39" s="232"/>
      <c r="AL39" s="232"/>
      <c r="AM39" s="184"/>
      <c r="AN39" s="113">
        <f ca="1">TblProd[[#This Row],[Platinum]]</f>
        <v>292298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44344.458333333248</v>
      </c>
      <c r="AT39" s="113">
        <f ca="1">TblMili[[#This Row],[Draftees]]</f>
        <v>646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0.4</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846</v>
      </c>
      <c r="C40" s="203">
        <f ca="1">TblPop[[#This Row],[Military%]]</f>
        <v>0.35501468736886277</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6455</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1096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1096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646</v>
      </c>
      <c r="AA40" s="200"/>
      <c r="AB40" s="234">
        <f ca="1">(TblConstr[[#This Row],[Tot Smi]]+TblConstr[[#This Row],[Dest Smi]])/(TblConstr[[#This Row],[Land]]-TblExplore[[#This Row],[Land Bonus]]*20)</f>
        <v>0</v>
      </c>
      <c r="AC40" s="178"/>
      <c r="AD40" s="318">
        <f>TblMili[[#This Row],[Hour]]</f>
        <v>37</v>
      </c>
      <c r="AE40" s="179">
        <f ca="1">TblExplore[[#This Row],[Time]]</f>
        <v>44344.499999999913</v>
      </c>
      <c r="AF40" s="232"/>
      <c r="AG40" s="232"/>
      <c r="AH40" s="232"/>
      <c r="AI40" s="232"/>
      <c r="AJ40" s="232"/>
      <c r="AK40" s="232"/>
      <c r="AL40" s="232"/>
      <c r="AM40" s="184"/>
      <c r="AN40" s="113">
        <f ca="1">TblProd[[#This Row],[Platinum]]</f>
        <v>297797</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44344.499999999913</v>
      </c>
      <c r="AT40" s="113">
        <f ca="1">TblMili[[#This Row],[Draftees]]</f>
        <v>646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0.4</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846</v>
      </c>
      <c r="C41" s="203">
        <f ca="1">TblPop[[#This Row],[Military%]]</f>
        <v>0.35501468736886277</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6455</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1096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1096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646</v>
      </c>
      <c r="AA41" s="200"/>
      <c r="AB41" s="234">
        <f ca="1">(TblConstr[[#This Row],[Tot Smi]]+TblConstr[[#This Row],[Dest Smi]])/(TblConstr[[#This Row],[Land]]-TblExplore[[#This Row],[Land Bonus]]*20)</f>
        <v>0</v>
      </c>
      <c r="AC41" s="178"/>
      <c r="AD41" s="318">
        <f>TblMili[[#This Row],[Hour]]</f>
        <v>38</v>
      </c>
      <c r="AE41" s="179">
        <f ca="1">TblExplore[[#This Row],[Time]]</f>
        <v>44344.541666666577</v>
      </c>
      <c r="AF41" s="232"/>
      <c r="AG41" s="232"/>
      <c r="AH41" s="232"/>
      <c r="AI41" s="232"/>
      <c r="AJ41" s="232"/>
      <c r="AK41" s="232"/>
      <c r="AL41" s="232"/>
      <c r="AM41" s="184"/>
      <c r="AN41" s="113">
        <f ca="1">TblProd[[#This Row],[Platinum]]</f>
        <v>303296</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44344.541666666577</v>
      </c>
      <c r="AT41" s="113">
        <f ca="1">TblMili[[#This Row],[Draftees]]</f>
        <v>646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0.4</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846</v>
      </c>
      <c r="C42" s="203">
        <f ca="1">TblPop[[#This Row],[Military%]]</f>
        <v>0.35501468736886277</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6455</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1096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1096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646</v>
      </c>
      <c r="AA42" s="200"/>
      <c r="AB42" s="234">
        <f ca="1">(TblConstr[[#This Row],[Tot Smi]]+TblConstr[[#This Row],[Dest Smi]])/(TblConstr[[#This Row],[Land]]-TblExplore[[#This Row],[Land Bonus]]*20)</f>
        <v>0</v>
      </c>
      <c r="AC42" s="178"/>
      <c r="AD42" s="318">
        <f>TblMili[[#This Row],[Hour]]</f>
        <v>39</v>
      </c>
      <c r="AE42" s="179">
        <f ca="1">TblExplore[[#This Row],[Time]]</f>
        <v>44344.583333333241</v>
      </c>
      <c r="AF42" s="232"/>
      <c r="AG42" s="232"/>
      <c r="AH42" s="232"/>
      <c r="AI42" s="232"/>
      <c r="AJ42" s="232"/>
      <c r="AK42" s="232"/>
      <c r="AL42" s="232"/>
      <c r="AM42" s="184"/>
      <c r="AN42" s="113">
        <f ca="1">TblProd[[#This Row],[Platinum]]</f>
        <v>308795</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44344.583333333241</v>
      </c>
      <c r="AT42" s="113">
        <f ca="1">TblMili[[#This Row],[Draftees]]</f>
        <v>646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0.4</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846</v>
      </c>
      <c r="C43" s="203">
        <f ca="1">TblPop[[#This Row],[Military%]]</f>
        <v>0.35501468736886277</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6455</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1096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1096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646</v>
      </c>
      <c r="AA43" s="200"/>
      <c r="AB43" s="234">
        <f ca="1">(TblConstr[[#This Row],[Tot Smi]]+TblConstr[[#This Row],[Dest Smi]])/(TblConstr[[#This Row],[Land]]-TblExplore[[#This Row],[Land Bonus]]*20)</f>
        <v>0</v>
      </c>
      <c r="AC43" s="178"/>
      <c r="AD43" s="318">
        <f>TblMili[[#This Row],[Hour]]</f>
        <v>40</v>
      </c>
      <c r="AE43" s="179">
        <f ca="1">TblExplore[[#This Row],[Time]]</f>
        <v>44344.624999999905</v>
      </c>
      <c r="AF43" s="232"/>
      <c r="AG43" s="232"/>
      <c r="AH43" s="232"/>
      <c r="AI43" s="232"/>
      <c r="AJ43" s="232"/>
      <c r="AK43" s="232"/>
      <c r="AL43" s="232"/>
      <c r="AM43" s="184"/>
      <c r="AN43" s="113">
        <f ca="1">TblProd[[#This Row],[Platinum]]</f>
        <v>314294</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44344.624999999905</v>
      </c>
      <c r="AT43" s="113">
        <f ca="1">TblMili[[#This Row],[Draftees]]</f>
        <v>646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0.4</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846</v>
      </c>
      <c r="C44" s="203">
        <f ca="1">TblPop[[#This Row],[Military%]]</f>
        <v>0.35501468736886277</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6455</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1096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1096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646</v>
      </c>
      <c r="AA44" s="200"/>
      <c r="AB44" s="234">
        <f ca="1">(TblConstr[[#This Row],[Tot Smi]]+TblConstr[[#This Row],[Dest Smi]])/(TblConstr[[#This Row],[Land]]-TblExplore[[#This Row],[Land Bonus]]*20)</f>
        <v>0</v>
      </c>
      <c r="AC44" s="178"/>
      <c r="AD44" s="318">
        <f>TblMili[[#This Row],[Hour]]</f>
        <v>41</v>
      </c>
      <c r="AE44" s="179">
        <f ca="1">TblExplore[[#This Row],[Time]]</f>
        <v>44344.66666666657</v>
      </c>
      <c r="AF44" s="232"/>
      <c r="AG44" s="232"/>
      <c r="AH44" s="232"/>
      <c r="AI44" s="232"/>
      <c r="AJ44" s="232"/>
      <c r="AK44" s="232"/>
      <c r="AL44" s="232"/>
      <c r="AM44" s="184"/>
      <c r="AN44" s="113">
        <f ca="1">TblProd[[#This Row],[Platinum]]</f>
        <v>319793</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44344.66666666657</v>
      </c>
      <c r="AT44" s="113">
        <f ca="1">TblMili[[#This Row],[Draftees]]</f>
        <v>646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0.4</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846</v>
      </c>
      <c r="C45" s="203">
        <f ca="1">TblPop[[#This Row],[Military%]]</f>
        <v>0.35501468736886277</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6455</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1096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1096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646</v>
      </c>
      <c r="AA45" s="200"/>
      <c r="AB45" s="234">
        <f ca="1">(TblConstr[[#This Row],[Tot Smi]]+TblConstr[[#This Row],[Dest Smi]])/(TblConstr[[#This Row],[Land]]-TblExplore[[#This Row],[Land Bonus]]*20)</f>
        <v>0</v>
      </c>
      <c r="AC45" s="178"/>
      <c r="AD45" s="318">
        <f>TblMili[[#This Row],[Hour]]</f>
        <v>42</v>
      </c>
      <c r="AE45" s="179">
        <f ca="1">TblExplore[[#This Row],[Time]]</f>
        <v>44344.708333333234</v>
      </c>
      <c r="AF45" s="232"/>
      <c r="AG45" s="232"/>
      <c r="AH45" s="232"/>
      <c r="AI45" s="232"/>
      <c r="AJ45" s="232"/>
      <c r="AK45" s="232"/>
      <c r="AL45" s="232"/>
      <c r="AM45" s="184"/>
      <c r="AN45" s="113">
        <f ca="1">TblProd[[#This Row],[Platinum]]</f>
        <v>325292</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44344.708333333234</v>
      </c>
      <c r="AT45" s="113">
        <f ca="1">TblMili[[#This Row],[Draftees]]</f>
        <v>646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0.4</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846</v>
      </c>
      <c r="C46" s="203">
        <f ca="1">TblPop[[#This Row],[Military%]]</f>
        <v>0.35501468736886277</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6455</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1096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1096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646</v>
      </c>
      <c r="AA46" s="200"/>
      <c r="AB46" s="234">
        <f ca="1">(TblConstr[[#This Row],[Tot Smi]]+TblConstr[[#This Row],[Dest Smi]])/(TblConstr[[#This Row],[Land]]-TblExplore[[#This Row],[Land Bonus]]*20)</f>
        <v>0</v>
      </c>
      <c r="AC46" s="178"/>
      <c r="AD46" s="318">
        <f>TblMili[[#This Row],[Hour]]</f>
        <v>43</v>
      </c>
      <c r="AE46" s="179">
        <f ca="1">TblExplore[[#This Row],[Time]]</f>
        <v>44344.749999999898</v>
      </c>
      <c r="AF46" s="232"/>
      <c r="AG46" s="232"/>
      <c r="AH46" s="232"/>
      <c r="AI46" s="232"/>
      <c r="AJ46" s="232"/>
      <c r="AK46" s="232"/>
      <c r="AL46" s="232"/>
      <c r="AM46" s="184"/>
      <c r="AN46" s="113">
        <f ca="1">TblProd[[#This Row],[Platinum]]</f>
        <v>330791</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44344.749999999898</v>
      </c>
      <c r="AT46" s="113">
        <f ca="1">TblMili[[#This Row],[Draftees]]</f>
        <v>646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0.4</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846</v>
      </c>
      <c r="C47" s="203">
        <f ca="1">TblPop[[#This Row],[Military%]]</f>
        <v>0.35501468736886277</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6455</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1096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1096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646</v>
      </c>
      <c r="AA47" s="200"/>
      <c r="AB47" s="234">
        <f ca="1">(TblConstr[[#This Row],[Tot Smi]]+TblConstr[[#This Row],[Dest Smi]])/(TblConstr[[#This Row],[Land]]-TblExplore[[#This Row],[Land Bonus]]*20)</f>
        <v>0</v>
      </c>
      <c r="AC47" s="178"/>
      <c r="AD47" s="318">
        <f>TblMili[[#This Row],[Hour]]</f>
        <v>44</v>
      </c>
      <c r="AE47" s="179">
        <f ca="1">TblExplore[[#This Row],[Time]]</f>
        <v>44344.791666666562</v>
      </c>
      <c r="AF47" s="232"/>
      <c r="AG47" s="232"/>
      <c r="AH47" s="232"/>
      <c r="AI47" s="232"/>
      <c r="AJ47" s="232"/>
      <c r="AK47" s="232"/>
      <c r="AL47" s="232"/>
      <c r="AM47" s="184"/>
      <c r="AN47" s="113">
        <f ca="1">TblProd[[#This Row],[Platinum]]</f>
        <v>336290</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44344.791666666562</v>
      </c>
      <c r="AT47" s="113">
        <f ca="1">TblMili[[#This Row],[Draftees]]</f>
        <v>646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0.4</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846</v>
      </c>
      <c r="C48" s="203">
        <f ca="1">TblPop[[#This Row],[Military%]]</f>
        <v>0.35501468736886277</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6455</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1096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1096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646</v>
      </c>
      <c r="AA48" s="200"/>
      <c r="AB48" s="234">
        <f ca="1">(TblConstr[[#This Row],[Tot Smi]]+TblConstr[[#This Row],[Dest Smi]])/(TblConstr[[#This Row],[Land]]-TblExplore[[#This Row],[Land Bonus]]*20)</f>
        <v>0</v>
      </c>
      <c r="AC48" s="178"/>
      <c r="AD48" s="318">
        <f>TblMili[[#This Row],[Hour]]</f>
        <v>45</v>
      </c>
      <c r="AE48" s="179">
        <f ca="1">TblExplore[[#This Row],[Time]]</f>
        <v>44344.833333333227</v>
      </c>
      <c r="AF48" s="232"/>
      <c r="AG48" s="232"/>
      <c r="AH48" s="232"/>
      <c r="AI48" s="232"/>
      <c r="AJ48" s="232"/>
      <c r="AK48" s="232"/>
      <c r="AL48" s="232"/>
      <c r="AM48" s="184"/>
      <c r="AN48" s="113">
        <f ca="1">TblProd[[#This Row],[Platinum]]</f>
        <v>341789</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44344.833333333227</v>
      </c>
      <c r="AT48" s="113">
        <f ca="1">TblMili[[#This Row],[Draftees]]</f>
        <v>646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0.4</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846</v>
      </c>
      <c r="C49" s="203">
        <f ca="1">TblPop[[#This Row],[Military%]]</f>
        <v>0.35501468736886277</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6455</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1096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1096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646</v>
      </c>
      <c r="AA49" s="200"/>
      <c r="AB49" s="234">
        <f ca="1">(TblConstr[[#This Row],[Tot Smi]]+TblConstr[[#This Row],[Dest Smi]])/(TblConstr[[#This Row],[Land]]-TblExplore[[#This Row],[Land Bonus]]*20)</f>
        <v>0</v>
      </c>
      <c r="AC49" s="178"/>
      <c r="AD49" s="318">
        <f>TblMili[[#This Row],[Hour]]</f>
        <v>46</v>
      </c>
      <c r="AE49" s="179">
        <f ca="1">TblExplore[[#This Row],[Time]]</f>
        <v>44344.874999999891</v>
      </c>
      <c r="AF49" s="232"/>
      <c r="AG49" s="232"/>
      <c r="AH49" s="232"/>
      <c r="AI49" s="232"/>
      <c r="AJ49" s="232"/>
      <c r="AK49" s="232"/>
      <c r="AL49" s="232"/>
      <c r="AM49" s="184"/>
      <c r="AN49" s="113">
        <f ca="1">TblProd[[#This Row],[Platinum]]</f>
        <v>347288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44344.874999999891</v>
      </c>
      <c r="AT49" s="113">
        <f ca="1">TblMili[[#This Row],[Draftees]]</f>
        <v>646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0.4</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846</v>
      </c>
      <c r="C50" s="203">
        <f ca="1">TblPop[[#This Row],[Military%]]</f>
        <v>0.35501468736886277</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6455</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1096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1096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646</v>
      </c>
      <c r="AA50" s="200"/>
      <c r="AB50" s="234">
        <f ca="1">(TblConstr[[#This Row],[Tot Smi]]+TblConstr[[#This Row],[Dest Smi]])/(TblConstr[[#This Row],[Land]]-TblExplore[[#This Row],[Land Bonus]]*20)</f>
        <v>0</v>
      </c>
      <c r="AC50" s="178"/>
      <c r="AD50" s="318">
        <f>TblMili[[#This Row],[Hour]]</f>
        <v>47</v>
      </c>
      <c r="AE50" s="179">
        <f ca="1">TblExplore[[#This Row],[Time]]</f>
        <v>44344.916666666555</v>
      </c>
      <c r="AF50" s="232"/>
      <c r="AG50" s="232"/>
      <c r="AH50" s="232"/>
      <c r="AI50" s="232"/>
      <c r="AJ50" s="232"/>
      <c r="AK50" s="232"/>
      <c r="AL50" s="232"/>
      <c r="AM50" s="184"/>
      <c r="AN50" s="113">
        <f ca="1">TblProd[[#This Row],[Platinum]]</f>
        <v>352787</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44344.916666666555</v>
      </c>
      <c r="AT50" s="113">
        <f ca="1">TblMili[[#This Row],[Draftees]]</f>
        <v>646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0.4</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846</v>
      </c>
      <c r="C51" s="203">
        <f ca="1">TblPop[[#This Row],[Military%]]</f>
        <v>0.35501468736886277</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6455</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1096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1096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646</v>
      </c>
      <c r="AA51" s="200"/>
      <c r="AB51" s="234">
        <f ca="1">(TblConstr[[#This Row],[Tot Smi]]+TblConstr[[#This Row],[Dest Smi]])/(TblConstr[[#This Row],[Land]]-TblExplore[[#This Row],[Land Bonus]]*20)</f>
        <v>0</v>
      </c>
      <c r="AC51" s="178"/>
      <c r="AD51" s="318">
        <f>TblMili[[#This Row],[Hour]]</f>
        <v>48</v>
      </c>
      <c r="AE51" s="179">
        <f ca="1">TblExplore[[#This Row],[Time]]</f>
        <v>44344.958333333219</v>
      </c>
      <c r="AF51" s="232"/>
      <c r="AG51" s="232"/>
      <c r="AH51" s="232"/>
      <c r="AI51" s="232"/>
      <c r="AJ51" s="232"/>
      <c r="AK51" s="232"/>
      <c r="AL51" s="232"/>
      <c r="AM51" s="184"/>
      <c r="AN51" s="113">
        <f ca="1">TblProd[[#This Row],[Platinum]]</f>
        <v>358286</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44344.958333333219</v>
      </c>
      <c r="AT51" s="113">
        <f ca="1">TblMili[[#This Row],[Draftees]]</f>
        <v>646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0.4</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846</v>
      </c>
      <c r="C52" s="203">
        <f ca="1">TblPop[[#This Row],[Military%]]</f>
        <v>0.35501468736886277</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6455</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1096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1096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646</v>
      </c>
      <c r="AA52" s="200"/>
      <c r="AB52" s="234">
        <f ca="1">(TblConstr[[#This Row],[Tot Smi]]+TblConstr[[#This Row],[Dest Smi]])/(TblConstr[[#This Row],[Land]]-TblExplore[[#This Row],[Land Bonus]]*20)</f>
        <v>0</v>
      </c>
      <c r="AC52" s="328"/>
      <c r="AD52" s="329">
        <f>TblMili[[#This Row],[Hour]]</f>
        <v>49</v>
      </c>
      <c r="AE52" s="179">
        <f ca="1">TblExplore[[#This Row],[Time]]</f>
        <v>44344.999999999884</v>
      </c>
      <c r="AF52" s="232"/>
      <c r="AG52" s="232"/>
      <c r="AH52" s="232"/>
      <c r="AI52" s="232"/>
      <c r="AJ52" s="232"/>
      <c r="AK52" s="232"/>
      <c r="AL52" s="232"/>
      <c r="AM52" s="184"/>
      <c r="AN52" s="113">
        <f ca="1">TblProd[[#This Row],[Platinum]]</f>
        <v>363785</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44344.999999999884</v>
      </c>
      <c r="AT52" s="113">
        <f ca="1">TblMili[[#This Row],[Draftees]]</f>
        <v>646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0.4</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846</v>
      </c>
      <c r="C53" s="203">
        <f ca="1">TblPop[[#This Row],[Military%]]</f>
        <v>0.35501468736886277</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6455</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1096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1096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646</v>
      </c>
      <c r="AA53" s="200"/>
      <c r="AB53" s="234">
        <f ca="1">(TblConstr[[#This Row],[Tot Smi]]+TblConstr[[#This Row],[Dest Smi]])/(TblConstr[[#This Row],[Land]]-TblExplore[[#This Row],[Land Bonus]]*20)</f>
        <v>0</v>
      </c>
      <c r="AC53" s="178"/>
      <c r="AD53" s="318">
        <f>TblMili[[#This Row],[Hour]]</f>
        <v>50</v>
      </c>
      <c r="AE53" s="179">
        <f ca="1">TblExplore[[#This Row],[Time]]</f>
        <v>44345.041666666548</v>
      </c>
      <c r="AF53" s="204"/>
      <c r="AG53" s="232"/>
      <c r="AH53" s="204"/>
      <c r="AI53" s="232"/>
      <c r="AJ53" s="232"/>
      <c r="AK53" s="232"/>
      <c r="AL53" s="232"/>
      <c r="AM53" s="184"/>
      <c r="AN53" s="113">
        <f ca="1">TblProd[[#This Row],[Platinum]]</f>
        <v>369284</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44345.041666666548</v>
      </c>
      <c r="AT53" s="113">
        <f ca="1">TblMili[[#This Row],[Draftees]]</f>
        <v>646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0.4</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846</v>
      </c>
      <c r="C54" s="203">
        <f ca="1">TblPop[[#This Row],[Military%]]</f>
        <v>0.35501468736886277</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6455</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1096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1096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646</v>
      </c>
      <c r="AA54" s="200"/>
      <c r="AB54" s="234">
        <f ca="1">(TblConstr[[#This Row],[Tot Smi]]+TblConstr[[#This Row],[Dest Smi]])/(TblConstr[[#This Row],[Land]]-TblExplore[[#This Row],[Land Bonus]]*20)</f>
        <v>0</v>
      </c>
      <c r="AC54" s="178"/>
      <c r="AD54" s="318">
        <f>TblMili[[#This Row],[Hour]]</f>
        <v>51</v>
      </c>
      <c r="AE54" s="179">
        <f ca="1">TblExplore[[#This Row],[Time]]</f>
        <v>44345.083333333212</v>
      </c>
      <c r="AF54" s="232"/>
      <c r="AG54" s="232"/>
      <c r="AH54" s="232"/>
      <c r="AI54" s="232"/>
      <c r="AJ54" s="232"/>
      <c r="AK54" s="232"/>
      <c r="AL54" s="232"/>
      <c r="AM54" s="184"/>
      <c r="AN54" s="113">
        <f ca="1">TblProd[[#This Row],[Platinum]]</f>
        <v>374783</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44345.083333333212</v>
      </c>
      <c r="AT54" s="113">
        <f ca="1">TblMili[[#This Row],[Draftees]]</f>
        <v>646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0.4</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846</v>
      </c>
      <c r="C55" s="203">
        <f ca="1">TblPop[[#This Row],[Military%]]</f>
        <v>0.35501468736886277</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6455</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1096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1096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646</v>
      </c>
      <c r="AA55" s="200"/>
      <c r="AB55" s="234">
        <f ca="1">(TblConstr[[#This Row],[Tot Smi]]+TblConstr[[#This Row],[Dest Smi]])/(TblConstr[[#This Row],[Land]]-TblExplore[[#This Row],[Land Bonus]]*20)</f>
        <v>0</v>
      </c>
      <c r="AC55" s="178"/>
      <c r="AD55" s="318">
        <f>TblMili[[#This Row],[Hour]]</f>
        <v>52</v>
      </c>
      <c r="AE55" s="179">
        <f ca="1">TblExplore[[#This Row],[Time]]</f>
        <v>44345.124999999876</v>
      </c>
      <c r="AF55" s="232"/>
      <c r="AG55" s="232"/>
      <c r="AH55" s="232"/>
      <c r="AI55" s="232"/>
      <c r="AJ55" s="232"/>
      <c r="AK55" s="232"/>
      <c r="AL55" s="232"/>
      <c r="AM55" s="184"/>
      <c r="AN55" s="113">
        <f ca="1">TblProd[[#This Row],[Platinum]]</f>
        <v>380282</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44345.124999999876</v>
      </c>
      <c r="AT55" s="113">
        <f ca="1">TblMili[[#This Row],[Draftees]]</f>
        <v>646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0.4</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846</v>
      </c>
      <c r="C56" s="203">
        <f ca="1">TblPop[[#This Row],[Military%]]</f>
        <v>0.35501468736886277</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6455</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1096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1096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646</v>
      </c>
      <c r="AA56" s="200"/>
      <c r="AB56" s="234">
        <f ca="1">(TblConstr[[#This Row],[Tot Smi]]+TblConstr[[#This Row],[Dest Smi]])/(TblConstr[[#This Row],[Land]]-TblExplore[[#This Row],[Land Bonus]]*20)</f>
        <v>0</v>
      </c>
      <c r="AC56" s="178"/>
      <c r="AD56" s="318">
        <f>TblMili[[#This Row],[Hour]]</f>
        <v>53</v>
      </c>
      <c r="AE56" s="179">
        <f ca="1">TblExplore[[#This Row],[Time]]</f>
        <v>44345.166666666541</v>
      </c>
      <c r="AF56" s="232"/>
      <c r="AG56" s="232"/>
      <c r="AH56" s="232"/>
      <c r="AI56" s="232"/>
      <c r="AJ56" s="232"/>
      <c r="AK56" s="232"/>
      <c r="AL56" s="232"/>
      <c r="AM56" s="184"/>
      <c r="AN56" s="113">
        <f ca="1">TblProd[[#This Row],[Platinum]]</f>
        <v>385781</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44345.166666666541</v>
      </c>
      <c r="AT56" s="113">
        <f ca="1">TblMili[[#This Row],[Draftees]]</f>
        <v>646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0.4</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846</v>
      </c>
      <c r="C57" s="203">
        <f ca="1">TblPop[[#This Row],[Military%]]</f>
        <v>0.35501468736886277</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6455</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1096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1096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646</v>
      </c>
      <c r="AA57" s="200"/>
      <c r="AB57" s="234">
        <f ca="1">(TblConstr[[#This Row],[Tot Smi]]+TblConstr[[#This Row],[Dest Smi]])/(TblConstr[[#This Row],[Land]]-TblExplore[[#This Row],[Land Bonus]]*20)</f>
        <v>0</v>
      </c>
      <c r="AC57" s="178"/>
      <c r="AD57" s="318">
        <f>TblMili[[#This Row],[Hour]]</f>
        <v>54</v>
      </c>
      <c r="AE57" s="179">
        <f ca="1">TblExplore[[#This Row],[Time]]</f>
        <v>44345.208333333205</v>
      </c>
      <c r="AF57" s="232"/>
      <c r="AG57" s="232"/>
      <c r="AH57" s="232"/>
      <c r="AI57" s="232"/>
      <c r="AJ57" s="232"/>
      <c r="AK57" s="232"/>
      <c r="AL57" s="232"/>
      <c r="AM57" s="184"/>
      <c r="AN57" s="113">
        <f ca="1">TblProd[[#This Row],[Platinum]]</f>
        <v>391280</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44345.208333333205</v>
      </c>
      <c r="AT57" s="113">
        <f ca="1">TblMili[[#This Row],[Draftees]]</f>
        <v>646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0.4</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846</v>
      </c>
      <c r="C58" s="203">
        <f ca="1">TblPop[[#This Row],[Military%]]</f>
        <v>0.35501468736886277</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6455</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1096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1096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646</v>
      </c>
      <c r="AA58" s="200"/>
      <c r="AB58" s="234">
        <f ca="1">(TblConstr[[#This Row],[Tot Smi]]+TblConstr[[#This Row],[Dest Smi]])/(TblConstr[[#This Row],[Land]]-TblExplore[[#This Row],[Land Bonus]]*20)</f>
        <v>0</v>
      </c>
      <c r="AC58" s="178"/>
      <c r="AD58" s="318">
        <f>TblMili[[#This Row],[Hour]]</f>
        <v>55</v>
      </c>
      <c r="AE58" s="179">
        <f ca="1">TblExplore[[#This Row],[Time]]</f>
        <v>44345.249999999869</v>
      </c>
      <c r="AF58" s="232"/>
      <c r="AG58" s="232"/>
      <c r="AH58" s="232"/>
      <c r="AI58" s="232"/>
      <c r="AJ58" s="232"/>
      <c r="AK58" s="232"/>
      <c r="AL58" s="232"/>
      <c r="AM58" s="184"/>
      <c r="AN58" s="113">
        <f ca="1">TblProd[[#This Row],[Platinum]]</f>
        <v>396779</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44345.249999999869</v>
      </c>
      <c r="AT58" s="113">
        <f ca="1">TblMili[[#This Row],[Draftees]]</f>
        <v>646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0.4</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846</v>
      </c>
      <c r="C59" s="203">
        <f ca="1">TblPop[[#This Row],[Military%]]</f>
        <v>0.35501468736886277</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6455</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1096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1096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646</v>
      </c>
      <c r="AA59" s="200"/>
      <c r="AB59" s="234">
        <f ca="1">(TblConstr[[#This Row],[Tot Smi]]+TblConstr[[#This Row],[Dest Smi]])/(TblConstr[[#This Row],[Land]]-TblExplore[[#This Row],[Land Bonus]]*20)</f>
        <v>0</v>
      </c>
      <c r="AC59" s="178"/>
      <c r="AD59" s="318">
        <f>TblMili[[#This Row],[Hour]]</f>
        <v>56</v>
      </c>
      <c r="AE59" s="179">
        <f ca="1">TblExplore[[#This Row],[Time]]</f>
        <v>44345.291666666533</v>
      </c>
      <c r="AF59" s="232"/>
      <c r="AG59" s="232"/>
      <c r="AH59" s="232"/>
      <c r="AI59" s="232"/>
      <c r="AJ59" s="232"/>
      <c r="AK59" s="232"/>
      <c r="AL59" s="232"/>
      <c r="AM59" s="184"/>
      <c r="AN59" s="113">
        <f ca="1">TblProd[[#This Row],[Platinum]]</f>
        <v>402278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44345.291666666533</v>
      </c>
      <c r="AT59" s="113">
        <f ca="1">TblMili[[#This Row],[Draftees]]</f>
        <v>646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0.4</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846</v>
      </c>
      <c r="C60" s="203">
        <f ca="1">TblPop[[#This Row],[Military%]]</f>
        <v>0.35501468736886277</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6455</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1096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1096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646</v>
      </c>
      <c r="AA60" s="200"/>
      <c r="AB60" s="234">
        <f ca="1">(TblConstr[[#This Row],[Tot Smi]]+TblConstr[[#This Row],[Dest Smi]])/(TblConstr[[#This Row],[Land]]-TblExplore[[#This Row],[Land Bonus]]*20)</f>
        <v>0</v>
      </c>
      <c r="AC60" s="178"/>
      <c r="AD60" s="318">
        <f>TblMili[[#This Row],[Hour]]</f>
        <v>57</v>
      </c>
      <c r="AE60" s="179">
        <f ca="1">TblExplore[[#This Row],[Time]]</f>
        <v>44345.333333333198</v>
      </c>
      <c r="AF60" s="232"/>
      <c r="AG60" s="232"/>
      <c r="AH60" s="232"/>
      <c r="AI60" s="232"/>
      <c r="AJ60" s="232"/>
      <c r="AK60" s="232"/>
      <c r="AL60" s="232"/>
      <c r="AM60" s="184"/>
      <c r="AN60" s="113">
        <f ca="1">TblProd[[#This Row],[Platinum]]</f>
        <v>407777</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44345.333333333198</v>
      </c>
      <c r="AT60" s="113">
        <f ca="1">TblMili[[#This Row],[Draftees]]</f>
        <v>646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0.4</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846</v>
      </c>
      <c r="C61" s="203">
        <f ca="1">TblPop[[#This Row],[Military%]]</f>
        <v>0.35501468736886277</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6455</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1096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1096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646</v>
      </c>
      <c r="AA61" s="200"/>
      <c r="AB61" s="234">
        <f ca="1">(TblConstr[[#This Row],[Tot Smi]]+TblConstr[[#This Row],[Dest Smi]])/(TblConstr[[#This Row],[Land]]-TblExplore[[#This Row],[Land Bonus]]*20)</f>
        <v>0</v>
      </c>
      <c r="AC61" s="178"/>
      <c r="AD61" s="318">
        <f>TblMili[[#This Row],[Hour]]</f>
        <v>58</v>
      </c>
      <c r="AE61" s="179">
        <f ca="1">TblExplore[[#This Row],[Time]]</f>
        <v>44345.374999999862</v>
      </c>
      <c r="AF61" s="232"/>
      <c r="AG61" s="232"/>
      <c r="AH61" s="232"/>
      <c r="AI61" s="232"/>
      <c r="AJ61" s="232"/>
      <c r="AK61" s="232"/>
      <c r="AL61" s="232"/>
      <c r="AM61" s="184"/>
      <c r="AN61" s="113">
        <f ca="1">TblProd[[#This Row],[Platinum]]</f>
        <v>413276</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44345.374999999862</v>
      </c>
      <c r="AT61" s="113">
        <f ca="1">TblMili[[#This Row],[Draftees]]</f>
        <v>646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0.4</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846</v>
      </c>
      <c r="C62" s="203">
        <f ca="1">TblPop[[#This Row],[Military%]]</f>
        <v>0.35501468736886277</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6455</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1096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1096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646</v>
      </c>
      <c r="AA62" s="200"/>
      <c r="AB62" s="234">
        <f ca="1">(TblConstr[[#This Row],[Tot Smi]]+TblConstr[[#This Row],[Dest Smi]])/(TblConstr[[#This Row],[Land]]-TblExplore[[#This Row],[Land Bonus]]*20)</f>
        <v>0</v>
      </c>
      <c r="AC62" s="178"/>
      <c r="AD62" s="318">
        <f>TblMili[[#This Row],[Hour]]</f>
        <v>59</v>
      </c>
      <c r="AE62" s="179">
        <f ca="1">TblExplore[[#This Row],[Time]]</f>
        <v>44345.416666666526</v>
      </c>
      <c r="AF62" s="232"/>
      <c r="AG62" s="232"/>
      <c r="AH62" s="232"/>
      <c r="AI62" s="232"/>
      <c r="AJ62" s="232"/>
      <c r="AK62" s="232"/>
      <c r="AL62" s="232"/>
      <c r="AM62" s="184"/>
      <c r="AN62" s="113">
        <f ca="1">TblProd[[#This Row],[Platinum]]</f>
        <v>418775</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44345.416666666526</v>
      </c>
      <c r="AT62" s="113">
        <f ca="1">TblMili[[#This Row],[Draftees]]</f>
        <v>646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0.4</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846</v>
      </c>
      <c r="C63" s="203">
        <f ca="1">TblPop[[#This Row],[Military%]]</f>
        <v>0.35501468736886277</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6455</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1096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1096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646</v>
      </c>
      <c r="AA63" s="200"/>
      <c r="AB63" s="234">
        <f ca="1">(TblConstr[[#This Row],[Tot Smi]]+TblConstr[[#This Row],[Dest Smi]])/(TblConstr[[#This Row],[Land]]-TblExplore[[#This Row],[Land Bonus]]*20)</f>
        <v>0</v>
      </c>
      <c r="AC63" s="178"/>
      <c r="AD63" s="318">
        <f>TblMili[[#This Row],[Hour]]</f>
        <v>60</v>
      </c>
      <c r="AE63" s="179">
        <f ca="1">TblExplore[[#This Row],[Time]]</f>
        <v>44345.45833333319</v>
      </c>
      <c r="AF63" s="232"/>
      <c r="AG63" s="232"/>
      <c r="AH63" s="232"/>
      <c r="AI63" s="232"/>
      <c r="AJ63" s="232"/>
      <c r="AK63" s="232"/>
      <c r="AL63" s="232"/>
      <c r="AM63" s="184"/>
      <c r="AN63" s="113">
        <f ca="1">TblProd[[#This Row],[Platinum]]</f>
        <v>424274</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44345.45833333319</v>
      </c>
      <c r="AT63" s="113">
        <f ca="1">TblMili[[#This Row],[Draftees]]</f>
        <v>646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0.4</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846</v>
      </c>
      <c r="C64" s="203">
        <f ca="1">TblPop[[#This Row],[Military%]]</f>
        <v>0.35501468736886277</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6455</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1096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1096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646</v>
      </c>
      <c r="AA64" s="200"/>
      <c r="AB64" s="234">
        <f ca="1">(TblConstr[[#This Row],[Tot Smi]]+TblConstr[[#This Row],[Dest Smi]])/(TblConstr[[#This Row],[Land]]-TblExplore[[#This Row],[Land Bonus]]*20)</f>
        <v>0</v>
      </c>
      <c r="AC64" s="318"/>
      <c r="AD64" s="318">
        <f>TblMili[[#This Row],[Hour]]</f>
        <v>61</v>
      </c>
      <c r="AE64" s="179">
        <f ca="1">TblExplore[[#This Row],[Time]]</f>
        <v>44345.499999999854</v>
      </c>
      <c r="AF64" s="232"/>
      <c r="AG64" s="204"/>
      <c r="AH64" s="232"/>
      <c r="AI64" s="204"/>
      <c r="AJ64" s="204"/>
      <c r="AK64" s="204"/>
      <c r="AL64" s="232"/>
      <c r="AM64" s="184"/>
      <c r="AN64" s="113">
        <f ca="1">TblProd[[#This Row],[Platinum]]</f>
        <v>429773</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44345.499999999854</v>
      </c>
      <c r="AT64" s="113">
        <f ca="1">TblMili[[#This Row],[Draftees]]</f>
        <v>646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0.4</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846</v>
      </c>
      <c r="C65" s="203">
        <f ca="1">TblPop[[#This Row],[Military%]]</f>
        <v>0.35501468736886277</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6455</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1096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1096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646</v>
      </c>
      <c r="AA65" s="200"/>
      <c r="AB65" s="234">
        <f ca="1">(TblConstr[[#This Row],[Tot Smi]]+TblConstr[[#This Row],[Dest Smi]])/(TblConstr[[#This Row],[Land]]-TblExplore[[#This Row],[Land Bonus]]*20)</f>
        <v>0</v>
      </c>
      <c r="AC65" s="178"/>
      <c r="AD65" s="318">
        <f>TblMili[[#This Row],[Hour]]</f>
        <v>62</v>
      </c>
      <c r="AE65" s="179">
        <f ca="1">TblExplore[[#This Row],[Time]]</f>
        <v>44345.541666666519</v>
      </c>
      <c r="AF65" s="204"/>
      <c r="AG65" s="232"/>
      <c r="AH65" s="232"/>
      <c r="AI65" s="232"/>
      <c r="AJ65" s="232"/>
      <c r="AK65" s="232"/>
      <c r="AL65" s="232"/>
      <c r="AM65" s="184"/>
      <c r="AN65" s="113">
        <f ca="1">TblProd[[#This Row],[Platinum]]</f>
        <v>435272</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44345.541666666519</v>
      </c>
      <c r="AT65" s="113">
        <f ca="1">TblMili[[#This Row],[Draftees]]</f>
        <v>646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0.4</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846</v>
      </c>
      <c r="C66" s="203">
        <f ca="1">TblPop[[#This Row],[Military%]]</f>
        <v>0.35501468736886277</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6455</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1096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1096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646</v>
      </c>
      <c r="AA66" s="200"/>
      <c r="AB66" s="234">
        <f ca="1">(TblConstr[[#This Row],[Tot Smi]]+TblConstr[[#This Row],[Dest Smi]])/(TblConstr[[#This Row],[Land]]-TblExplore[[#This Row],[Land Bonus]]*20)</f>
        <v>0</v>
      </c>
      <c r="AC66" s="178"/>
      <c r="AD66" s="318">
        <f>TblMili[[#This Row],[Hour]]</f>
        <v>63</v>
      </c>
      <c r="AE66" s="179">
        <f ca="1">TblExplore[[#This Row],[Time]]</f>
        <v>44345.583333333183</v>
      </c>
      <c r="AF66" s="232"/>
      <c r="AG66" s="232"/>
      <c r="AH66" s="232"/>
      <c r="AI66" s="232"/>
      <c r="AJ66" s="232"/>
      <c r="AK66" s="232"/>
      <c r="AL66" s="232"/>
      <c r="AM66" s="184"/>
      <c r="AN66" s="113">
        <f ca="1">TblProd[[#This Row],[Platinum]]</f>
        <v>440771</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44345.583333333183</v>
      </c>
      <c r="AT66" s="113">
        <f ca="1">TblMili[[#This Row],[Draftees]]</f>
        <v>646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0.4</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846</v>
      </c>
      <c r="C67" s="203">
        <f ca="1">TblPop[[#This Row],[Military%]]</f>
        <v>0.35501468736886277</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6455</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1096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1096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646</v>
      </c>
      <c r="AA67" s="200"/>
      <c r="AB67" s="234">
        <f ca="1">(TblConstr[[#This Row],[Tot Smi]]+TblConstr[[#This Row],[Dest Smi]])/(TblConstr[[#This Row],[Land]]-TblExplore[[#This Row],[Land Bonus]]*20)</f>
        <v>0</v>
      </c>
      <c r="AC67" s="178"/>
      <c r="AD67" s="318">
        <f>TblMili[[#This Row],[Hour]]</f>
        <v>64</v>
      </c>
      <c r="AE67" s="179">
        <f ca="1">TblExplore[[#This Row],[Time]]</f>
        <v>44345.624999999847</v>
      </c>
      <c r="AF67" s="204"/>
      <c r="AG67" s="204"/>
      <c r="AH67" s="232"/>
      <c r="AI67" s="232"/>
      <c r="AJ67" s="232"/>
      <c r="AK67" s="232"/>
      <c r="AL67" s="232"/>
      <c r="AM67" s="184"/>
      <c r="AN67" s="113">
        <f ca="1">TblProd[[#This Row],[Platinum]]</f>
        <v>446270</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44345.624999999847</v>
      </c>
      <c r="AT67" s="113">
        <f ca="1">TblMili[[#This Row],[Draftees]]</f>
        <v>646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0.4</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846</v>
      </c>
      <c r="C68" s="203">
        <f ca="1">TblPop[[#This Row],[Military%]]</f>
        <v>0.35501468736886277</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6455</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1096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1096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646</v>
      </c>
      <c r="AA68" s="200"/>
      <c r="AB68" s="234">
        <f ca="1">(TblConstr[[#This Row],[Tot Smi]]+TblConstr[[#This Row],[Dest Smi]])/(TblConstr[[#This Row],[Land]]-TblExplore[[#This Row],[Land Bonus]]*20)</f>
        <v>0</v>
      </c>
      <c r="AC68" s="178"/>
      <c r="AD68" s="318">
        <f>TblMili[[#This Row],[Hour]]</f>
        <v>65</v>
      </c>
      <c r="AE68" s="179">
        <f ca="1">TblExplore[[#This Row],[Time]]</f>
        <v>44345.666666666511</v>
      </c>
      <c r="AF68" s="204"/>
      <c r="AG68" s="204"/>
      <c r="AH68" s="232"/>
      <c r="AI68" s="232"/>
      <c r="AJ68" s="232"/>
      <c r="AK68" s="232"/>
      <c r="AL68" s="232"/>
      <c r="AM68" s="184"/>
      <c r="AN68" s="113">
        <f ca="1">TblProd[[#This Row],[Platinum]]</f>
        <v>451769</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44345.666666666511</v>
      </c>
      <c r="AT68" s="113">
        <f ca="1">TblMili[[#This Row],[Draftees]]</f>
        <v>646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0.4</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846</v>
      </c>
      <c r="C69" s="203">
        <f ca="1">TblPop[[#This Row],[Military%]]</f>
        <v>0.35501468736886277</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6455</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1096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1096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646</v>
      </c>
      <c r="AA69" s="200"/>
      <c r="AB69" s="234">
        <f ca="1">(TblConstr[[#This Row],[Tot Smi]]+TblConstr[[#This Row],[Dest Smi]])/(TblConstr[[#This Row],[Land]]-TblExplore[[#This Row],[Land Bonus]]*20)</f>
        <v>0</v>
      </c>
      <c r="AC69" s="178"/>
      <c r="AD69" s="318">
        <f>TblMili[[#This Row],[Hour]]</f>
        <v>66</v>
      </c>
      <c r="AE69" s="179">
        <f ca="1">TblExplore[[#This Row],[Time]]</f>
        <v>44345.708333333176</v>
      </c>
      <c r="AF69" s="232"/>
      <c r="AG69" s="204"/>
      <c r="AH69" s="232"/>
      <c r="AI69" s="232"/>
      <c r="AJ69" s="232"/>
      <c r="AK69" s="232"/>
      <c r="AL69" s="232"/>
      <c r="AM69" s="184"/>
      <c r="AN69" s="113">
        <f ca="1">TblProd[[#This Row],[Platinum]]</f>
        <v>457268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44345.708333333176</v>
      </c>
      <c r="AT69" s="113">
        <f ca="1">TblMili[[#This Row],[Draftees]]</f>
        <v>646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0.4</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846</v>
      </c>
      <c r="C70" s="203">
        <f ca="1">TblPop[[#This Row],[Military%]]</f>
        <v>0.35501468736886277</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6455</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1096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1096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646</v>
      </c>
      <c r="AA70" s="200"/>
      <c r="AB70" s="234">
        <f ca="1">(TblConstr[[#This Row],[Tot Smi]]+TblConstr[[#This Row],[Dest Smi]])/(TblConstr[[#This Row],[Land]]-TblExplore[[#This Row],[Land Bonus]]*20)</f>
        <v>0</v>
      </c>
      <c r="AC70" s="178"/>
      <c r="AD70" s="318">
        <f>TblMili[[#This Row],[Hour]]</f>
        <v>67</v>
      </c>
      <c r="AE70" s="179">
        <f ca="1">TblExplore[[#This Row],[Time]]</f>
        <v>44345.74999999984</v>
      </c>
      <c r="AF70" s="232"/>
      <c r="AG70" s="204"/>
      <c r="AH70" s="232"/>
      <c r="AI70" s="232"/>
      <c r="AJ70" s="232"/>
      <c r="AK70" s="232"/>
      <c r="AL70" s="232"/>
      <c r="AM70" s="184"/>
      <c r="AN70" s="113">
        <f ca="1">TblProd[[#This Row],[Platinum]]</f>
        <v>462767</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44345.74999999984</v>
      </c>
      <c r="AT70" s="113">
        <f ca="1">TblMili[[#This Row],[Draftees]]</f>
        <v>646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0.4</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846</v>
      </c>
      <c r="C71" s="203">
        <f ca="1">TblPop[[#This Row],[Military%]]</f>
        <v>0.35501468736886277</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6455</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1096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1096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646</v>
      </c>
      <c r="AA71" s="200"/>
      <c r="AB71" s="234">
        <f ca="1">(TblConstr[[#This Row],[Tot Smi]]+TblConstr[[#This Row],[Dest Smi]])/(TblConstr[[#This Row],[Land]]-TblExplore[[#This Row],[Land Bonus]]*20)</f>
        <v>0</v>
      </c>
      <c r="AC71" s="178"/>
      <c r="AD71" s="318">
        <f>TblMili[[#This Row],[Hour]]</f>
        <v>68</v>
      </c>
      <c r="AE71" s="179">
        <f ca="1">TblExplore[[#This Row],[Time]]</f>
        <v>44345.791666666504</v>
      </c>
      <c r="AF71" s="232"/>
      <c r="AG71" s="204"/>
      <c r="AH71" s="232"/>
      <c r="AI71" s="232"/>
      <c r="AJ71" s="232"/>
      <c r="AK71" s="232"/>
      <c r="AL71" s="232"/>
      <c r="AM71" s="184"/>
      <c r="AN71" s="113">
        <f ca="1">TblProd[[#This Row],[Platinum]]</f>
        <v>468266</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44345.791666666504</v>
      </c>
      <c r="AT71" s="113">
        <f ca="1">TblMili[[#This Row],[Draftees]]</f>
        <v>646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0.4</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846</v>
      </c>
      <c r="C72" s="203">
        <f ca="1">TblPop[[#This Row],[Military%]]</f>
        <v>0.35501468736886277</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6455</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1096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1096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646</v>
      </c>
      <c r="AA72" s="200"/>
      <c r="AB72" s="234">
        <f ca="1">(TblConstr[[#This Row],[Tot Smi]]+TblConstr[[#This Row],[Dest Smi]])/(TblConstr[[#This Row],[Land]]-TblExplore[[#This Row],[Land Bonus]]*20)</f>
        <v>0</v>
      </c>
      <c r="AC72" s="178"/>
      <c r="AD72" s="318">
        <f>TblMili[[#This Row],[Hour]]</f>
        <v>69</v>
      </c>
      <c r="AE72" s="179">
        <f ca="1">TblExplore[[#This Row],[Time]]</f>
        <v>44345.833333333168</v>
      </c>
      <c r="AF72" s="232"/>
      <c r="AG72" s="232"/>
      <c r="AH72" s="232"/>
      <c r="AI72" s="232"/>
      <c r="AJ72" s="232"/>
      <c r="AK72" s="232"/>
      <c r="AL72" s="232"/>
      <c r="AM72" s="184"/>
      <c r="AN72" s="113">
        <f ca="1">TblProd[[#This Row],[Platinum]]</f>
        <v>473765</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44345.833333333168</v>
      </c>
      <c r="AT72" s="113">
        <f ca="1">TblMili[[#This Row],[Draftees]]</f>
        <v>646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0.4</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846</v>
      </c>
      <c r="C73" s="203">
        <f ca="1">TblPop[[#This Row],[Military%]]</f>
        <v>0.35501468736886277</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6455</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1096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1096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646</v>
      </c>
      <c r="AA73" s="200"/>
      <c r="AB73" s="234">
        <f ca="1">(TblConstr[[#This Row],[Tot Smi]]+TblConstr[[#This Row],[Dest Smi]])/(TblConstr[[#This Row],[Land]]-TblExplore[[#This Row],[Land Bonus]]*20)</f>
        <v>0</v>
      </c>
      <c r="AC73" s="178"/>
      <c r="AD73" s="318">
        <f>TblMili[[#This Row],[Hour]]</f>
        <v>70</v>
      </c>
      <c r="AE73" s="179">
        <f ca="1">TblExplore[[#This Row],[Time]]</f>
        <v>44345.874999999833</v>
      </c>
      <c r="AF73" s="232"/>
      <c r="AG73" s="232"/>
      <c r="AH73" s="232"/>
      <c r="AI73" s="232"/>
      <c r="AJ73" s="232"/>
      <c r="AK73" s="232"/>
      <c r="AL73" s="232"/>
      <c r="AM73" s="184"/>
      <c r="AN73" s="113">
        <f ca="1">TblProd[[#This Row],[Platinum]]</f>
        <v>479264</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44345.874999999833</v>
      </c>
      <c r="AT73" s="113">
        <f ca="1">TblMili[[#This Row],[Draftees]]</f>
        <v>646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0.4</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846</v>
      </c>
      <c r="C74" s="203">
        <f ca="1">TblPop[[#This Row],[Military%]]</f>
        <v>0.35501468736886277</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6455</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1096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1096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646</v>
      </c>
      <c r="AA74" s="200"/>
      <c r="AB74" s="234">
        <f ca="1">(TblConstr[[#This Row],[Tot Smi]]+TblConstr[[#This Row],[Dest Smi]])/(TblConstr[[#This Row],[Land]]-TblExplore[[#This Row],[Land Bonus]]*20)</f>
        <v>0</v>
      </c>
      <c r="AC74" s="178"/>
      <c r="AD74" s="318">
        <f>TblMili[[#This Row],[Hour]]</f>
        <v>71</v>
      </c>
      <c r="AE74" s="179">
        <f ca="1">TblExplore[[#This Row],[Time]]</f>
        <v>44345.916666666497</v>
      </c>
      <c r="AF74" s="232"/>
      <c r="AG74" s="232"/>
      <c r="AH74" s="232"/>
      <c r="AI74" s="232"/>
      <c r="AJ74" s="232"/>
      <c r="AK74" s="232"/>
      <c r="AL74" s="232"/>
      <c r="AM74" s="184"/>
      <c r="AN74" s="113">
        <f ca="1">TblProd[[#This Row],[Platinum]]</f>
        <v>484763</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44345.916666666497</v>
      </c>
      <c r="AT74" s="113">
        <f ca="1">TblMili[[#This Row],[Draftees]]</f>
        <v>646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0.4</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846</v>
      </c>
      <c r="C75" s="203">
        <f ca="1">TblPop[[#This Row],[Military%]]</f>
        <v>0.35501468736886277</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6455</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1096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1096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646</v>
      </c>
      <c r="AA75" s="200"/>
      <c r="AB75" s="234">
        <f ca="1">(TblConstr[[#This Row],[Tot Smi]]+TblConstr[[#This Row],[Dest Smi]])/(TblConstr[[#This Row],[Land]]-TblExplore[[#This Row],[Land Bonus]]*20)</f>
        <v>0</v>
      </c>
      <c r="AC75" s="178"/>
      <c r="AD75" s="318">
        <f>TblMili[[#This Row],[Hour]]</f>
        <v>72</v>
      </c>
      <c r="AE75" s="179">
        <f ca="1">TblExplore[[#This Row],[Time]]</f>
        <v>44345.958333333161</v>
      </c>
      <c r="AF75" s="232"/>
      <c r="AG75" s="232"/>
      <c r="AH75" s="232"/>
      <c r="AI75" s="232"/>
      <c r="AJ75" s="232"/>
      <c r="AK75" s="232"/>
      <c r="AL75" s="232"/>
      <c r="AM75" s="184"/>
      <c r="AN75" s="113">
        <f ca="1">TblProd[[#This Row],[Platinum]]</f>
        <v>490262</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44345.958333333161</v>
      </c>
      <c r="AT75" s="113">
        <f ca="1">TblMili[[#This Row],[Draftees]]</f>
        <v>646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0.4</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846</v>
      </c>
      <c r="C76" s="307">
        <f ca="1">TblPop[[#This Row],[Military%]]</f>
        <v>0.35501468736886277</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6455</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1096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1096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646</v>
      </c>
      <c r="AA76" s="212"/>
      <c r="AB76" s="261">
        <f ca="1">(TblConstr[[#This Row],[Tot Smi]]+TblConstr[[#This Row],[Dest Smi]])/(TblConstr[[#This Row],[Land]]-TblExplore[[#This Row],[Land Bonus]]*20)</f>
        <v>0</v>
      </c>
      <c r="AC76" s="186"/>
      <c r="AD76" s="330">
        <f>TblMili[[#This Row],[Hour]]</f>
        <v>73</v>
      </c>
      <c r="AE76" s="187">
        <f ca="1">TblExplore[[#This Row],[Time]]</f>
        <v>44345.999999999825</v>
      </c>
      <c r="AF76" s="259"/>
      <c r="AG76" s="259"/>
      <c r="AH76" s="216"/>
      <c r="AI76" s="259"/>
      <c r="AJ76" s="259"/>
      <c r="AK76" s="259"/>
      <c r="AL76" s="259"/>
      <c r="AM76" s="192"/>
      <c r="AN76" s="262">
        <f ca="1">TblProd[[#This Row],[Platinum]]</f>
        <v>495761</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44345.999999999825</v>
      </c>
      <c r="AT76" s="262">
        <f ca="1">TblMili[[#This Row],[Draftees]]</f>
        <v>646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0.4</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846</v>
      </c>
      <c r="C77" s="203">
        <f ca="1">TblPop[[#This Row],[Military%]]</f>
        <v>0.35501468736886277</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6455</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1096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1096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646</v>
      </c>
      <c r="AA77" s="200"/>
      <c r="AB77" s="234">
        <f ca="1">(TblConstr[[#This Row],[Tot Smi]]+TblConstr[[#This Row],[Dest Smi]])/(TblConstr[[#This Row],[Land]]-TblExplore[[#This Row],[Land Bonus]]*20)</f>
        <v>0</v>
      </c>
      <c r="AC77" s="178"/>
      <c r="AD77" s="318">
        <f>TblMili[[#This Row],[Hour]]</f>
        <v>74</v>
      </c>
      <c r="AE77" s="179">
        <f ca="1">TblExplore[[#This Row],[Time]]</f>
        <v>44346.04166666649</v>
      </c>
      <c r="AF77" s="232"/>
      <c r="AG77" s="232"/>
      <c r="AH77" s="232"/>
      <c r="AI77" s="232"/>
      <c r="AJ77" s="232"/>
      <c r="AK77" s="232"/>
      <c r="AL77" s="232"/>
      <c r="AM77" s="184"/>
      <c r="AN77" s="113">
        <f ca="1">TblProd[[#This Row],[Platinum]]</f>
        <v>501260</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44346.04166666649</v>
      </c>
      <c r="AT77" s="113">
        <f ca="1">TblMili[[#This Row],[Draftees]]</f>
        <v>646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0.4</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846</v>
      </c>
      <c r="C78" s="203">
        <f ca="1">TblPop[[#This Row],[Military%]]</f>
        <v>0.35501468736886277</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6455</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1096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1096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646</v>
      </c>
      <c r="AA78" s="200"/>
      <c r="AB78" s="234">
        <f ca="1">(TblConstr[[#This Row],[Tot Smi]]+TblConstr[[#This Row],[Dest Smi]])/(TblConstr[[#This Row],[Land]]-TblExplore[[#This Row],[Land Bonus]]*20)</f>
        <v>0</v>
      </c>
      <c r="AC78" s="178"/>
      <c r="AD78" s="318">
        <f>TblMili[[#This Row],[Hour]]</f>
        <v>75</v>
      </c>
      <c r="AE78" s="179">
        <f ca="1">TblExplore[[#This Row],[Time]]</f>
        <v>44346.083333333154</v>
      </c>
      <c r="AF78" s="232"/>
      <c r="AG78" s="232"/>
      <c r="AH78" s="232"/>
      <c r="AI78" s="232"/>
      <c r="AJ78" s="232"/>
      <c r="AK78" s="232"/>
      <c r="AL78" s="232"/>
      <c r="AM78" s="184"/>
      <c r="AN78" s="113">
        <f ca="1">TblProd[[#This Row],[Platinum]]</f>
        <v>506759</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44346.083333333154</v>
      </c>
      <c r="AT78" s="113">
        <f ca="1">TblMili[[#This Row],[Draftees]]</f>
        <v>646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0.4</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846</v>
      </c>
      <c r="C79" s="203">
        <f ca="1">TblPop[[#This Row],[Military%]]</f>
        <v>0.35501468736886277</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6455</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1096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1096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646</v>
      </c>
      <c r="AA79" s="200"/>
      <c r="AB79" s="234">
        <f ca="1">(TblConstr[[#This Row],[Tot Smi]]+TblConstr[[#This Row],[Dest Smi]])/(TblConstr[[#This Row],[Land]]-TblExplore[[#This Row],[Land Bonus]]*20)</f>
        <v>0</v>
      </c>
      <c r="AC79" s="178"/>
      <c r="AD79" s="318">
        <f>TblMili[[#This Row],[Hour]]</f>
        <v>76</v>
      </c>
      <c r="AE79" s="179">
        <f ca="1">TblExplore[[#This Row],[Time]]</f>
        <v>44346.124999999818</v>
      </c>
      <c r="AF79" s="232"/>
      <c r="AG79" s="232"/>
      <c r="AH79" s="232"/>
      <c r="AI79" s="232"/>
      <c r="AJ79" s="232"/>
      <c r="AK79" s="232"/>
      <c r="AL79" s="232"/>
      <c r="AM79" s="184"/>
      <c r="AN79" s="113">
        <f ca="1">TblProd[[#This Row],[Platinum]]</f>
        <v>512258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44346.124999999818</v>
      </c>
      <c r="AT79" s="113">
        <f ca="1">TblMili[[#This Row],[Draftees]]</f>
        <v>646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0.4</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846</v>
      </c>
      <c r="C80" s="203">
        <f ca="1">TblPop[[#This Row],[Military%]]</f>
        <v>0.35501468736886277</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6455</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1096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1096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646</v>
      </c>
      <c r="AA80" s="200"/>
      <c r="AB80" s="234">
        <f ca="1">(TblConstr[[#This Row],[Tot Smi]]+TblConstr[[#This Row],[Dest Smi]])/(TblConstr[[#This Row],[Land]]-TblExplore[[#This Row],[Land Bonus]]*20)</f>
        <v>0</v>
      </c>
      <c r="AC80" s="178"/>
      <c r="AD80" s="318">
        <f>TblMili[[#This Row],[Hour]]</f>
        <v>77</v>
      </c>
      <c r="AE80" s="179">
        <f ca="1">TblExplore[[#This Row],[Time]]</f>
        <v>44346.166666666482</v>
      </c>
      <c r="AF80" s="232"/>
      <c r="AG80" s="232"/>
      <c r="AH80" s="232"/>
      <c r="AI80" s="232"/>
      <c r="AJ80" s="232"/>
      <c r="AK80" s="232"/>
      <c r="AL80" s="232"/>
      <c r="AM80" s="184"/>
      <c r="AN80" s="113">
        <f ca="1">TblProd[[#This Row],[Platinum]]</f>
        <v>517757</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44346.166666666482</v>
      </c>
      <c r="AT80" s="113">
        <f ca="1">TblMili[[#This Row],[Draftees]]</f>
        <v>646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0.4</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846</v>
      </c>
      <c r="C81" s="203">
        <f ca="1">TblPop[[#This Row],[Military%]]</f>
        <v>0.35501468736886277</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6455</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1096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1096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646</v>
      </c>
      <c r="AA81" s="200"/>
      <c r="AB81" s="234">
        <f ca="1">(TblConstr[[#This Row],[Tot Smi]]+TblConstr[[#This Row],[Dest Smi]])/(TblConstr[[#This Row],[Land]]-TblExplore[[#This Row],[Land Bonus]]*20)</f>
        <v>0</v>
      </c>
      <c r="AC81" s="178"/>
      <c r="AD81" s="318">
        <f>TblMili[[#This Row],[Hour]]</f>
        <v>78</v>
      </c>
      <c r="AE81" s="179">
        <f ca="1">TblExplore[[#This Row],[Time]]</f>
        <v>44346.208333333147</v>
      </c>
      <c r="AF81" s="232"/>
      <c r="AG81" s="232"/>
      <c r="AH81" s="232"/>
      <c r="AI81" s="232"/>
      <c r="AJ81" s="232"/>
      <c r="AK81" s="232"/>
      <c r="AL81" s="232"/>
      <c r="AM81" s="184"/>
      <c r="AN81" s="113">
        <f ca="1">TblProd[[#This Row],[Platinum]]</f>
        <v>523256</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44346.208333333147</v>
      </c>
      <c r="AT81" s="113">
        <f ca="1">TblMili[[#This Row],[Draftees]]</f>
        <v>646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0.4</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846</v>
      </c>
      <c r="C82" s="203">
        <f ca="1">TblPop[[#This Row],[Military%]]</f>
        <v>0.35501468736886277</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6455</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1096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1096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646</v>
      </c>
      <c r="AA82" s="200"/>
      <c r="AB82" s="234">
        <f ca="1">(TblConstr[[#This Row],[Tot Smi]]+TblConstr[[#This Row],[Dest Smi]])/(TblConstr[[#This Row],[Land]]-TblExplore[[#This Row],[Land Bonus]]*20)</f>
        <v>0</v>
      </c>
      <c r="AC82" s="178"/>
      <c r="AD82" s="318">
        <f>TblMili[[#This Row],[Hour]]</f>
        <v>79</v>
      </c>
      <c r="AE82" s="179">
        <f ca="1">TblExplore[[#This Row],[Time]]</f>
        <v>44346.249999999811</v>
      </c>
      <c r="AF82" s="232"/>
      <c r="AG82" s="232"/>
      <c r="AH82" s="232"/>
      <c r="AI82" s="232"/>
      <c r="AJ82" s="232"/>
      <c r="AK82" s="232"/>
      <c r="AL82" s="232"/>
      <c r="AM82" s="184"/>
      <c r="AN82" s="113">
        <f ca="1">TblProd[[#This Row],[Platinum]]</f>
        <v>528755</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44346.249999999811</v>
      </c>
      <c r="AT82" s="113">
        <f ca="1">TblMili[[#This Row],[Draftees]]</f>
        <v>646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0.4</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846</v>
      </c>
      <c r="C83" s="203">
        <f ca="1">TblPop[[#This Row],[Military%]]</f>
        <v>0.35501468736886277</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6455</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1096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1096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646</v>
      </c>
      <c r="AA83" s="200"/>
      <c r="AB83" s="234">
        <f ca="1">(TblConstr[[#This Row],[Tot Smi]]+TblConstr[[#This Row],[Dest Smi]])/(TblConstr[[#This Row],[Land]]-TblExplore[[#This Row],[Land Bonus]]*20)</f>
        <v>0</v>
      </c>
      <c r="AC83" s="178"/>
      <c r="AD83" s="318">
        <f>TblMili[[#This Row],[Hour]]</f>
        <v>80</v>
      </c>
      <c r="AE83" s="179">
        <f ca="1">TblExplore[[#This Row],[Time]]</f>
        <v>44346.291666666475</v>
      </c>
      <c r="AF83" s="232"/>
      <c r="AG83" s="232"/>
      <c r="AH83" s="232"/>
      <c r="AI83" s="232"/>
      <c r="AJ83" s="232"/>
      <c r="AK83" s="232"/>
      <c r="AL83" s="232"/>
      <c r="AM83" s="184"/>
      <c r="AN83" s="113">
        <f ca="1">TblProd[[#This Row],[Platinum]]</f>
        <v>534254</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44346.291666666475</v>
      </c>
      <c r="AT83" s="113">
        <f ca="1">TblMili[[#This Row],[Draftees]]</f>
        <v>646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0.4</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846</v>
      </c>
      <c r="C84" s="203">
        <f ca="1">TblPop[[#This Row],[Military%]]</f>
        <v>0.35501468736886277</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6455</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1096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1096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646</v>
      </c>
      <c r="AA84" s="200"/>
      <c r="AB84" s="234">
        <f ca="1">(TblConstr[[#This Row],[Tot Smi]]+TblConstr[[#This Row],[Dest Smi]])/(TblConstr[[#This Row],[Land]]-TblExplore[[#This Row],[Land Bonus]]*20)</f>
        <v>0</v>
      </c>
      <c r="AC84" s="178"/>
      <c r="AD84" s="318">
        <f>TblMili[[#This Row],[Hour]]</f>
        <v>81</v>
      </c>
      <c r="AE84" s="179">
        <f ca="1">TblExplore[[#This Row],[Time]]</f>
        <v>44346.333333333139</v>
      </c>
      <c r="AF84" s="232"/>
      <c r="AG84" s="232"/>
      <c r="AH84" s="232"/>
      <c r="AI84" s="232"/>
      <c r="AJ84" s="232"/>
      <c r="AK84" s="232"/>
      <c r="AL84" s="232"/>
      <c r="AM84" s="184"/>
      <c r="AN84" s="113">
        <f ca="1">TblProd[[#This Row],[Platinum]]</f>
        <v>539753</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44346.333333333139</v>
      </c>
      <c r="AT84" s="113">
        <f ca="1">TblMili[[#This Row],[Draftees]]</f>
        <v>646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0.4</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846</v>
      </c>
      <c r="C85" s="203">
        <f ca="1">TblPop[[#This Row],[Military%]]</f>
        <v>0.35501468736886277</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6455</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1096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1096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646</v>
      </c>
      <c r="AA85" s="200"/>
      <c r="AB85" s="234">
        <f ca="1">(TblConstr[[#This Row],[Tot Smi]]+TblConstr[[#This Row],[Dest Smi]])/(TblConstr[[#This Row],[Land]]-TblExplore[[#This Row],[Land Bonus]]*20)</f>
        <v>0</v>
      </c>
      <c r="AC85" s="178"/>
      <c r="AD85" s="318">
        <f>TblMili[[#This Row],[Hour]]</f>
        <v>82</v>
      </c>
      <c r="AE85" s="179">
        <f ca="1">TblExplore[[#This Row],[Time]]</f>
        <v>44346.374999999804</v>
      </c>
      <c r="AF85" s="232"/>
      <c r="AG85" s="232"/>
      <c r="AH85" s="232"/>
      <c r="AI85" s="232"/>
      <c r="AJ85" s="232"/>
      <c r="AK85" s="232"/>
      <c r="AL85" s="232"/>
      <c r="AM85" s="184"/>
      <c r="AN85" s="113">
        <f ca="1">TblProd[[#This Row],[Platinum]]</f>
        <v>545252</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44346.374999999804</v>
      </c>
      <c r="AT85" s="113">
        <f ca="1">TblMili[[#This Row],[Draftees]]</f>
        <v>646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0.4</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846</v>
      </c>
      <c r="C86" s="203">
        <f ca="1">TblPop[[#This Row],[Military%]]</f>
        <v>0.35501468736886277</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6455</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1096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1096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646</v>
      </c>
      <c r="AA86" s="200"/>
      <c r="AB86" s="234">
        <f ca="1">(TblConstr[[#This Row],[Tot Smi]]+TblConstr[[#This Row],[Dest Smi]])/(TblConstr[[#This Row],[Land]]-TblExplore[[#This Row],[Land Bonus]]*20)</f>
        <v>0</v>
      </c>
      <c r="AC86" s="178"/>
      <c r="AD86" s="318">
        <f>TblMili[[#This Row],[Hour]]</f>
        <v>83</v>
      </c>
      <c r="AE86" s="179">
        <f ca="1">TblExplore[[#This Row],[Time]]</f>
        <v>44346.416666666468</v>
      </c>
      <c r="AF86" s="232"/>
      <c r="AG86" s="232"/>
      <c r="AH86" s="232"/>
      <c r="AI86" s="232"/>
      <c r="AJ86" s="232"/>
      <c r="AK86" s="232"/>
      <c r="AL86" s="232"/>
      <c r="AM86" s="184"/>
      <c r="AN86" s="113">
        <f ca="1">TblProd[[#This Row],[Platinum]]</f>
        <v>550751</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44346.416666666468</v>
      </c>
      <c r="AT86" s="113">
        <f ca="1">TblMili[[#This Row],[Draftees]]</f>
        <v>646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0.4</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846</v>
      </c>
      <c r="C87" s="203">
        <f ca="1">TblPop[[#This Row],[Military%]]</f>
        <v>0.35501468736886277</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6455</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1096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1096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646</v>
      </c>
      <c r="AA87" s="200"/>
      <c r="AB87" s="234">
        <f ca="1">(TblConstr[[#This Row],[Tot Smi]]+TblConstr[[#This Row],[Dest Smi]])/(TblConstr[[#This Row],[Land]]-TblExplore[[#This Row],[Land Bonus]]*20)</f>
        <v>0</v>
      </c>
      <c r="AC87" s="178"/>
      <c r="AD87" s="318">
        <f>TblMili[[#This Row],[Hour]]</f>
        <v>84</v>
      </c>
      <c r="AE87" s="179">
        <f ca="1">TblExplore[[#This Row],[Time]]</f>
        <v>44346.458333333132</v>
      </c>
      <c r="AF87" s="232"/>
      <c r="AG87" s="232"/>
      <c r="AH87" s="232"/>
      <c r="AI87" s="232"/>
      <c r="AJ87" s="232"/>
      <c r="AK87" s="232"/>
      <c r="AL87" s="232"/>
      <c r="AM87" s="184"/>
      <c r="AN87" s="113">
        <f ca="1">TblProd[[#This Row],[Platinum]]</f>
        <v>556250</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44346.458333333132</v>
      </c>
      <c r="AT87" s="113">
        <f ca="1">TblMili[[#This Row],[Draftees]]</f>
        <v>646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0.4</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846</v>
      </c>
      <c r="C88" s="203">
        <f ca="1">TblPop[[#This Row],[Military%]]</f>
        <v>0.35501468736886277</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6455</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1096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1096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646</v>
      </c>
      <c r="AA88" s="200"/>
      <c r="AB88" s="234">
        <f ca="1">(TblConstr[[#This Row],[Tot Smi]]+TblConstr[[#This Row],[Dest Smi]])/(TblConstr[[#This Row],[Land]]-TblExplore[[#This Row],[Land Bonus]]*20)</f>
        <v>0</v>
      </c>
      <c r="AC88" s="318"/>
      <c r="AD88" s="318">
        <f>TblMili[[#This Row],[Hour]]</f>
        <v>85</v>
      </c>
      <c r="AE88" s="179">
        <f ca="1">TblExplore[[#This Row],[Time]]</f>
        <v>44346.499999999796</v>
      </c>
      <c r="AF88" s="232"/>
      <c r="AG88" s="232"/>
      <c r="AH88" s="232"/>
      <c r="AI88" s="232"/>
      <c r="AJ88" s="232"/>
      <c r="AK88" s="232"/>
      <c r="AL88" s="232"/>
      <c r="AM88" s="184"/>
      <c r="AN88" s="113">
        <f ca="1">TblProd[[#This Row],[Platinum]]</f>
        <v>561749</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44346.499999999796</v>
      </c>
      <c r="AT88" s="113">
        <f ca="1">TblMili[[#This Row],[Draftees]]</f>
        <v>646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0.4</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846</v>
      </c>
      <c r="C89" s="203">
        <f ca="1">TblPop[[#This Row],[Military%]]</f>
        <v>0.35501468736886277</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6455</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1096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1096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646</v>
      </c>
      <c r="AA89" s="200"/>
      <c r="AB89" s="234">
        <f ca="1">(TblConstr[[#This Row],[Tot Smi]]+TblConstr[[#This Row],[Dest Smi]])/(TblConstr[[#This Row],[Land]]-TblExplore[[#This Row],[Land Bonus]]*20)</f>
        <v>0</v>
      </c>
      <c r="AC89" s="178"/>
      <c r="AD89" s="318">
        <f>TblMili[[#This Row],[Hour]]</f>
        <v>86</v>
      </c>
      <c r="AE89" s="179">
        <f ca="1">TblExplore[[#This Row],[Time]]</f>
        <v>44346.541666666461</v>
      </c>
      <c r="AF89" s="232"/>
      <c r="AG89" s="232"/>
      <c r="AH89" s="232"/>
      <c r="AI89" s="232"/>
      <c r="AJ89" s="232"/>
      <c r="AK89" s="232"/>
      <c r="AL89" s="232"/>
      <c r="AM89" s="184"/>
      <c r="AN89" s="113">
        <f ca="1">TblProd[[#This Row],[Platinum]]</f>
        <v>567248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44346.541666666461</v>
      </c>
      <c r="AT89" s="113">
        <f ca="1">TblMili[[#This Row],[Draftees]]</f>
        <v>646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0.4</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846</v>
      </c>
      <c r="C90" s="203">
        <f ca="1">TblPop[[#This Row],[Military%]]</f>
        <v>0.35501468736886277</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6455</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1096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1096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646</v>
      </c>
      <c r="AA90" s="200"/>
      <c r="AB90" s="234">
        <f ca="1">(TblConstr[[#This Row],[Tot Smi]]+TblConstr[[#This Row],[Dest Smi]])/(TblConstr[[#This Row],[Land]]-TblExplore[[#This Row],[Land Bonus]]*20)</f>
        <v>0</v>
      </c>
      <c r="AC90" s="178"/>
      <c r="AD90" s="318">
        <f>TblMili[[#This Row],[Hour]]</f>
        <v>87</v>
      </c>
      <c r="AE90" s="179">
        <f ca="1">TblExplore[[#This Row],[Time]]</f>
        <v>44346.583333333125</v>
      </c>
      <c r="AF90" s="232"/>
      <c r="AG90" s="232"/>
      <c r="AH90" s="232"/>
      <c r="AI90" s="232"/>
      <c r="AJ90" s="232"/>
      <c r="AK90" s="232"/>
      <c r="AL90" s="232"/>
      <c r="AM90" s="184"/>
      <c r="AN90" s="113">
        <f ca="1">TblProd[[#This Row],[Platinum]]</f>
        <v>572747</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44346.583333333125</v>
      </c>
      <c r="AT90" s="113">
        <f ca="1">TblMili[[#This Row],[Draftees]]</f>
        <v>646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0.4</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846</v>
      </c>
      <c r="C91" s="203">
        <f ca="1">TblPop[[#This Row],[Military%]]</f>
        <v>0.35501468736886277</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6455</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1096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1096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646</v>
      </c>
      <c r="AA91" s="200"/>
      <c r="AB91" s="234">
        <f ca="1">(TblConstr[[#This Row],[Tot Smi]]+TblConstr[[#This Row],[Dest Smi]])/(TblConstr[[#This Row],[Land]]-TblExplore[[#This Row],[Land Bonus]]*20)</f>
        <v>0</v>
      </c>
      <c r="AC91" s="178"/>
      <c r="AD91" s="318">
        <f>TblMili[[#This Row],[Hour]]</f>
        <v>88</v>
      </c>
      <c r="AE91" s="179">
        <f ca="1">TblExplore[[#This Row],[Time]]</f>
        <v>44346.624999999789</v>
      </c>
      <c r="AF91" s="232"/>
      <c r="AG91" s="232"/>
      <c r="AH91" s="232"/>
      <c r="AI91" s="232"/>
      <c r="AJ91" s="232"/>
      <c r="AK91" s="232"/>
      <c r="AL91" s="232"/>
      <c r="AM91" s="184"/>
      <c r="AN91" s="113">
        <f ca="1">TblProd[[#This Row],[Platinum]]</f>
        <v>578246</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44346.624999999789</v>
      </c>
      <c r="AT91" s="113">
        <f ca="1">TblMili[[#This Row],[Draftees]]</f>
        <v>646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0.4</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846</v>
      </c>
      <c r="C92" s="203">
        <f ca="1">TblPop[[#This Row],[Military%]]</f>
        <v>0.35501468736886277</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6455</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1096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1096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646</v>
      </c>
      <c r="AA92" s="200"/>
      <c r="AB92" s="234">
        <f ca="1">(TblConstr[[#This Row],[Tot Smi]]+TblConstr[[#This Row],[Dest Smi]])/(TblConstr[[#This Row],[Land]]-TblExplore[[#This Row],[Land Bonus]]*20)</f>
        <v>0</v>
      </c>
      <c r="AC92" s="178"/>
      <c r="AD92" s="318">
        <f>TblMili[[#This Row],[Hour]]</f>
        <v>89</v>
      </c>
      <c r="AE92" s="179">
        <f ca="1">TblExplore[[#This Row],[Time]]</f>
        <v>44346.666666666453</v>
      </c>
      <c r="AF92" s="232"/>
      <c r="AG92" s="232"/>
      <c r="AH92" s="232"/>
      <c r="AI92" s="232"/>
      <c r="AJ92" s="232"/>
      <c r="AK92" s="232"/>
      <c r="AL92" s="232"/>
      <c r="AM92" s="184"/>
      <c r="AN92" s="113">
        <f ca="1">TblProd[[#This Row],[Platinum]]</f>
        <v>583745</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44346.666666666453</v>
      </c>
      <c r="AT92" s="113">
        <f ca="1">TblMili[[#This Row],[Draftees]]</f>
        <v>646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0.4</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846</v>
      </c>
      <c r="C93" s="203">
        <f ca="1">TblPop[[#This Row],[Military%]]</f>
        <v>0.35501468736886277</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6455</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1096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1096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646</v>
      </c>
      <c r="AA93" s="200"/>
      <c r="AB93" s="234">
        <f ca="1">(TblConstr[[#This Row],[Tot Smi]]+TblConstr[[#This Row],[Dest Smi]])/(TblConstr[[#This Row],[Land]]-TblExplore[[#This Row],[Land Bonus]]*20)</f>
        <v>0</v>
      </c>
      <c r="AC93" s="178"/>
      <c r="AD93" s="318">
        <f>TblMili[[#This Row],[Hour]]</f>
        <v>90</v>
      </c>
      <c r="AE93" s="179">
        <f ca="1">TblExplore[[#This Row],[Time]]</f>
        <v>44346.708333333117</v>
      </c>
      <c r="AF93" s="232"/>
      <c r="AG93" s="232"/>
      <c r="AH93" s="232"/>
      <c r="AI93" s="232"/>
      <c r="AJ93" s="232"/>
      <c r="AK93" s="232"/>
      <c r="AL93" s="232"/>
      <c r="AM93" s="184"/>
      <c r="AN93" s="113">
        <f ca="1">TblProd[[#This Row],[Platinum]]</f>
        <v>589244</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44346.708333333117</v>
      </c>
      <c r="AT93" s="113">
        <f ca="1">TblMili[[#This Row],[Draftees]]</f>
        <v>646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0.4</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846</v>
      </c>
      <c r="C94" s="203">
        <f ca="1">TblPop[[#This Row],[Military%]]</f>
        <v>0.35501468736886277</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6455</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1096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1096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646</v>
      </c>
      <c r="AA94" s="200"/>
      <c r="AB94" s="234">
        <f ca="1">(TblConstr[[#This Row],[Tot Smi]]+TblConstr[[#This Row],[Dest Smi]])/(TblConstr[[#This Row],[Land]]-TblExplore[[#This Row],[Land Bonus]]*20)</f>
        <v>0</v>
      </c>
      <c r="AC94" s="178"/>
      <c r="AD94" s="318">
        <f>TblMili[[#This Row],[Hour]]</f>
        <v>91</v>
      </c>
      <c r="AE94" s="179">
        <f ca="1">TblExplore[[#This Row],[Time]]</f>
        <v>44346.749999999782</v>
      </c>
      <c r="AF94" s="232"/>
      <c r="AG94" s="232"/>
      <c r="AH94" s="232"/>
      <c r="AI94" s="232"/>
      <c r="AJ94" s="232"/>
      <c r="AK94" s="232"/>
      <c r="AL94" s="232"/>
      <c r="AM94" s="184"/>
      <c r="AN94" s="113">
        <f ca="1">TblProd[[#This Row],[Platinum]]</f>
        <v>594743</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44346.749999999782</v>
      </c>
      <c r="AT94" s="113">
        <f ca="1">TblMili[[#This Row],[Draftees]]</f>
        <v>646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0.4</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846</v>
      </c>
      <c r="C95" s="203">
        <f ca="1">TblPop[[#This Row],[Military%]]</f>
        <v>0.35501468736886277</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6455</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1096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1096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646</v>
      </c>
      <c r="AA95" s="200"/>
      <c r="AB95" s="234">
        <f ca="1">(TblConstr[[#This Row],[Tot Smi]]+TblConstr[[#This Row],[Dest Smi]])/(TblConstr[[#This Row],[Land]]-TblExplore[[#This Row],[Land Bonus]]*20)</f>
        <v>0</v>
      </c>
      <c r="AC95" s="178"/>
      <c r="AD95" s="318">
        <f>TblMili[[#This Row],[Hour]]</f>
        <v>92</v>
      </c>
      <c r="AE95" s="179">
        <f ca="1">TblExplore[[#This Row],[Time]]</f>
        <v>44346.791666666446</v>
      </c>
      <c r="AF95" s="232"/>
      <c r="AG95" s="232"/>
      <c r="AH95" s="232"/>
      <c r="AI95" s="232"/>
      <c r="AJ95" s="232"/>
      <c r="AK95" s="232"/>
      <c r="AL95" s="232"/>
      <c r="AM95" s="184"/>
      <c r="AN95" s="113">
        <f ca="1">TblProd[[#This Row],[Platinum]]</f>
        <v>600242</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44346.791666666446</v>
      </c>
      <c r="AT95" s="113">
        <f ca="1">TblMili[[#This Row],[Draftees]]</f>
        <v>646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0.4</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846</v>
      </c>
      <c r="C96" s="203">
        <f ca="1">TblPop[[#This Row],[Military%]]</f>
        <v>0.35501468736886277</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6455</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1096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1096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646</v>
      </c>
      <c r="AA96" s="200"/>
      <c r="AB96" s="234">
        <f ca="1">(TblConstr[[#This Row],[Tot Smi]]+TblConstr[[#This Row],[Dest Smi]])/(TblConstr[[#This Row],[Land]]-TblExplore[[#This Row],[Land Bonus]]*20)</f>
        <v>0</v>
      </c>
      <c r="AC96" s="178"/>
      <c r="AD96" s="318">
        <f>TblMili[[#This Row],[Hour]]</f>
        <v>93</v>
      </c>
      <c r="AE96" s="179">
        <f ca="1">TblExplore[[#This Row],[Time]]</f>
        <v>44346.83333333311</v>
      </c>
      <c r="AF96" s="232"/>
      <c r="AG96" s="232"/>
      <c r="AH96" s="232"/>
      <c r="AI96" s="232"/>
      <c r="AJ96" s="232"/>
      <c r="AK96" s="232"/>
      <c r="AL96" s="232"/>
      <c r="AM96" s="184"/>
      <c r="AN96" s="113">
        <f ca="1">TblProd[[#This Row],[Platinum]]</f>
        <v>605741</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44346.83333333311</v>
      </c>
      <c r="AT96" s="113">
        <f ca="1">TblMili[[#This Row],[Draftees]]</f>
        <v>646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0.4</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846</v>
      </c>
      <c r="C97" s="203">
        <f ca="1">TblPop[[#This Row],[Military%]]</f>
        <v>0.35501468736886277</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6455</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1096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1096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646</v>
      </c>
      <c r="AA97" s="200"/>
      <c r="AB97" s="234">
        <f ca="1">(TblConstr[[#This Row],[Tot Smi]]+TblConstr[[#This Row],[Dest Smi]])/(TblConstr[[#This Row],[Land]]-TblExplore[[#This Row],[Land Bonus]]*20)</f>
        <v>0</v>
      </c>
      <c r="AC97" s="178"/>
      <c r="AD97" s="318">
        <f>TblMili[[#This Row],[Hour]]</f>
        <v>94</v>
      </c>
      <c r="AE97" s="179">
        <f ca="1">TblExplore[[#This Row],[Time]]</f>
        <v>44346.874999999774</v>
      </c>
      <c r="AF97" s="232"/>
      <c r="AG97" s="232"/>
      <c r="AH97" s="232"/>
      <c r="AI97" s="232"/>
      <c r="AJ97" s="232"/>
      <c r="AK97" s="232"/>
      <c r="AL97" s="232"/>
      <c r="AM97" s="184"/>
      <c r="AN97" s="113">
        <f ca="1">TblProd[[#This Row],[Platinum]]</f>
        <v>611240</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44346.874999999774</v>
      </c>
      <c r="AT97" s="113">
        <f ca="1">TblMili[[#This Row],[Draftees]]</f>
        <v>646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0.4</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846</v>
      </c>
      <c r="C98" s="203">
        <f ca="1">TblPop[[#This Row],[Military%]]</f>
        <v>0.35501468736886277</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6455</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1096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1096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646</v>
      </c>
      <c r="AA98" s="200"/>
      <c r="AB98" s="234">
        <f ca="1">(TblConstr[[#This Row],[Tot Smi]]+TblConstr[[#This Row],[Dest Smi]])/(TblConstr[[#This Row],[Land]]-TblExplore[[#This Row],[Land Bonus]]*20)</f>
        <v>0</v>
      </c>
      <c r="AC98" s="178"/>
      <c r="AD98" s="318">
        <f>TblMili[[#This Row],[Hour]]</f>
        <v>95</v>
      </c>
      <c r="AE98" s="179">
        <f ca="1">TblExplore[[#This Row],[Time]]</f>
        <v>44346.916666666439</v>
      </c>
      <c r="AF98" s="232"/>
      <c r="AG98" s="232"/>
      <c r="AH98" s="232"/>
      <c r="AI98" s="232"/>
      <c r="AJ98" s="232"/>
      <c r="AK98" s="232"/>
      <c r="AL98" s="232"/>
      <c r="AM98" s="184"/>
      <c r="AN98" s="113">
        <f ca="1">TblProd[[#This Row],[Platinum]]</f>
        <v>616739</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44346.916666666439</v>
      </c>
      <c r="AT98" s="113">
        <f ca="1">TblMili[[#This Row],[Draftees]]</f>
        <v>646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0.4</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846</v>
      </c>
      <c r="C99" s="203">
        <f ca="1">TblPop[[#This Row],[Military%]]</f>
        <v>0.35501468736886277</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6455</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1096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1096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646</v>
      </c>
      <c r="AA99" s="200"/>
      <c r="AB99" s="234">
        <f ca="1">(TblConstr[[#This Row],[Tot Smi]]+TblConstr[[#This Row],[Dest Smi]])/(TblConstr[[#This Row],[Land]]-TblExplore[[#This Row],[Land Bonus]]*20)</f>
        <v>0</v>
      </c>
      <c r="AC99" s="178"/>
      <c r="AD99" s="318">
        <f>TblMili[[#This Row],[Hour]]</f>
        <v>96</v>
      </c>
      <c r="AE99" s="179">
        <f ca="1">TblExplore[[#This Row],[Time]]</f>
        <v>44346.958333333103</v>
      </c>
      <c r="AF99" s="232"/>
      <c r="AG99" s="232"/>
      <c r="AH99" s="232"/>
      <c r="AI99" s="232"/>
      <c r="AJ99" s="232"/>
      <c r="AK99" s="232"/>
      <c r="AL99" s="232"/>
      <c r="AM99" s="184"/>
      <c r="AN99" s="113">
        <f ca="1">TblProd[[#This Row],[Platinum]]</f>
        <v>622238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44346.958333333103</v>
      </c>
      <c r="AT99" s="113">
        <f ca="1">TblMili[[#This Row],[Draftees]]</f>
        <v>646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0.4</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846</v>
      </c>
      <c r="C100" s="203">
        <f ca="1">TblPop[[#This Row],[Military%]]</f>
        <v>0.35501468736886277</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6455</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1096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1096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646</v>
      </c>
      <c r="AA100" s="200"/>
      <c r="AB100" s="234">
        <f ca="1">(TblConstr[[#This Row],[Tot Smi]]+TblConstr[[#This Row],[Dest Smi]])/(TblConstr[[#This Row],[Land]]-TblExplore[[#This Row],[Land Bonus]]*20)</f>
        <v>0</v>
      </c>
      <c r="AC100" s="178"/>
      <c r="AD100" s="318">
        <f>TblMili[[#This Row],[Hour]]</f>
        <v>97</v>
      </c>
      <c r="AE100" s="179">
        <f ca="1">TblExplore[[#This Row],[Time]]</f>
        <v>44346.999999999767</v>
      </c>
      <c r="AF100" s="232"/>
      <c r="AG100" s="232"/>
      <c r="AH100" s="232"/>
      <c r="AI100" s="232"/>
      <c r="AJ100" s="232"/>
      <c r="AK100" s="232"/>
      <c r="AL100" s="232"/>
      <c r="AM100" s="184"/>
      <c r="AN100" s="113">
        <f ca="1">TblProd[[#This Row],[Platinum]]</f>
        <v>627737</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44346.999999999767</v>
      </c>
      <c r="AT100" s="113">
        <f ca="1">TblMili[[#This Row],[Draftees]]</f>
        <v>646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0.4</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846</v>
      </c>
      <c r="C101" s="203">
        <f ca="1">TblPop[[#This Row],[Military%]]</f>
        <v>0.35501468736886277</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6455</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1096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1096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646</v>
      </c>
      <c r="AA101" s="200"/>
      <c r="AB101" s="234">
        <f ca="1">(TblConstr[[#This Row],[Tot Smi]]+TblConstr[[#This Row],[Dest Smi]])/(TblConstr[[#This Row],[Land]]-TblExplore[[#This Row],[Land Bonus]]*20)</f>
        <v>0</v>
      </c>
      <c r="AC101" s="178"/>
      <c r="AD101" s="318">
        <f>TblMili[[#This Row],[Hour]]</f>
        <v>98</v>
      </c>
      <c r="AE101" s="179">
        <f ca="1">TblExplore[[#This Row],[Time]]</f>
        <v>44347.041666666431</v>
      </c>
      <c r="AF101" s="232"/>
      <c r="AG101" s="232"/>
      <c r="AH101" s="232"/>
      <c r="AI101" s="232"/>
      <c r="AJ101" s="232"/>
      <c r="AK101" s="232"/>
      <c r="AL101" s="232"/>
      <c r="AM101" s="184"/>
      <c r="AN101" s="113">
        <f ca="1">TblProd[[#This Row],[Platinum]]</f>
        <v>633236</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44347.041666666431</v>
      </c>
      <c r="AT101" s="113">
        <f ca="1">TblMili[[#This Row],[Draftees]]</f>
        <v>646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0.4</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846</v>
      </c>
      <c r="C102" s="203">
        <f ca="1">TblPop[[#This Row],[Military%]]</f>
        <v>0.35501468736886277</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6455</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1096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1096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646</v>
      </c>
      <c r="AA102" s="200"/>
      <c r="AB102" s="234">
        <f ca="1">(TblConstr[[#This Row],[Tot Smi]]+TblConstr[[#This Row],[Dest Smi]])/(TblConstr[[#This Row],[Land]]-TblExplore[[#This Row],[Land Bonus]]*20)</f>
        <v>0</v>
      </c>
      <c r="AC102" s="178"/>
      <c r="AD102" s="318">
        <f>TblMili[[#This Row],[Hour]]</f>
        <v>99</v>
      </c>
      <c r="AE102" s="179">
        <f ca="1">TblExplore[[#This Row],[Time]]</f>
        <v>44347.083333333096</v>
      </c>
      <c r="AF102" s="232"/>
      <c r="AG102" s="232"/>
      <c r="AH102" s="232"/>
      <c r="AI102" s="232"/>
      <c r="AJ102" s="232"/>
      <c r="AK102" s="232"/>
      <c r="AL102" s="232"/>
      <c r="AM102" s="184"/>
      <c r="AN102" s="113">
        <f ca="1">TblProd[[#This Row],[Platinum]]</f>
        <v>638735</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44347.083333333096</v>
      </c>
      <c r="AT102" s="113">
        <f ca="1">TblMili[[#This Row],[Draftees]]</f>
        <v>646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0.4</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846</v>
      </c>
      <c r="C103" s="203">
        <f ca="1">TblPop[[#This Row],[Military%]]</f>
        <v>0.35501468736886277</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6455</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1096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1096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646</v>
      </c>
      <c r="AA103" s="200"/>
      <c r="AB103" s="234">
        <f ca="1">(TblConstr[[#This Row],[Tot Smi]]+TblConstr[[#This Row],[Dest Smi]])/(TblConstr[[#This Row],[Land]]-TblExplore[[#This Row],[Land Bonus]]*20)</f>
        <v>0</v>
      </c>
      <c r="AC103" s="178"/>
      <c r="AD103" s="318">
        <f>TblMili[[#This Row],[Hour]]</f>
        <v>100</v>
      </c>
      <c r="AE103" s="179">
        <f ca="1">TblExplore[[#This Row],[Time]]</f>
        <v>44347.12499999976</v>
      </c>
      <c r="AF103" s="232"/>
      <c r="AG103" s="232"/>
      <c r="AH103" s="232"/>
      <c r="AI103" s="232"/>
      <c r="AJ103" s="232"/>
      <c r="AK103" s="232"/>
      <c r="AL103" s="232"/>
      <c r="AM103" s="184"/>
      <c r="AN103" s="113">
        <f ca="1">TblProd[[#This Row],[Platinum]]</f>
        <v>644234</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44347.12499999976</v>
      </c>
      <c r="AT103" s="113">
        <f ca="1">TblMili[[#This Row],[Draftees]]</f>
        <v>646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0.4</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846</v>
      </c>
      <c r="C104" s="203">
        <f ca="1">TblPop[[#This Row],[Military%]]</f>
        <v>0.35501468736886277</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6455</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1096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1096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646</v>
      </c>
      <c r="AA104" s="200"/>
      <c r="AB104" s="234">
        <f ca="1">(TblConstr[[#This Row],[Tot Smi]]+TblConstr[[#This Row],[Dest Smi]])/(TblConstr[[#This Row],[Land]]-TblExplore[[#This Row],[Land Bonus]]*20)</f>
        <v>0</v>
      </c>
      <c r="AC104" s="178"/>
      <c r="AD104" s="318">
        <f>TblMili[[#This Row],[Hour]]</f>
        <v>101</v>
      </c>
      <c r="AE104" s="179">
        <f ca="1">TblExplore[[#This Row],[Time]]</f>
        <v>44347.166666666424</v>
      </c>
      <c r="AF104" s="232"/>
      <c r="AG104" s="232"/>
      <c r="AH104" s="232"/>
      <c r="AI104" s="232"/>
      <c r="AJ104" s="232"/>
      <c r="AK104" s="232"/>
      <c r="AL104" s="232"/>
      <c r="AM104" s="184"/>
      <c r="AN104" s="113">
        <f ca="1">TblProd[[#This Row],[Platinum]]</f>
        <v>649733</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44347.166666666424</v>
      </c>
      <c r="AT104" s="113">
        <f ca="1">TblMili[[#This Row],[Draftees]]</f>
        <v>646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0.4</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846</v>
      </c>
      <c r="C105" s="203">
        <f ca="1">TblPop[[#This Row],[Military%]]</f>
        <v>0.35501468736886277</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6455</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1096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1096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646</v>
      </c>
      <c r="AA105" s="200"/>
      <c r="AB105" s="234">
        <f ca="1">(TblConstr[[#This Row],[Tot Smi]]+TblConstr[[#This Row],[Dest Smi]])/(TblConstr[[#This Row],[Land]]-TblExplore[[#This Row],[Land Bonus]]*20)</f>
        <v>0</v>
      </c>
      <c r="AC105" s="178"/>
      <c r="AD105" s="318">
        <f>TblMili[[#This Row],[Hour]]</f>
        <v>102</v>
      </c>
      <c r="AE105" s="179">
        <f ca="1">TblExplore[[#This Row],[Time]]</f>
        <v>44347.208333333088</v>
      </c>
      <c r="AF105" s="232"/>
      <c r="AG105" s="232"/>
      <c r="AH105" s="232"/>
      <c r="AI105" s="232"/>
      <c r="AJ105" s="232"/>
      <c r="AK105" s="232"/>
      <c r="AL105" s="232"/>
      <c r="AM105" s="184"/>
      <c r="AN105" s="113">
        <f ca="1">TblProd[[#This Row],[Platinum]]</f>
        <v>655232</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44347.208333333088</v>
      </c>
      <c r="AT105" s="113">
        <f ca="1">TblMili[[#This Row],[Draftees]]</f>
        <v>646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0.4</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846</v>
      </c>
      <c r="C106" s="203">
        <f ca="1">TblPop[[#This Row],[Military%]]</f>
        <v>0.35501468736886277</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6455</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1096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1096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646</v>
      </c>
      <c r="AA106" s="200"/>
      <c r="AB106" s="234">
        <f ca="1">(TblConstr[[#This Row],[Tot Smi]]+TblConstr[[#This Row],[Dest Smi]])/(TblConstr[[#This Row],[Land]]-TblExplore[[#This Row],[Land Bonus]]*20)</f>
        <v>0</v>
      </c>
      <c r="AC106" s="178"/>
      <c r="AD106" s="318">
        <f>TblMili[[#This Row],[Hour]]</f>
        <v>103</v>
      </c>
      <c r="AE106" s="179">
        <f ca="1">TblExplore[[#This Row],[Time]]</f>
        <v>44347.249999999753</v>
      </c>
      <c r="AF106" s="232"/>
      <c r="AG106" s="232"/>
      <c r="AH106" s="232"/>
      <c r="AI106" s="232"/>
      <c r="AJ106" s="232"/>
      <c r="AK106" s="232"/>
      <c r="AL106" s="232"/>
      <c r="AM106" s="184"/>
      <c r="AN106" s="113">
        <f ca="1">TblProd[[#This Row],[Platinum]]</f>
        <v>660731</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44347.249999999753</v>
      </c>
      <c r="AT106" s="113">
        <f ca="1">TblMili[[#This Row],[Draftees]]</f>
        <v>646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0.4</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846</v>
      </c>
      <c r="C107" s="203">
        <f ca="1">TblPop[[#This Row],[Military%]]</f>
        <v>0.35501468736886277</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6455</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1096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1096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646</v>
      </c>
      <c r="AA107" s="200"/>
      <c r="AB107" s="234">
        <f ca="1">(TblConstr[[#This Row],[Tot Smi]]+TblConstr[[#This Row],[Dest Smi]])/(TblConstr[[#This Row],[Land]]-TblExplore[[#This Row],[Land Bonus]]*20)</f>
        <v>0</v>
      </c>
      <c r="AC107" s="178"/>
      <c r="AD107" s="318">
        <f>TblMili[[#This Row],[Hour]]</f>
        <v>104</v>
      </c>
      <c r="AE107" s="179">
        <f ca="1">TblExplore[[#This Row],[Time]]</f>
        <v>44347.291666666417</v>
      </c>
      <c r="AF107" s="232"/>
      <c r="AG107" s="232"/>
      <c r="AH107" s="232"/>
      <c r="AI107" s="232"/>
      <c r="AJ107" s="232"/>
      <c r="AK107" s="232"/>
      <c r="AL107" s="232"/>
      <c r="AM107" s="184"/>
      <c r="AN107" s="113">
        <f ca="1">TblProd[[#This Row],[Platinum]]</f>
        <v>666230</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44347.291666666417</v>
      </c>
      <c r="AT107" s="113">
        <f ca="1">TblMili[[#This Row],[Draftees]]</f>
        <v>646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0.4</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846</v>
      </c>
      <c r="C108" s="203">
        <f ca="1">TblPop[[#This Row],[Military%]]</f>
        <v>0.35501468736886277</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6455</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1096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1096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646</v>
      </c>
      <c r="AA108" s="200"/>
      <c r="AB108" s="234">
        <f ca="1">(TblConstr[[#This Row],[Tot Smi]]+TblConstr[[#This Row],[Dest Smi]])/(TblConstr[[#This Row],[Land]]-TblExplore[[#This Row],[Land Bonus]]*20)</f>
        <v>0</v>
      </c>
      <c r="AC108" s="178"/>
      <c r="AD108" s="318">
        <f>TblMili[[#This Row],[Hour]]</f>
        <v>105</v>
      </c>
      <c r="AE108" s="179">
        <f ca="1">TblExplore[[#This Row],[Time]]</f>
        <v>44347.333333333081</v>
      </c>
      <c r="AF108" s="232"/>
      <c r="AG108" s="232"/>
      <c r="AH108" s="232"/>
      <c r="AI108" s="232"/>
      <c r="AJ108" s="232"/>
      <c r="AK108" s="232"/>
      <c r="AL108" s="232"/>
      <c r="AM108" s="184"/>
      <c r="AN108" s="113">
        <f ca="1">TblProd[[#This Row],[Platinum]]</f>
        <v>671729</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44347.333333333081</v>
      </c>
      <c r="AT108" s="113">
        <f ca="1">TblMili[[#This Row],[Draftees]]</f>
        <v>646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0.4</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846</v>
      </c>
      <c r="C109" s="203">
        <f ca="1">TblPop[[#This Row],[Military%]]</f>
        <v>0.35501468736886277</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6455</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1096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1096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646</v>
      </c>
      <c r="AA109" s="200"/>
      <c r="AB109" s="234">
        <f ca="1">(TblConstr[[#This Row],[Tot Smi]]+TblConstr[[#This Row],[Dest Smi]])/(TblConstr[[#This Row],[Land]]-TblExplore[[#This Row],[Land Bonus]]*20)</f>
        <v>0</v>
      </c>
      <c r="AC109" s="178"/>
      <c r="AD109" s="318">
        <f>TblMili[[#This Row],[Hour]]</f>
        <v>106</v>
      </c>
      <c r="AE109" s="179">
        <f ca="1">TblExplore[[#This Row],[Time]]</f>
        <v>44347.374999999745</v>
      </c>
      <c r="AF109" s="232"/>
      <c r="AG109" s="232"/>
      <c r="AH109" s="232"/>
      <c r="AI109" s="232"/>
      <c r="AJ109" s="232"/>
      <c r="AK109" s="232"/>
      <c r="AL109" s="232"/>
      <c r="AM109" s="184"/>
      <c r="AN109" s="113">
        <f ca="1">TblProd[[#This Row],[Platinum]]</f>
        <v>677228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44347.374999999745</v>
      </c>
      <c r="AT109" s="113">
        <f ca="1">TblMili[[#This Row],[Draftees]]</f>
        <v>646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0.4</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846</v>
      </c>
      <c r="C110" s="203">
        <f ca="1">TblPop[[#This Row],[Military%]]</f>
        <v>0.35501468736886277</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6455</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1096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1096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646</v>
      </c>
      <c r="AA110" s="200"/>
      <c r="AB110" s="234">
        <f ca="1">(TblConstr[[#This Row],[Tot Smi]]+TblConstr[[#This Row],[Dest Smi]])/(TblConstr[[#This Row],[Land]]-TblExplore[[#This Row],[Land Bonus]]*20)</f>
        <v>0</v>
      </c>
      <c r="AC110" s="178"/>
      <c r="AD110" s="318">
        <f>TblMili[[#This Row],[Hour]]</f>
        <v>107</v>
      </c>
      <c r="AE110" s="179">
        <f ca="1">TblExplore[[#This Row],[Time]]</f>
        <v>44347.41666666641</v>
      </c>
      <c r="AF110" s="232"/>
      <c r="AG110" s="232"/>
      <c r="AH110" s="232"/>
      <c r="AI110" s="232"/>
      <c r="AJ110" s="232"/>
      <c r="AK110" s="232"/>
      <c r="AL110" s="232"/>
      <c r="AM110" s="184"/>
      <c r="AN110" s="113">
        <f ca="1">TblProd[[#This Row],[Platinum]]</f>
        <v>682727</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44347.41666666641</v>
      </c>
      <c r="AT110" s="113">
        <f ca="1">TblMili[[#This Row],[Draftees]]</f>
        <v>646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0.4</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846</v>
      </c>
      <c r="C111" s="203">
        <f ca="1">TblPop[[#This Row],[Military%]]</f>
        <v>0.35501468736886277</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6455</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1096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1096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646</v>
      </c>
      <c r="AA111" s="200"/>
      <c r="AB111" s="234">
        <f ca="1">(TblConstr[[#This Row],[Tot Smi]]+TblConstr[[#This Row],[Dest Smi]])/(TblConstr[[#This Row],[Land]]-TblExplore[[#This Row],[Land Bonus]]*20)</f>
        <v>0</v>
      </c>
      <c r="AC111" s="178"/>
      <c r="AD111" s="318">
        <f>TblMili[[#This Row],[Hour]]</f>
        <v>108</v>
      </c>
      <c r="AE111" s="179">
        <f ca="1">TblExplore[[#This Row],[Time]]</f>
        <v>44347.458333333074</v>
      </c>
      <c r="AF111" s="232"/>
      <c r="AG111" s="232"/>
      <c r="AH111" s="232"/>
      <c r="AI111" s="232"/>
      <c r="AJ111" s="232"/>
      <c r="AK111" s="232"/>
      <c r="AL111" s="232"/>
      <c r="AM111" s="184"/>
      <c r="AN111" s="113">
        <f ca="1">TblProd[[#This Row],[Platinum]]</f>
        <v>688226</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44347.458333333074</v>
      </c>
      <c r="AT111" s="113">
        <f ca="1">TblMili[[#This Row],[Draftees]]</f>
        <v>646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0.4</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846</v>
      </c>
      <c r="C112" s="203">
        <f ca="1">TblPop[[#This Row],[Military%]]</f>
        <v>0.35501468736886277</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6455</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1096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1096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646</v>
      </c>
      <c r="AA112" s="200"/>
      <c r="AB112" s="234">
        <f ca="1">(TblConstr[[#This Row],[Tot Smi]]+TblConstr[[#This Row],[Dest Smi]])/(TblConstr[[#This Row],[Land]]-TblExplore[[#This Row],[Land Bonus]]*20)</f>
        <v>0</v>
      </c>
      <c r="AC112" s="178"/>
      <c r="AD112" s="318">
        <f>TblMili[[#This Row],[Hour]]</f>
        <v>109</v>
      </c>
      <c r="AE112" s="179">
        <f ca="1">TblExplore[[#This Row],[Time]]</f>
        <v>44347.499999999738</v>
      </c>
      <c r="AF112" s="232"/>
      <c r="AG112" s="232"/>
      <c r="AH112" s="232"/>
      <c r="AI112" s="232"/>
      <c r="AJ112" s="232"/>
      <c r="AK112" s="232"/>
      <c r="AL112" s="232"/>
      <c r="AM112" s="184"/>
      <c r="AN112" s="113">
        <f ca="1">TblProd[[#This Row],[Platinum]]</f>
        <v>693725</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44347.499999999738</v>
      </c>
      <c r="AT112" s="113">
        <f ca="1">TblMili[[#This Row],[Draftees]]</f>
        <v>646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0.4</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846</v>
      </c>
      <c r="C113" s="203">
        <f ca="1">TblPop[[#This Row],[Military%]]</f>
        <v>0.35501468736886277</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6455</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1096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1096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646</v>
      </c>
      <c r="AA113" s="200"/>
      <c r="AB113" s="234">
        <f ca="1">(TblConstr[[#This Row],[Tot Smi]]+TblConstr[[#This Row],[Dest Smi]])/(TblConstr[[#This Row],[Land]]-TblExplore[[#This Row],[Land Bonus]]*20)</f>
        <v>0</v>
      </c>
      <c r="AC113" s="178"/>
      <c r="AD113" s="318">
        <f>TblMili[[#This Row],[Hour]]</f>
        <v>110</v>
      </c>
      <c r="AE113" s="179">
        <f ca="1">TblExplore[[#This Row],[Time]]</f>
        <v>44347.541666666402</v>
      </c>
      <c r="AF113" s="232"/>
      <c r="AG113" s="232"/>
      <c r="AH113" s="232"/>
      <c r="AI113" s="232"/>
      <c r="AJ113" s="232"/>
      <c r="AK113" s="232"/>
      <c r="AL113" s="232"/>
      <c r="AM113" s="184"/>
      <c r="AN113" s="113">
        <f ca="1">TblProd[[#This Row],[Platinum]]</f>
        <v>699224</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44347.541666666402</v>
      </c>
      <c r="AT113" s="113">
        <f ca="1">TblMili[[#This Row],[Draftees]]</f>
        <v>646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0.4</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846</v>
      </c>
      <c r="C114" s="203">
        <f ca="1">TblPop[[#This Row],[Military%]]</f>
        <v>0.35501468736886277</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6455</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1096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1096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646</v>
      </c>
      <c r="AA114" s="200"/>
      <c r="AB114" s="234">
        <f ca="1">(TblConstr[[#This Row],[Tot Smi]]+TblConstr[[#This Row],[Dest Smi]])/(TblConstr[[#This Row],[Land]]-TblExplore[[#This Row],[Land Bonus]]*20)</f>
        <v>0</v>
      </c>
      <c r="AC114" s="178"/>
      <c r="AD114" s="318">
        <f>TblMili[[#This Row],[Hour]]</f>
        <v>111</v>
      </c>
      <c r="AE114" s="179">
        <f ca="1">TblExplore[[#This Row],[Time]]</f>
        <v>44347.583333333067</v>
      </c>
      <c r="AF114" s="232"/>
      <c r="AG114" s="232"/>
      <c r="AH114" s="232"/>
      <c r="AI114" s="232"/>
      <c r="AJ114" s="232"/>
      <c r="AK114" s="232"/>
      <c r="AL114" s="232"/>
      <c r="AM114" s="184"/>
      <c r="AN114" s="113">
        <f ca="1">TblProd[[#This Row],[Platinum]]</f>
        <v>704723</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44347.583333333067</v>
      </c>
      <c r="AT114" s="113">
        <f ca="1">TblMili[[#This Row],[Draftees]]</f>
        <v>646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0.4</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846</v>
      </c>
      <c r="C115" s="203">
        <f ca="1">TblPop[[#This Row],[Military%]]</f>
        <v>0.35501468736886277</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6455</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1096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1096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646</v>
      </c>
      <c r="AA115" s="200"/>
      <c r="AB115" s="234">
        <f ca="1">(TblConstr[[#This Row],[Tot Smi]]+TblConstr[[#This Row],[Dest Smi]])/(TblConstr[[#This Row],[Land]]-TblExplore[[#This Row],[Land Bonus]]*20)</f>
        <v>0</v>
      </c>
      <c r="AC115" s="178"/>
      <c r="AD115" s="318">
        <f>TblMili[[#This Row],[Hour]]</f>
        <v>112</v>
      </c>
      <c r="AE115" s="179">
        <f ca="1">TblExplore[[#This Row],[Time]]</f>
        <v>44347.624999999731</v>
      </c>
      <c r="AF115" s="232"/>
      <c r="AG115" s="232"/>
      <c r="AH115" s="232"/>
      <c r="AI115" s="232"/>
      <c r="AJ115" s="232"/>
      <c r="AK115" s="232"/>
      <c r="AL115" s="232"/>
      <c r="AM115" s="184"/>
      <c r="AN115" s="113">
        <f ca="1">TblProd[[#This Row],[Platinum]]</f>
        <v>710222</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44347.624999999731</v>
      </c>
      <c r="AT115" s="113">
        <f ca="1">TblMili[[#This Row],[Draftees]]</f>
        <v>646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0.4</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846</v>
      </c>
      <c r="C116" s="203">
        <f ca="1">TblPop[[#This Row],[Military%]]</f>
        <v>0.35501468736886277</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6455</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1096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1096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646</v>
      </c>
      <c r="AA116" s="200"/>
      <c r="AB116" s="234">
        <f ca="1">(TblConstr[[#This Row],[Tot Smi]]+TblConstr[[#This Row],[Dest Smi]])/(TblConstr[[#This Row],[Land]]-TblExplore[[#This Row],[Land Bonus]]*20)</f>
        <v>0</v>
      </c>
      <c r="AC116" s="178"/>
      <c r="AD116" s="318">
        <f>TblMili[[#This Row],[Hour]]</f>
        <v>113</v>
      </c>
      <c r="AE116" s="179">
        <f ca="1">TblExplore[[#This Row],[Time]]</f>
        <v>44347.666666666395</v>
      </c>
      <c r="AF116" s="232"/>
      <c r="AG116" s="232"/>
      <c r="AH116" s="232"/>
      <c r="AI116" s="232"/>
      <c r="AJ116" s="232"/>
      <c r="AK116" s="232"/>
      <c r="AL116" s="232"/>
      <c r="AM116" s="184"/>
      <c r="AN116" s="113">
        <f ca="1">TblProd[[#This Row],[Platinum]]</f>
        <v>715721</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44347.666666666395</v>
      </c>
      <c r="AT116" s="113">
        <f ca="1">TblMili[[#This Row],[Draftees]]</f>
        <v>646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0.4</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846</v>
      </c>
      <c r="C117" s="203">
        <f ca="1">TblPop[[#This Row],[Military%]]</f>
        <v>0.35501468736886277</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6455</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1096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1096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646</v>
      </c>
      <c r="AA117" s="200"/>
      <c r="AB117" s="234">
        <f ca="1">(TblConstr[[#This Row],[Tot Smi]]+TblConstr[[#This Row],[Dest Smi]])/(TblConstr[[#This Row],[Land]]-TblExplore[[#This Row],[Land Bonus]]*20)</f>
        <v>0</v>
      </c>
      <c r="AC117" s="178"/>
      <c r="AD117" s="318">
        <f>TblMili[[#This Row],[Hour]]</f>
        <v>114</v>
      </c>
      <c r="AE117" s="179">
        <f ca="1">TblExplore[[#This Row],[Time]]</f>
        <v>44347.708333333059</v>
      </c>
      <c r="AF117" s="232"/>
      <c r="AG117" s="232"/>
      <c r="AH117" s="232"/>
      <c r="AI117" s="232"/>
      <c r="AJ117" s="232"/>
      <c r="AK117" s="232"/>
      <c r="AL117" s="232"/>
      <c r="AM117" s="184"/>
      <c r="AN117" s="113">
        <f ca="1">TblProd[[#This Row],[Platinum]]</f>
        <v>721220</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44347.708333333059</v>
      </c>
      <c r="AT117" s="113">
        <f ca="1">TblMili[[#This Row],[Draftees]]</f>
        <v>646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0.4</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846</v>
      </c>
      <c r="C118" s="203">
        <f ca="1">TblPop[[#This Row],[Military%]]</f>
        <v>0.35501468736886277</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6455</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1096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1096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646</v>
      </c>
      <c r="AA118" s="200"/>
      <c r="AB118" s="234">
        <f ca="1">(TblConstr[[#This Row],[Tot Smi]]+TblConstr[[#This Row],[Dest Smi]])/(TblConstr[[#This Row],[Land]]-TblExplore[[#This Row],[Land Bonus]]*20)</f>
        <v>0</v>
      </c>
      <c r="AC118" s="178"/>
      <c r="AD118" s="318">
        <f>TblMili[[#This Row],[Hour]]</f>
        <v>115</v>
      </c>
      <c r="AE118" s="179">
        <f ca="1">TblExplore[[#This Row],[Time]]</f>
        <v>44347.749999999724</v>
      </c>
      <c r="AF118" s="232"/>
      <c r="AG118" s="232"/>
      <c r="AH118" s="232"/>
      <c r="AI118" s="232"/>
      <c r="AJ118" s="232"/>
      <c r="AK118" s="232"/>
      <c r="AL118" s="232"/>
      <c r="AM118" s="184"/>
      <c r="AN118" s="113">
        <f ca="1">TblProd[[#This Row],[Platinum]]</f>
        <v>726719</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44347.749999999724</v>
      </c>
      <c r="AT118" s="113">
        <f ca="1">TblMili[[#This Row],[Draftees]]</f>
        <v>646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0.4</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846</v>
      </c>
      <c r="C119" s="203">
        <f ca="1">TblPop[[#This Row],[Military%]]</f>
        <v>0.35501468736886277</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6455</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1096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1096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646</v>
      </c>
      <c r="AA119" s="200"/>
      <c r="AB119" s="234">
        <f ca="1">(TblConstr[[#This Row],[Tot Smi]]+TblConstr[[#This Row],[Dest Smi]])/(TblConstr[[#This Row],[Land]]-TblExplore[[#This Row],[Land Bonus]]*20)</f>
        <v>0</v>
      </c>
      <c r="AC119" s="178"/>
      <c r="AD119" s="318">
        <f>TblMili[[#This Row],[Hour]]</f>
        <v>116</v>
      </c>
      <c r="AE119" s="179">
        <f ca="1">TblExplore[[#This Row],[Time]]</f>
        <v>44347.791666666388</v>
      </c>
      <c r="AF119" s="232"/>
      <c r="AG119" s="232"/>
      <c r="AH119" s="232"/>
      <c r="AI119" s="232"/>
      <c r="AJ119" s="232"/>
      <c r="AK119" s="232"/>
      <c r="AL119" s="232"/>
      <c r="AM119" s="184"/>
      <c r="AN119" s="113">
        <f ca="1">TblProd[[#This Row],[Platinum]]</f>
        <v>732218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44347.791666666388</v>
      </c>
      <c r="AT119" s="113">
        <f ca="1">TblMili[[#This Row],[Draftees]]</f>
        <v>646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0.4</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846</v>
      </c>
      <c r="C120" s="203">
        <f ca="1">TblPop[[#This Row],[Military%]]</f>
        <v>0.35501468736886277</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6455</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1096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1096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646</v>
      </c>
      <c r="AA120" s="200"/>
      <c r="AB120" s="234">
        <f ca="1">(TblConstr[[#This Row],[Tot Smi]]+TblConstr[[#This Row],[Dest Smi]])/(TblConstr[[#This Row],[Land]]-TblExplore[[#This Row],[Land Bonus]]*20)</f>
        <v>0</v>
      </c>
      <c r="AC120" s="178"/>
      <c r="AD120" s="318">
        <f>TblMili[[#This Row],[Hour]]</f>
        <v>117</v>
      </c>
      <c r="AE120" s="179">
        <f ca="1">TblExplore[[#This Row],[Time]]</f>
        <v>44347.833333333052</v>
      </c>
      <c r="AF120" s="232"/>
      <c r="AG120" s="232"/>
      <c r="AH120" s="232"/>
      <c r="AI120" s="232"/>
      <c r="AJ120" s="232"/>
      <c r="AK120" s="232"/>
      <c r="AL120" s="232"/>
      <c r="AM120" s="184"/>
      <c r="AN120" s="113">
        <f ca="1">TblProd[[#This Row],[Platinum]]</f>
        <v>737717</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44347.833333333052</v>
      </c>
      <c r="AT120" s="113">
        <f ca="1">TblMili[[#This Row],[Draftees]]</f>
        <v>646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0.4</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846</v>
      </c>
      <c r="C121" s="203">
        <f ca="1">TblPop[[#This Row],[Military%]]</f>
        <v>0.35501468736886277</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6455</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1096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1096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646</v>
      </c>
      <c r="AA121" s="200"/>
      <c r="AB121" s="234">
        <f ca="1">(TblConstr[[#This Row],[Tot Smi]]+TblConstr[[#This Row],[Dest Smi]])/(TblConstr[[#This Row],[Land]]-TblExplore[[#This Row],[Land Bonus]]*20)</f>
        <v>0</v>
      </c>
      <c r="AC121" s="178"/>
      <c r="AD121" s="318">
        <f>TblMili[[#This Row],[Hour]]</f>
        <v>118</v>
      </c>
      <c r="AE121" s="179">
        <f ca="1">TblExplore[[#This Row],[Time]]</f>
        <v>44347.874999999716</v>
      </c>
      <c r="AF121" s="232"/>
      <c r="AG121" s="232"/>
      <c r="AH121" s="232"/>
      <c r="AI121" s="232"/>
      <c r="AJ121" s="232"/>
      <c r="AK121" s="232"/>
      <c r="AL121" s="232"/>
      <c r="AM121" s="184"/>
      <c r="AN121" s="113">
        <f ca="1">TblProd[[#This Row],[Platinum]]</f>
        <v>743216</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44347.874999999716</v>
      </c>
      <c r="AT121" s="113">
        <f ca="1">TblMili[[#This Row],[Draftees]]</f>
        <v>646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0.4</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846</v>
      </c>
      <c r="C122" s="203">
        <f ca="1">TblPop[[#This Row],[Military%]]</f>
        <v>0.35501468736886277</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6455</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1096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1096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646</v>
      </c>
      <c r="AA122" s="200"/>
      <c r="AB122" s="234">
        <f ca="1">(TblConstr[[#This Row],[Tot Smi]]+TblConstr[[#This Row],[Dest Smi]])/(TblConstr[[#This Row],[Land]]-TblExplore[[#This Row],[Land Bonus]]*20)</f>
        <v>0</v>
      </c>
      <c r="AC122" s="178"/>
      <c r="AD122" s="318">
        <f>TblMili[[#This Row],[Hour]]</f>
        <v>119</v>
      </c>
      <c r="AE122" s="179">
        <f ca="1">TblExplore[[#This Row],[Time]]</f>
        <v>44347.91666666638</v>
      </c>
      <c r="AF122" s="232"/>
      <c r="AG122" s="232"/>
      <c r="AH122" s="232"/>
      <c r="AI122" s="232"/>
      <c r="AJ122" s="232"/>
      <c r="AK122" s="232"/>
      <c r="AL122" s="232"/>
      <c r="AM122" s="184"/>
      <c r="AN122" s="113">
        <f ca="1">TblProd[[#This Row],[Platinum]]</f>
        <v>748715</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44347.91666666638</v>
      </c>
      <c r="AT122" s="113">
        <f ca="1">TblMili[[#This Row],[Draftees]]</f>
        <v>646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0.4</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846</v>
      </c>
      <c r="C123" s="203">
        <f ca="1">TblPop[[#This Row],[Military%]]</f>
        <v>0.35501468736886277</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6455</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1096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1096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646</v>
      </c>
      <c r="AA123" s="200"/>
      <c r="AB123" s="234">
        <f ca="1">(TblConstr[[#This Row],[Tot Smi]]+TblConstr[[#This Row],[Dest Smi]])/(TblConstr[[#This Row],[Land]]-TblExplore[[#This Row],[Land Bonus]]*20)</f>
        <v>0</v>
      </c>
      <c r="AC123" s="178"/>
      <c r="AD123" s="318">
        <f>TblMili[[#This Row],[Hour]]</f>
        <v>120</v>
      </c>
      <c r="AE123" s="179">
        <f ca="1">TblExplore[[#This Row],[Time]]</f>
        <v>44347.958333333045</v>
      </c>
      <c r="AF123" s="232"/>
      <c r="AG123" s="232"/>
      <c r="AH123" s="232"/>
      <c r="AI123" s="232"/>
      <c r="AJ123" s="232"/>
      <c r="AK123" s="232"/>
      <c r="AL123" s="232"/>
      <c r="AM123" s="184"/>
      <c r="AN123" s="113">
        <f ca="1">TblProd[[#This Row],[Platinum]]</f>
        <v>754214</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44347.958333333045</v>
      </c>
      <c r="AT123" s="113">
        <f ca="1">TblMili[[#This Row],[Draftees]]</f>
        <v>646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0.4</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846</v>
      </c>
      <c r="C124" s="203">
        <f ca="1">TblPop[[#This Row],[Military%]]</f>
        <v>0.35501468736886277</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6455</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1096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1096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646</v>
      </c>
      <c r="AA124" s="200"/>
      <c r="AB124" s="234">
        <f ca="1">(TblConstr[[#This Row],[Tot Smi]]+TblConstr[[#This Row],[Dest Smi]])/(TblConstr[[#This Row],[Land]]-TblExplore[[#This Row],[Land Bonus]]*20)</f>
        <v>0</v>
      </c>
      <c r="AC124" s="328"/>
      <c r="AD124" s="329">
        <f>TblMili[[#This Row],[Hour]]</f>
        <v>121</v>
      </c>
      <c r="AE124" s="179">
        <f ca="1">TblExplore[[#This Row],[Time]]</f>
        <v>44347.999999999709</v>
      </c>
      <c r="AF124" s="232"/>
      <c r="AG124" s="232"/>
      <c r="AH124" s="232"/>
      <c r="AI124" s="232"/>
      <c r="AJ124" s="232"/>
      <c r="AK124" s="232"/>
      <c r="AL124" s="232"/>
      <c r="AM124" s="184"/>
      <c r="AN124" s="113">
        <f ca="1">TblProd[[#This Row],[Platinum]]</f>
        <v>759713</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44347.999999999709</v>
      </c>
      <c r="AT124" s="113">
        <f ca="1">TblMili[[#This Row],[Draftees]]</f>
        <v>646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0.4</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846</v>
      </c>
      <c r="C125" s="203">
        <f ca="1">TblPop[[#This Row],[Military%]]</f>
        <v>0.35501468736886277</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6455</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1096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1096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646</v>
      </c>
      <c r="AA125" s="200"/>
      <c r="AB125" s="234">
        <f ca="1">(TblConstr[[#This Row],[Tot Smi]]+TblConstr[[#This Row],[Dest Smi]])/(TblConstr[[#This Row],[Land]]-TblExplore[[#This Row],[Land Bonus]]*20)</f>
        <v>0</v>
      </c>
      <c r="AC125" s="178"/>
      <c r="AD125" s="318">
        <f>TblMili[[#This Row],[Hour]]</f>
        <v>122</v>
      </c>
      <c r="AE125" s="179">
        <f ca="1">TblExplore[[#This Row],[Time]]</f>
        <v>44348.041666666373</v>
      </c>
      <c r="AF125" s="204"/>
      <c r="AG125" s="232"/>
      <c r="AH125" s="204"/>
      <c r="AI125" s="232"/>
      <c r="AJ125" s="232"/>
      <c r="AK125" s="232"/>
      <c r="AL125" s="232"/>
      <c r="AM125" s="184"/>
      <c r="AN125" s="113">
        <f ca="1">TblProd[[#This Row],[Platinum]]</f>
        <v>765212</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44348.041666666373</v>
      </c>
      <c r="AT125" s="113">
        <f ca="1">TblMili[[#This Row],[Draftees]]</f>
        <v>646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0.4</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846</v>
      </c>
      <c r="C126" s="203">
        <f ca="1">TblPop[[#This Row],[Military%]]</f>
        <v>0.35501468736886277</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6455</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1096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1096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646</v>
      </c>
      <c r="AA126" s="200"/>
      <c r="AB126" s="234">
        <f ca="1">(TblConstr[[#This Row],[Tot Smi]]+TblConstr[[#This Row],[Dest Smi]])/(TblConstr[[#This Row],[Land]]-TblExplore[[#This Row],[Land Bonus]]*20)</f>
        <v>0</v>
      </c>
      <c r="AC126" s="178"/>
      <c r="AD126" s="318">
        <f>TblMili[[#This Row],[Hour]]</f>
        <v>123</v>
      </c>
      <c r="AE126" s="179">
        <f ca="1">TblExplore[[#This Row],[Time]]</f>
        <v>44348.083333333037</v>
      </c>
      <c r="AF126" s="232"/>
      <c r="AG126" s="232"/>
      <c r="AH126" s="232"/>
      <c r="AI126" s="232"/>
      <c r="AJ126" s="232"/>
      <c r="AK126" s="232"/>
      <c r="AL126" s="232"/>
      <c r="AM126" s="184"/>
      <c r="AN126" s="113">
        <f ca="1">TblProd[[#This Row],[Platinum]]</f>
        <v>770711</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44348.083333333037</v>
      </c>
      <c r="AT126" s="113">
        <f ca="1">TblMili[[#This Row],[Draftees]]</f>
        <v>646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0.4</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846</v>
      </c>
      <c r="C127" s="203">
        <f ca="1">TblPop[[#This Row],[Military%]]</f>
        <v>0.35501468736886277</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6455</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1096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1096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646</v>
      </c>
      <c r="AA127" s="200"/>
      <c r="AB127" s="234">
        <f ca="1">(TblConstr[[#This Row],[Tot Smi]]+TblConstr[[#This Row],[Dest Smi]])/(TblConstr[[#This Row],[Land]]-TblExplore[[#This Row],[Land Bonus]]*20)</f>
        <v>0</v>
      </c>
      <c r="AC127" s="178"/>
      <c r="AD127" s="318">
        <f>TblMili[[#This Row],[Hour]]</f>
        <v>124</v>
      </c>
      <c r="AE127" s="179">
        <f ca="1">TblExplore[[#This Row],[Time]]</f>
        <v>44348.124999999702</v>
      </c>
      <c r="AF127" s="232"/>
      <c r="AG127" s="232"/>
      <c r="AH127" s="232"/>
      <c r="AI127" s="232"/>
      <c r="AJ127" s="232"/>
      <c r="AK127" s="232"/>
      <c r="AL127" s="232"/>
      <c r="AM127" s="184"/>
      <c r="AN127" s="113">
        <f ca="1">TblProd[[#This Row],[Platinum]]</f>
        <v>776210</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44348.124999999702</v>
      </c>
      <c r="AT127" s="113">
        <f ca="1">TblMili[[#This Row],[Draftees]]</f>
        <v>646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0.4</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846</v>
      </c>
      <c r="C128" s="203">
        <f ca="1">TblPop[[#This Row],[Military%]]</f>
        <v>0.35501468736886277</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6455</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1096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1096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646</v>
      </c>
      <c r="AA128" s="200"/>
      <c r="AB128" s="234">
        <f ca="1">(TblConstr[[#This Row],[Tot Smi]]+TblConstr[[#This Row],[Dest Smi]])/(TblConstr[[#This Row],[Land]]-TblExplore[[#This Row],[Land Bonus]]*20)</f>
        <v>0</v>
      </c>
      <c r="AC128" s="178"/>
      <c r="AD128" s="318">
        <f>TblMili[[#This Row],[Hour]]</f>
        <v>125</v>
      </c>
      <c r="AE128" s="179">
        <f ca="1">TblExplore[[#This Row],[Time]]</f>
        <v>44348.166666666366</v>
      </c>
      <c r="AF128" s="232"/>
      <c r="AG128" s="232"/>
      <c r="AH128" s="232"/>
      <c r="AI128" s="232"/>
      <c r="AJ128" s="232"/>
      <c r="AK128" s="232"/>
      <c r="AL128" s="232"/>
      <c r="AM128" s="184"/>
      <c r="AN128" s="113">
        <f ca="1">TblProd[[#This Row],[Platinum]]</f>
        <v>781709</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44348.166666666366</v>
      </c>
      <c r="AT128" s="113">
        <f ca="1">TblMili[[#This Row],[Draftees]]</f>
        <v>646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0.4</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846</v>
      </c>
      <c r="C129" s="203">
        <f ca="1">TblPop[[#This Row],[Military%]]</f>
        <v>0.35501468736886277</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6455</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1096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1096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646</v>
      </c>
      <c r="AA129" s="200"/>
      <c r="AB129" s="234">
        <f ca="1">(TblConstr[[#This Row],[Tot Smi]]+TblConstr[[#This Row],[Dest Smi]])/(TblConstr[[#This Row],[Land]]-TblExplore[[#This Row],[Land Bonus]]*20)</f>
        <v>0</v>
      </c>
      <c r="AC129" s="178"/>
      <c r="AD129" s="318">
        <f>TblMili[[#This Row],[Hour]]</f>
        <v>126</v>
      </c>
      <c r="AE129" s="179">
        <f ca="1">TblExplore[[#This Row],[Time]]</f>
        <v>44348.20833333303</v>
      </c>
      <c r="AF129" s="232"/>
      <c r="AG129" s="232"/>
      <c r="AH129" s="232"/>
      <c r="AI129" s="232"/>
      <c r="AJ129" s="232"/>
      <c r="AK129" s="232"/>
      <c r="AL129" s="232"/>
      <c r="AM129" s="184"/>
      <c r="AN129" s="113">
        <f ca="1">TblProd[[#This Row],[Platinum]]</f>
        <v>787208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44348.20833333303</v>
      </c>
      <c r="AT129" s="113">
        <f ca="1">TblMili[[#This Row],[Draftees]]</f>
        <v>646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0.4</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846</v>
      </c>
      <c r="C130" s="203">
        <f ca="1">TblPop[[#This Row],[Military%]]</f>
        <v>0.35501468736886277</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6455</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1096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1096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646</v>
      </c>
      <c r="AA130" s="200"/>
      <c r="AB130" s="234">
        <f ca="1">(TblConstr[[#This Row],[Tot Smi]]+TblConstr[[#This Row],[Dest Smi]])/(TblConstr[[#This Row],[Land]]-TblExplore[[#This Row],[Land Bonus]]*20)</f>
        <v>0</v>
      </c>
      <c r="AC130" s="178"/>
      <c r="AD130" s="318">
        <f>TblMili[[#This Row],[Hour]]</f>
        <v>127</v>
      </c>
      <c r="AE130" s="179">
        <f ca="1">TblExplore[[#This Row],[Time]]</f>
        <v>44348.249999999694</v>
      </c>
      <c r="AF130" s="232"/>
      <c r="AG130" s="232"/>
      <c r="AH130" s="232"/>
      <c r="AI130" s="232"/>
      <c r="AJ130" s="232"/>
      <c r="AK130" s="232"/>
      <c r="AL130" s="232"/>
      <c r="AM130" s="184"/>
      <c r="AN130" s="113">
        <f ca="1">TblProd[[#This Row],[Platinum]]</f>
        <v>792707</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44348.249999999694</v>
      </c>
      <c r="AT130" s="113">
        <f ca="1">TblMili[[#This Row],[Draftees]]</f>
        <v>646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0.4</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846</v>
      </c>
      <c r="C131" s="203">
        <f ca="1">TblPop[[#This Row],[Military%]]</f>
        <v>0.35501468736886277</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6455</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1096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1096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646</v>
      </c>
      <c r="AA131" s="200"/>
      <c r="AB131" s="234">
        <f ca="1">(TblConstr[[#This Row],[Tot Smi]]+TblConstr[[#This Row],[Dest Smi]])/(TblConstr[[#This Row],[Land]]-TblExplore[[#This Row],[Land Bonus]]*20)</f>
        <v>0</v>
      </c>
      <c r="AC131" s="178"/>
      <c r="AD131" s="318">
        <f>TblMili[[#This Row],[Hour]]</f>
        <v>128</v>
      </c>
      <c r="AE131" s="179">
        <f ca="1">TblExplore[[#This Row],[Time]]</f>
        <v>44348.291666666359</v>
      </c>
      <c r="AF131" s="232"/>
      <c r="AG131" s="232"/>
      <c r="AH131" s="232"/>
      <c r="AI131" s="232"/>
      <c r="AJ131" s="232"/>
      <c r="AK131" s="232"/>
      <c r="AL131" s="232"/>
      <c r="AM131" s="184"/>
      <c r="AN131" s="113">
        <f ca="1">TblProd[[#This Row],[Platinum]]</f>
        <v>798206</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44348.291666666359</v>
      </c>
      <c r="AT131" s="113">
        <f ca="1">TblMili[[#This Row],[Draftees]]</f>
        <v>646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0.4</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846</v>
      </c>
      <c r="C132" s="203">
        <f ca="1">TblPop[[#This Row],[Military%]]</f>
        <v>0.35501468736886277</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6455</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1096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1096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646</v>
      </c>
      <c r="AA132" s="200"/>
      <c r="AB132" s="234">
        <f ca="1">(TblConstr[[#This Row],[Tot Smi]]+TblConstr[[#This Row],[Dest Smi]])/(TblConstr[[#This Row],[Land]]-TblExplore[[#This Row],[Land Bonus]]*20)</f>
        <v>0</v>
      </c>
      <c r="AC132" s="178"/>
      <c r="AD132" s="318">
        <f>TblMili[[#This Row],[Hour]]</f>
        <v>129</v>
      </c>
      <c r="AE132" s="179">
        <f ca="1">TblExplore[[#This Row],[Time]]</f>
        <v>44348.333333333023</v>
      </c>
      <c r="AF132" s="232"/>
      <c r="AG132" s="232"/>
      <c r="AH132" s="232"/>
      <c r="AI132" s="232"/>
      <c r="AJ132" s="232"/>
      <c r="AK132" s="232"/>
      <c r="AL132" s="232"/>
      <c r="AM132" s="184"/>
      <c r="AN132" s="113">
        <f ca="1">TblProd[[#This Row],[Platinum]]</f>
        <v>803705</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44348.333333333023</v>
      </c>
      <c r="AT132" s="113">
        <f ca="1">TblMili[[#This Row],[Draftees]]</f>
        <v>646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0.4</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846</v>
      </c>
      <c r="C133" s="203">
        <f ca="1">TblPop[[#This Row],[Military%]]</f>
        <v>0.35501468736886277</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6455</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1096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1096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646</v>
      </c>
      <c r="AA133" s="200"/>
      <c r="AB133" s="234">
        <f ca="1">(TblConstr[[#This Row],[Tot Smi]]+TblConstr[[#This Row],[Dest Smi]])/(TblConstr[[#This Row],[Land]]-TblExplore[[#This Row],[Land Bonus]]*20)</f>
        <v>0</v>
      </c>
      <c r="AC133" s="178"/>
      <c r="AD133" s="318">
        <f>TblMili[[#This Row],[Hour]]</f>
        <v>130</v>
      </c>
      <c r="AE133" s="179">
        <f ca="1">TblExplore[[#This Row],[Time]]</f>
        <v>44348.374999999687</v>
      </c>
      <c r="AF133" s="232"/>
      <c r="AG133" s="232"/>
      <c r="AH133" s="232"/>
      <c r="AI133" s="232"/>
      <c r="AJ133" s="232"/>
      <c r="AK133" s="232"/>
      <c r="AL133" s="232"/>
      <c r="AM133" s="184"/>
      <c r="AN133" s="113">
        <f ca="1">TblProd[[#This Row],[Platinum]]</f>
        <v>809204</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44348.374999999687</v>
      </c>
      <c r="AT133" s="113">
        <f ca="1">TblMili[[#This Row],[Draftees]]</f>
        <v>646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0.4</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846</v>
      </c>
      <c r="C134" s="203">
        <f ca="1">TblPop[[#This Row],[Military%]]</f>
        <v>0.35501468736886277</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6455</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1096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1096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646</v>
      </c>
      <c r="AA134" s="200"/>
      <c r="AB134" s="234">
        <f ca="1">(TblConstr[[#This Row],[Tot Smi]]+TblConstr[[#This Row],[Dest Smi]])/(TblConstr[[#This Row],[Land]]-TblExplore[[#This Row],[Land Bonus]]*20)</f>
        <v>0</v>
      </c>
      <c r="AC134" s="178"/>
      <c r="AD134" s="318">
        <f>TblMili[[#This Row],[Hour]]</f>
        <v>131</v>
      </c>
      <c r="AE134" s="179">
        <f ca="1">TblExplore[[#This Row],[Time]]</f>
        <v>44348.416666666351</v>
      </c>
      <c r="AF134" s="232"/>
      <c r="AG134" s="232"/>
      <c r="AH134" s="232"/>
      <c r="AI134" s="232"/>
      <c r="AJ134" s="232"/>
      <c r="AK134" s="232"/>
      <c r="AL134" s="232"/>
      <c r="AM134" s="184"/>
      <c r="AN134" s="113">
        <f ca="1">TblProd[[#This Row],[Platinum]]</f>
        <v>814703</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44348.416666666351</v>
      </c>
      <c r="AT134" s="113">
        <f ca="1">TblMili[[#This Row],[Draftees]]</f>
        <v>646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0.4</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846</v>
      </c>
      <c r="C135" s="203">
        <f ca="1">TblPop[[#This Row],[Military%]]</f>
        <v>0.35501468736886277</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6455</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1096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1096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646</v>
      </c>
      <c r="AA135" s="200"/>
      <c r="AB135" s="234">
        <f ca="1">(TblConstr[[#This Row],[Tot Smi]]+TblConstr[[#This Row],[Dest Smi]])/(TblConstr[[#This Row],[Land]]-TblExplore[[#This Row],[Land Bonus]]*20)</f>
        <v>0</v>
      </c>
      <c r="AC135" s="178"/>
      <c r="AD135" s="318">
        <f>TblMili[[#This Row],[Hour]]</f>
        <v>132</v>
      </c>
      <c r="AE135" s="179">
        <f ca="1">TblExplore[[#This Row],[Time]]</f>
        <v>44348.458333333016</v>
      </c>
      <c r="AF135" s="232"/>
      <c r="AG135" s="232"/>
      <c r="AH135" s="232"/>
      <c r="AI135" s="232"/>
      <c r="AJ135" s="232"/>
      <c r="AK135" s="232"/>
      <c r="AL135" s="232"/>
      <c r="AM135" s="184"/>
      <c r="AN135" s="113">
        <f ca="1">TblProd[[#This Row],[Platinum]]</f>
        <v>820202</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44348.458333333016</v>
      </c>
      <c r="AT135" s="113">
        <f ca="1">TblMili[[#This Row],[Draftees]]</f>
        <v>646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0.4</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846</v>
      </c>
      <c r="C136" s="203">
        <f ca="1">TblPop[[#This Row],[Military%]]</f>
        <v>0.35501468736886277</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6455</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1096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1096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646</v>
      </c>
      <c r="AA136" s="200"/>
      <c r="AB136" s="234">
        <f ca="1">(TblConstr[[#This Row],[Tot Smi]]+TblConstr[[#This Row],[Dest Smi]])/(TblConstr[[#This Row],[Land]]-TblExplore[[#This Row],[Land Bonus]]*20)</f>
        <v>0</v>
      </c>
      <c r="AC136" s="318"/>
      <c r="AD136" s="318">
        <f>TblMili[[#This Row],[Hour]]</f>
        <v>133</v>
      </c>
      <c r="AE136" s="179">
        <f ca="1">TblExplore[[#This Row],[Time]]</f>
        <v>44348.49999999968</v>
      </c>
      <c r="AF136" s="232"/>
      <c r="AG136" s="204"/>
      <c r="AH136" s="232"/>
      <c r="AI136" s="204"/>
      <c r="AJ136" s="204"/>
      <c r="AK136" s="204"/>
      <c r="AL136" s="232"/>
      <c r="AM136" s="184"/>
      <c r="AN136" s="113">
        <f ca="1">TblProd[[#This Row],[Platinum]]</f>
        <v>825701</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44348.49999999968</v>
      </c>
      <c r="AT136" s="113">
        <f ca="1">TblMili[[#This Row],[Draftees]]</f>
        <v>646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0.4</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6455</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4" t="s">
        <v>327</v>
      </c>
      <c r="C1269" s="584"/>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1" priority="37" stopIfTrue="1">
      <formula>ROW()-2=#REF!</formula>
    </cfRule>
  </conditionalFormatting>
  <conditionalFormatting sqref="A1269:DB1270">
    <cfRule type="expression" dxfId="380" priority="38" stopIfTrue="1">
      <formula>$B$1270&gt;144</formula>
    </cfRule>
  </conditionalFormatting>
  <conditionalFormatting sqref="A4:DB136">
    <cfRule type="expression" dxfId="379" priority="1" stopIfTrue="1">
      <formula>ROW()-3=$B$1270</formula>
    </cfRule>
    <cfRule type="expression" dxfId="378" priority="2" stopIfTrue="1">
      <formula>OR(ROW()-3=$B$1270,A4&lt;0)</formula>
    </cfRule>
    <cfRule type="expression" dxfId="377" priority="35">
      <formula>$A4=73</formula>
    </cfRule>
  </conditionalFormatting>
  <conditionalFormatting sqref="A3:DB136">
    <cfRule type="expression" dxfId="376" priority="39">
      <formula>ROUND(($A3-1)/12,0)=INT($A3-1)/12</formula>
    </cfRule>
  </conditionalFormatting>
  <conditionalFormatting sqref="A1:XFD3">
    <cfRule type="expression" dxfId="375"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6"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6"/>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7"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20">
        <f>1-TblMagic[[#This Row],[Wiz str cost]]</f>
        <v>1</v>
      </c>
      <c r="E4" s="205">
        <f>Imps!L4</f>
        <v>44343</v>
      </c>
      <c r="F4" s="202">
        <f ca="1">TblImps[[#This Row],[Population]]</f>
        <v>0.67854113655640369</v>
      </c>
      <c r="G4" s="284"/>
      <c r="H4" s="284"/>
      <c r="I4" s="284"/>
      <c r="J4" s="284"/>
      <c r="K4" s="528"/>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 s="202">
        <f>SUMIF(TblMagic[[#This Row],[Gaia''s Watch]:[Useless spell]],1)*0.05</f>
        <v>0</v>
      </c>
      <c r="Y4" s="184"/>
      <c r="Z4" s="521">
        <f>TblMagic[[#This Row],[Gaia''s Watch]]*12</f>
        <v>0</v>
      </c>
      <c r="AA4" s="521">
        <f>TblMagic[[#This Row],[Mining Strength]]*12</f>
        <v>0</v>
      </c>
      <c r="AB4" s="521">
        <f>TblMagic[[#This Row],[Ares Call]]*12</f>
        <v>0</v>
      </c>
      <c r="AC4" s="521">
        <f>TblMagic[[#This Row],[Midas Touch]]*12</f>
        <v>0</v>
      </c>
      <c r="AD4" s="521">
        <f>TblMagic[[#This Row],[Harmony]]*12</f>
        <v>0</v>
      </c>
      <c r="AE4" s="521">
        <f>TblMagic[[#This Row],[Miner''s Sight]]*12</f>
        <v>0</v>
      </c>
      <c r="AF4" s="521">
        <f>TblMagic[[#This Row],[Mechanical Genius]]*12</f>
        <v>0</v>
      </c>
      <c r="AG4" s="521">
        <f>TblMagic[[#This Row],[Frenzy]]*12</f>
        <v>0</v>
      </c>
      <c r="AH4" s="521">
        <f>TblMagic[[#This Row],[Killing Rage / Bloodrage]]*12</f>
        <v>0</v>
      </c>
      <c r="AI4" s="521">
        <f>TblMagic[[#This Row],[Gaia''s Blessing]]*12</f>
        <v>0</v>
      </c>
      <c r="AJ4" s="521">
        <f>TblMagic[[#This Row],[Howling]]*12</f>
        <v>0</v>
      </c>
      <c r="AK4" s="521">
        <f>TblMagic[[#This Row],[Blizzard]]*12</f>
        <v>0</v>
      </c>
      <c r="AL4" s="521">
        <f>TblMagic[[#This Row],[Alchemists Flame]]*12</f>
        <v>0</v>
      </c>
      <c r="AM4" s="521">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44343.041666666664</v>
      </c>
      <c r="F5" s="202">
        <f ca="1">TblImps[[#This Row],[Population]]</f>
        <v>0.69214527027027029</v>
      </c>
      <c r="G5" s="284"/>
      <c r="H5" s="284"/>
      <c r="I5" s="284"/>
      <c r="J5" s="284"/>
      <c r="K5" s="528"/>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44343.083333333328</v>
      </c>
      <c r="F6" s="202">
        <f ca="1">TblImps[[#This Row],[Population]]</f>
        <v>0.70861486486486491</v>
      </c>
      <c r="G6" s="284"/>
      <c r="H6" s="284"/>
      <c r="I6" s="284"/>
      <c r="J6" s="284"/>
      <c r="K6" s="528"/>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44343.124999999993</v>
      </c>
      <c r="F7" s="202">
        <f ca="1">TblImps[[#This Row],[Population]]</f>
        <v>0.7255067567567568</v>
      </c>
      <c r="G7" s="284"/>
      <c r="H7" s="284"/>
      <c r="I7" s="284"/>
      <c r="J7" s="284"/>
      <c r="K7" s="528"/>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44343.166666666657</v>
      </c>
      <c r="F8" s="202">
        <f ca="1">TblImps[[#This Row],[Population]]</f>
        <v>0.74282094594594594</v>
      </c>
      <c r="G8" s="284"/>
      <c r="H8" s="284"/>
      <c r="I8" s="284"/>
      <c r="J8" s="284"/>
      <c r="K8" s="528"/>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44343.208333333321</v>
      </c>
      <c r="F9" s="202">
        <f ca="1">TblImps[[#This Row],[Population]]</f>
        <v>0.76055743243243246</v>
      </c>
      <c r="G9" s="284"/>
      <c r="H9" s="284"/>
      <c r="I9" s="284"/>
      <c r="J9" s="284"/>
      <c r="K9" s="528"/>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44343.249999999985</v>
      </c>
      <c r="F10" s="202">
        <f ca="1">TblImps[[#This Row],[Population]]</f>
        <v>0.77871621621621623</v>
      </c>
      <c r="G10" s="284"/>
      <c r="H10" s="284"/>
      <c r="I10" s="284"/>
      <c r="J10" s="284"/>
      <c r="K10" s="528"/>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44343.29166666665</v>
      </c>
      <c r="F11" s="202">
        <f ca="1">TblImps[[#This Row],[Population]]</f>
        <v>0.796875</v>
      </c>
      <c r="G11" s="284"/>
      <c r="H11" s="284"/>
      <c r="I11" s="284"/>
      <c r="J11" s="284"/>
      <c r="K11" s="528"/>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44343.333333333314</v>
      </c>
      <c r="F12" s="202">
        <f ca="1">TblImps[[#This Row],[Population]]</f>
        <v>0.81545608108108103</v>
      </c>
      <c r="G12" s="284"/>
      <c r="H12" s="284"/>
      <c r="I12" s="284"/>
      <c r="J12" s="284"/>
      <c r="K12" s="528"/>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44343.374999999978</v>
      </c>
      <c r="F13" s="202">
        <f ca="1">TblImps[[#This Row],[Population]]</f>
        <v>0.83445945945945943</v>
      </c>
      <c r="G13" s="284"/>
      <c r="H13" s="284"/>
      <c r="I13" s="284"/>
      <c r="J13" s="284"/>
      <c r="K13" s="528"/>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44343.416666666642</v>
      </c>
      <c r="F14" s="202">
        <f ca="1">TblImps[[#This Row],[Population]]</f>
        <v>0.85388513513513509</v>
      </c>
      <c r="G14" s="284"/>
      <c r="H14" s="284"/>
      <c r="I14" s="284"/>
      <c r="J14" s="284"/>
      <c r="K14" s="528"/>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44343.458333333307</v>
      </c>
      <c r="F15" s="202">
        <f ca="1">TblImps[[#This Row],[Population]]</f>
        <v>0.87373310810810811</v>
      </c>
      <c r="G15" s="284"/>
      <c r="H15" s="284"/>
      <c r="I15" s="284"/>
      <c r="J15" s="284"/>
      <c r="K15" s="528"/>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44343.499999999971</v>
      </c>
      <c r="F16" s="202">
        <f ca="1">TblImps[[#This Row],[Population]]</f>
        <v>0.88837599664288713</v>
      </c>
      <c r="G16" s="284"/>
      <c r="H16" s="284"/>
      <c r="I16" s="284"/>
      <c r="J16" s="284"/>
      <c r="K16" s="528"/>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44343.541666666635</v>
      </c>
      <c r="F17" s="202">
        <f ca="1">TblImps[[#This Row],[Population]]</f>
        <v>0.90893831305077633</v>
      </c>
      <c r="G17" s="284"/>
      <c r="H17" s="284"/>
      <c r="I17" s="284"/>
      <c r="J17" s="284"/>
      <c r="K17" s="528"/>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44343.583333333299</v>
      </c>
      <c r="F18" s="202">
        <f ca="1">TblImps[[#This Row],[Population]]</f>
        <v>0.92992026856903065</v>
      </c>
      <c r="G18" s="284"/>
      <c r="H18" s="284"/>
      <c r="I18" s="284"/>
      <c r="J18" s="284"/>
      <c r="K18" s="528"/>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44343.624999999964</v>
      </c>
      <c r="F19" s="202">
        <f ca="1">TblImps[[#This Row],[Population]]</f>
        <v>0.95132186319765</v>
      </c>
      <c r="G19" s="284"/>
      <c r="H19" s="284"/>
      <c r="I19" s="284"/>
      <c r="J19" s="284"/>
      <c r="K19" s="528"/>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44343.666666666628</v>
      </c>
      <c r="F20" s="202">
        <f ca="1">TblImps[[#This Row],[Population]]</f>
        <v>0.97314309693663448</v>
      </c>
      <c r="G20" s="284"/>
      <c r="H20" s="284"/>
      <c r="I20" s="284"/>
      <c r="J20" s="284"/>
      <c r="K20" s="528"/>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44343.708333333292</v>
      </c>
      <c r="F21" s="202">
        <f ca="1">TblImps[[#This Row],[Population]]</f>
        <v>0.99538396978598409</v>
      </c>
      <c r="G21" s="284"/>
      <c r="H21" s="284"/>
      <c r="I21" s="284"/>
      <c r="J21" s="284"/>
      <c r="K21" s="528"/>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44343.749999999956</v>
      </c>
      <c r="F22" s="202">
        <f ca="1">TblImps[[#This Row],[Population]]</f>
        <v>1</v>
      </c>
      <c r="G22" s="284"/>
      <c r="H22" s="284"/>
      <c r="I22" s="284"/>
      <c r="J22" s="284"/>
      <c r="K22" s="528"/>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44343.791666666621</v>
      </c>
      <c r="F23" s="202">
        <f ca="1">TblImps[[#This Row],[Population]]</f>
        <v>1</v>
      </c>
      <c r="G23" s="284"/>
      <c r="H23" s="284"/>
      <c r="I23" s="284"/>
      <c r="J23" s="284"/>
      <c r="K23" s="528"/>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44343.833333333285</v>
      </c>
      <c r="F24" s="202">
        <f ca="1">TblImps[[#This Row],[Population]]</f>
        <v>1</v>
      </c>
      <c r="G24" s="284"/>
      <c r="H24" s="284"/>
      <c r="I24" s="284"/>
      <c r="J24" s="284"/>
      <c r="K24" s="528"/>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44343.874999999949</v>
      </c>
      <c r="F25" s="202">
        <f ca="1">TblImps[[#This Row],[Population]]</f>
        <v>1</v>
      </c>
      <c r="G25" s="284"/>
      <c r="H25" s="284"/>
      <c r="I25" s="284"/>
      <c r="J25" s="284"/>
      <c r="K25" s="528"/>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44343.916666666613</v>
      </c>
      <c r="F26" s="202">
        <f ca="1">TblImps[[#This Row],[Population]]</f>
        <v>1</v>
      </c>
      <c r="G26" s="284"/>
      <c r="H26" s="284"/>
      <c r="I26" s="284"/>
      <c r="J26" s="284"/>
      <c r="K26" s="528"/>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44343.958333333278</v>
      </c>
      <c r="F27" s="202">
        <f ca="1">TblImps[[#This Row],[Population]]</f>
        <v>1</v>
      </c>
      <c r="G27" s="284"/>
      <c r="H27" s="284"/>
      <c r="I27" s="284"/>
      <c r="J27" s="284"/>
      <c r="K27" s="528"/>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44343.999999999942</v>
      </c>
      <c r="F28" s="202">
        <f ca="1">TblImps[[#This Row],[Population]]</f>
        <v>1</v>
      </c>
      <c r="G28" s="284"/>
      <c r="H28" s="284"/>
      <c r="I28" s="284"/>
      <c r="J28" s="284"/>
      <c r="K28" s="528"/>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44344.041666666606</v>
      </c>
      <c r="F29" s="202">
        <f ca="1">TblImps[[#This Row],[Population]]</f>
        <v>1</v>
      </c>
      <c r="G29" s="284"/>
      <c r="H29" s="284"/>
      <c r="I29" s="284"/>
      <c r="J29" s="284"/>
      <c r="K29" s="528"/>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44344.08333333327</v>
      </c>
      <c r="F30" s="202">
        <f ca="1">TblImps[[#This Row],[Population]]</f>
        <v>1</v>
      </c>
      <c r="G30" s="284"/>
      <c r="H30" s="284"/>
      <c r="I30" s="284"/>
      <c r="J30" s="284"/>
      <c r="K30" s="528"/>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44344.124999999935</v>
      </c>
      <c r="F31" s="202">
        <f ca="1">TblImps[[#This Row],[Population]]</f>
        <v>1</v>
      </c>
      <c r="G31" s="284"/>
      <c r="H31" s="284"/>
      <c r="I31" s="284"/>
      <c r="J31" s="284"/>
      <c r="K31" s="528"/>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44344.166666666599</v>
      </c>
      <c r="F32" s="202">
        <f ca="1">TblImps[[#This Row],[Population]]</f>
        <v>1</v>
      </c>
      <c r="G32" s="284"/>
      <c r="H32" s="284"/>
      <c r="I32" s="284"/>
      <c r="J32" s="284"/>
      <c r="K32" s="528"/>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44344.208333333263</v>
      </c>
      <c r="F33" s="202">
        <f ca="1">TblImps[[#This Row],[Population]]</f>
        <v>1</v>
      </c>
      <c r="G33" s="284"/>
      <c r="H33" s="284"/>
      <c r="I33" s="284"/>
      <c r="J33" s="284"/>
      <c r="K33" s="528"/>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44344.249999999927</v>
      </c>
      <c r="F34" s="202">
        <f ca="1">TblImps[[#This Row],[Population]]</f>
        <v>1</v>
      </c>
      <c r="G34" s="284"/>
      <c r="H34" s="284"/>
      <c r="I34" s="284"/>
      <c r="J34" s="284"/>
      <c r="K34" s="528"/>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44344.291666666591</v>
      </c>
      <c r="F35" s="202">
        <f ca="1">TblImps[[#This Row],[Population]]</f>
        <v>1</v>
      </c>
      <c r="G35" s="284"/>
      <c r="H35" s="284"/>
      <c r="I35" s="284"/>
      <c r="J35" s="284"/>
      <c r="K35" s="528"/>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44344.333333333256</v>
      </c>
      <c r="F36" s="202">
        <f ca="1">TblImps[[#This Row],[Population]]</f>
        <v>1</v>
      </c>
      <c r="G36" s="284"/>
      <c r="H36" s="284"/>
      <c r="I36" s="284"/>
      <c r="J36" s="284"/>
      <c r="K36" s="528"/>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44344.37499999992</v>
      </c>
      <c r="F37" s="202">
        <f ca="1">TblImps[[#This Row],[Population]]</f>
        <v>1</v>
      </c>
      <c r="G37" s="284"/>
      <c r="H37" s="284"/>
      <c r="I37" s="284"/>
      <c r="J37" s="284"/>
      <c r="K37" s="528"/>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44344.416666666584</v>
      </c>
      <c r="F38" s="202">
        <f ca="1">TblImps[[#This Row],[Population]]</f>
        <v>1</v>
      </c>
      <c r="G38" s="284"/>
      <c r="H38" s="284"/>
      <c r="I38" s="284"/>
      <c r="J38" s="284"/>
      <c r="K38" s="528"/>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44344.458333333248</v>
      </c>
      <c r="F39" s="202">
        <f ca="1">TblImps[[#This Row],[Population]]</f>
        <v>1</v>
      </c>
      <c r="G39" s="284"/>
      <c r="H39" s="284"/>
      <c r="I39" s="284"/>
      <c r="J39" s="284"/>
      <c r="K39" s="528"/>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44344.499999999913</v>
      </c>
      <c r="F40" s="202">
        <f ca="1">TblImps[[#This Row],[Population]]</f>
        <v>1</v>
      </c>
      <c r="G40" s="284"/>
      <c r="H40" s="284"/>
      <c r="I40" s="284"/>
      <c r="J40" s="284"/>
      <c r="K40" s="528"/>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44344.541666666577</v>
      </c>
      <c r="F41" s="202">
        <f ca="1">TblImps[[#This Row],[Population]]</f>
        <v>1</v>
      </c>
      <c r="G41" s="284"/>
      <c r="H41" s="284"/>
      <c r="I41" s="284"/>
      <c r="J41" s="284"/>
      <c r="K41" s="528"/>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44344.583333333241</v>
      </c>
      <c r="F42" s="202">
        <f ca="1">TblImps[[#This Row],[Population]]</f>
        <v>1</v>
      </c>
      <c r="G42" s="284"/>
      <c r="H42" s="284"/>
      <c r="I42" s="284"/>
      <c r="J42" s="284"/>
      <c r="K42" s="528"/>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44344.624999999905</v>
      </c>
      <c r="F43" s="202">
        <f ca="1">TblImps[[#This Row],[Population]]</f>
        <v>1</v>
      </c>
      <c r="G43" s="284"/>
      <c r="H43" s="284"/>
      <c r="I43" s="284"/>
      <c r="J43" s="284"/>
      <c r="K43" s="528"/>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44344.66666666657</v>
      </c>
      <c r="F44" s="202">
        <f ca="1">TblImps[[#This Row],[Population]]</f>
        <v>1</v>
      </c>
      <c r="G44" s="284"/>
      <c r="H44" s="284"/>
      <c r="I44" s="284"/>
      <c r="J44" s="284"/>
      <c r="K44" s="528"/>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44344.708333333234</v>
      </c>
      <c r="F45" s="202">
        <f ca="1">TblImps[[#This Row],[Population]]</f>
        <v>1</v>
      </c>
      <c r="G45" s="284"/>
      <c r="H45" s="284"/>
      <c r="I45" s="284"/>
      <c r="J45" s="284"/>
      <c r="K45" s="528"/>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44344.749999999898</v>
      </c>
      <c r="F46" s="202">
        <f ca="1">TblImps[[#This Row],[Population]]</f>
        <v>1</v>
      </c>
      <c r="G46" s="284"/>
      <c r="H46" s="284"/>
      <c r="I46" s="284"/>
      <c r="J46" s="284"/>
      <c r="K46" s="528"/>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44344.791666666562</v>
      </c>
      <c r="F47" s="202">
        <f ca="1">TblImps[[#This Row],[Population]]</f>
        <v>1</v>
      </c>
      <c r="G47" s="284"/>
      <c r="H47" s="284"/>
      <c r="I47" s="284"/>
      <c r="J47" s="284"/>
      <c r="K47" s="528"/>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44344.833333333227</v>
      </c>
      <c r="F48" s="202">
        <f ca="1">TblImps[[#This Row],[Population]]</f>
        <v>1</v>
      </c>
      <c r="G48" s="284"/>
      <c r="H48" s="284"/>
      <c r="I48" s="284"/>
      <c r="J48" s="284"/>
      <c r="K48" s="528"/>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44344.874999999891</v>
      </c>
      <c r="F49" s="202">
        <f ca="1">TblImps[[#This Row],[Population]]</f>
        <v>1</v>
      </c>
      <c r="G49" s="284"/>
      <c r="H49" s="284"/>
      <c r="I49" s="284"/>
      <c r="J49" s="284"/>
      <c r="K49" s="528"/>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44344.916666666555</v>
      </c>
      <c r="F50" s="202">
        <f ca="1">TblImps[[#This Row],[Population]]</f>
        <v>1</v>
      </c>
      <c r="G50" s="284"/>
      <c r="H50" s="284"/>
      <c r="I50" s="284"/>
      <c r="J50" s="284"/>
      <c r="K50" s="528"/>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44344.958333333219</v>
      </c>
      <c r="F51" s="202">
        <f ca="1">TblImps[[#This Row],[Population]]</f>
        <v>1</v>
      </c>
      <c r="G51" s="284"/>
      <c r="H51" s="284"/>
      <c r="I51" s="284"/>
      <c r="J51" s="284"/>
      <c r="K51" s="528"/>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44344.999999999884</v>
      </c>
      <c r="F52" s="202">
        <f ca="1">TblImps[[#This Row],[Population]]</f>
        <v>1</v>
      </c>
      <c r="G52" s="284"/>
      <c r="H52" s="284"/>
      <c r="I52" s="284"/>
      <c r="J52" s="284"/>
      <c r="K52" s="528"/>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44345.041666666548</v>
      </c>
      <c r="F53" s="202">
        <f ca="1">TblImps[[#This Row],[Population]]</f>
        <v>1</v>
      </c>
      <c r="G53" s="284"/>
      <c r="H53" s="284"/>
      <c r="I53" s="284"/>
      <c r="J53" s="284"/>
      <c r="K53" s="528"/>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44345.083333333212</v>
      </c>
      <c r="F54" s="202">
        <f ca="1">TblImps[[#This Row],[Population]]</f>
        <v>1</v>
      </c>
      <c r="G54" s="284"/>
      <c r="H54" s="284"/>
      <c r="I54" s="284"/>
      <c r="J54" s="284"/>
      <c r="K54" s="528"/>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44345.124999999876</v>
      </c>
      <c r="F55" s="202">
        <f ca="1">TblImps[[#This Row],[Population]]</f>
        <v>1</v>
      </c>
      <c r="G55" s="284"/>
      <c r="H55" s="284"/>
      <c r="I55" s="284"/>
      <c r="J55" s="284"/>
      <c r="K55" s="528"/>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44345.166666666541</v>
      </c>
      <c r="F56" s="202">
        <f ca="1">TblImps[[#This Row],[Population]]</f>
        <v>1</v>
      </c>
      <c r="G56" s="284"/>
      <c r="H56" s="284"/>
      <c r="I56" s="284"/>
      <c r="J56" s="284"/>
      <c r="K56" s="528"/>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44345.208333333205</v>
      </c>
      <c r="F57" s="202">
        <f ca="1">TblImps[[#This Row],[Population]]</f>
        <v>1</v>
      </c>
      <c r="G57" s="284"/>
      <c r="H57" s="284"/>
      <c r="I57" s="284"/>
      <c r="J57" s="284"/>
      <c r="K57" s="528"/>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44345.249999999869</v>
      </c>
      <c r="F58" s="202">
        <f ca="1">TblImps[[#This Row],[Population]]</f>
        <v>1</v>
      </c>
      <c r="G58" s="284"/>
      <c r="H58" s="284"/>
      <c r="I58" s="284"/>
      <c r="J58" s="284"/>
      <c r="K58" s="528"/>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44345.291666666533</v>
      </c>
      <c r="F59" s="202">
        <f ca="1">TblImps[[#This Row],[Population]]</f>
        <v>1</v>
      </c>
      <c r="G59" s="284"/>
      <c r="H59" s="284"/>
      <c r="I59" s="284"/>
      <c r="J59" s="284"/>
      <c r="K59" s="528"/>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44345.333333333198</v>
      </c>
      <c r="F60" s="202">
        <f ca="1">TblImps[[#This Row],[Population]]</f>
        <v>1</v>
      </c>
      <c r="G60" s="284"/>
      <c r="H60" s="284"/>
      <c r="I60" s="284"/>
      <c r="J60" s="284"/>
      <c r="K60" s="528"/>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44345.374999999862</v>
      </c>
      <c r="F61" s="202">
        <f ca="1">TblImps[[#This Row],[Population]]</f>
        <v>1</v>
      </c>
      <c r="G61" s="284"/>
      <c r="H61" s="284"/>
      <c r="I61" s="284"/>
      <c r="J61" s="284"/>
      <c r="K61" s="528"/>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44345.416666666526</v>
      </c>
      <c r="F62" s="202">
        <f ca="1">TblImps[[#This Row],[Population]]</f>
        <v>1</v>
      </c>
      <c r="G62" s="284"/>
      <c r="H62" s="284"/>
      <c r="I62" s="284"/>
      <c r="J62" s="284"/>
      <c r="K62" s="528"/>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44345.45833333319</v>
      </c>
      <c r="F63" s="202">
        <f ca="1">TblImps[[#This Row],[Population]]</f>
        <v>1</v>
      </c>
      <c r="G63" s="284"/>
      <c r="H63" s="284"/>
      <c r="I63" s="284"/>
      <c r="J63" s="284"/>
      <c r="K63" s="528"/>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44345.499999999854</v>
      </c>
      <c r="F64" s="202">
        <f ca="1">TblImps[[#This Row],[Population]]</f>
        <v>1</v>
      </c>
      <c r="G64" s="284"/>
      <c r="H64" s="284"/>
      <c r="I64" s="284"/>
      <c r="J64" s="284"/>
      <c r="K64" s="528"/>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44345.541666666519</v>
      </c>
      <c r="F65" s="202">
        <f ca="1">TblImps[[#This Row],[Population]]</f>
        <v>1</v>
      </c>
      <c r="G65" s="284"/>
      <c r="H65" s="284"/>
      <c r="I65" s="284"/>
      <c r="J65" s="284"/>
      <c r="K65" s="528"/>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44345.583333333183</v>
      </c>
      <c r="F66" s="202">
        <f ca="1">TblImps[[#This Row],[Population]]</f>
        <v>1</v>
      </c>
      <c r="G66" s="284"/>
      <c r="H66" s="284"/>
      <c r="I66" s="284"/>
      <c r="J66" s="284"/>
      <c r="K66" s="528"/>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44345.624999999847</v>
      </c>
      <c r="F67" s="202">
        <f ca="1">TblImps[[#This Row],[Population]]</f>
        <v>1</v>
      </c>
      <c r="G67" s="284"/>
      <c r="H67" s="284"/>
      <c r="I67" s="284"/>
      <c r="J67" s="284"/>
      <c r="K67" s="528"/>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44345.666666666511</v>
      </c>
      <c r="F68" s="202">
        <f ca="1">TblImps[[#This Row],[Population]]</f>
        <v>1</v>
      </c>
      <c r="G68" s="284"/>
      <c r="H68" s="284"/>
      <c r="I68" s="284"/>
      <c r="J68" s="284"/>
      <c r="K68" s="528"/>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44345.708333333176</v>
      </c>
      <c r="F69" s="202">
        <f ca="1">TblImps[[#This Row],[Population]]</f>
        <v>1</v>
      </c>
      <c r="G69" s="284"/>
      <c r="H69" s="284"/>
      <c r="I69" s="284"/>
      <c r="J69" s="284"/>
      <c r="K69" s="528"/>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44345.74999999984</v>
      </c>
      <c r="F70" s="202">
        <f ca="1">TblImps[[#This Row],[Population]]</f>
        <v>1</v>
      </c>
      <c r="G70" s="284"/>
      <c r="H70" s="284"/>
      <c r="I70" s="284"/>
      <c r="J70" s="284"/>
      <c r="K70" s="528"/>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44345.791666666504</v>
      </c>
      <c r="F71" s="202">
        <f ca="1">TblImps[[#This Row],[Population]]</f>
        <v>1</v>
      </c>
      <c r="G71" s="284"/>
      <c r="H71" s="284"/>
      <c r="I71" s="284"/>
      <c r="J71" s="284"/>
      <c r="K71" s="528"/>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44345.833333333168</v>
      </c>
      <c r="F72" s="202">
        <f ca="1">TblImps[[#This Row],[Population]]</f>
        <v>1</v>
      </c>
      <c r="G72" s="284"/>
      <c r="H72" s="284"/>
      <c r="I72" s="284"/>
      <c r="J72" s="284"/>
      <c r="K72" s="528"/>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44345.874999999833</v>
      </c>
      <c r="F73" s="202">
        <f ca="1">TblImps[[#This Row],[Population]]</f>
        <v>1</v>
      </c>
      <c r="G73" s="284"/>
      <c r="H73" s="284"/>
      <c r="I73" s="284"/>
      <c r="J73" s="284"/>
      <c r="K73" s="528"/>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44345.916666666497</v>
      </c>
      <c r="F74" s="202">
        <f ca="1">TblImps[[#This Row],[Population]]</f>
        <v>1</v>
      </c>
      <c r="G74" s="284"/>
      <c r="H74" s="284"/>
      <c r="I74" s="284"/>
      <c r="J74" s="284"/>
      <c r="K74" s="528"/>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44345.958333333161</v>
      </c>
      <c r="F75" s="202">
        <f ca="1">TblImps[[#This Row],[Population]]</f>
        <v>1</v>
      </c>
      <c r="G75" s="284"/>
      <c r="H75" s="284"/>
      <c r="I75" s="284"/>
      <c r="J75" s="284"/>
      <c r="K75" s="528"/>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44345.999999999825</v>
      </c>
      <c r="F76" s="345">
        <f ca="1">TblImps[[#This Row],[Population]]</f>
        <v>1</v>
      </c>
      <c r="G76" s="301"/>
      <c r="H76" s="301"/>
      <c r="I76" s="301"/>
      <c r="J76" s="301"/>
      <c r="K76" s="529"/>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44346.04166666649</v>
      </c>
      <c r="F77" s="202">
        <f ca="1">TblImps[[#This Row],[Population]]</f>
        <v>1</v>
      </c>
      <c r="G77" s="284"/>
      <c r="H77" s="284"/>
      <c r="I77" s="284"/>
      <c r="J77" s="284"/>
      <c r="K77" s="528"/>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44346.083333333154</v>
      </c>
      <c r="F78" s="202">
        <f ca="1">TblImps[[#This Row],[Population]]</f>
        <v>1</v>
      </c>
      <c r="G78" s="284"/>
      <c r="H78" s="284"/>
      <c r="I78" s="284"/>
      <c r="J78" s="284"/>
      <c r="K78" s="528"/>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44346.124999999818</v>
      </c>
      <c r="F79" s="202">
        <f ca="1">TblImps[[#This Row],[Population]]</f>
        <v>1</v>
      </c>
      <c r="G79" s="284"/>
      <c r="H79" s="284"/>
      <c r="I79" s="284"/>
      <c r="J79" s="284"/>
      <c r="K79" s="528"/>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44346.166666666482</v>
      </c>
      <c r="F80" s="202">
        <f ca="1">TblImps[[#This Row],[Population]]</f>
        <v>1</v>
      </c>
      <c r="G80" s="284"/>
      <c r="H80" s="284"/>
      <c r="I80" s="284"/>
      <c r="J80" s="284"/>
      <c r="K80" s="528"/>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44346.208333333147</v>
      </c>
      <c r="F81" s="202">
        <f ca="1">TblImps[[#This Row],[Population]]</f>
        <v>1</v>
      </c>
      <c r="G81" s="284"/>
      <c r="H81" s="284"/>
      <c r="I81" s="284"/>
      <c r="J81" s="284"/>
      <c r="K81" s="528"/>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44346.249999999811</v>
      </c>
      <c r="F82" s="202">
        <f ca="1">TblImps[[#This Row],[Population]]</f>
        <v>1</v>
      </c>
      <c r="G82" s="284"/>
      <c r="H82" s="284"/>
      <c r="I82" s="284"/>
      <c r="J82" s="284"/>
      <c r="K82" s="528"/>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44346.291666666475</v>
      </c>
      <c r="F83" s="202">
        <f ca="1">TblImps[[#This Row],[Population]]</f>
        <v>1</v>
      </c>
      <c r="G83" s="284"/>
      <c r="H83" s="284"/>
      <c r="I83" s="284"/>
      <c r="J83" s="284"/>
      <c r="K83" s="528"/>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44346.333333333139</v>
      </c>
      <c r="F84" s="202">
        <f ca="1">TblImps[[#This Row],[Population]]</f>
        <v>1</v>
      </c>
      <c r="G84" s="284"/>
      <c r="H84" s="284"/>
      <c r="I84" s="284"/>
      <c r="J84" s="284"/>
      <c r="K84" s="528"/>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44346.374999999804</v>
      </c>
      <c r="F85" s="202">
        <f ca="1">TblImps[[#This Row],[Population]]</f>
        <v>1</v>
      </c>
      <c r="G85" s="284"/>
      <c r="H85" s="284"/>
      <c r="I85" s="284"/>
      <c r="J85" s="284"/>
      <c r="K85" s="528"/>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44346.416666666468</v>
      </c>
      <c r="F86" s="202">
        <f ca="1">TblImps[[#This Row],[Population]]</f>
        <v>1</v>
      </c>
      <c r="G86" s="284"/>
      <c r="H86" s="284"/>
      <c r="I86" s="284"/>
      <c r="J86" s="284"/>
      <c r="K86" s="528"/>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44346.458333333132</v>
      </c>
      <c r="F87" s="202">
        <f ca="1">TblImps[[#This Row],[Population]]</f>
        <v>1</v>
      </c>
      <c r="G87" s="284"/>
      <c r="H87" s="284"/>
      <c r="I87" s="284"/>
      <c r="J87" s="284"/>
      <c r="K87" s="528"/>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44346.499999999796</v>
      </c>
      <c r="F88" s="202">
        <f ca="1">TblImps[[#This Row],[Population]]</f>
        <v>1</v>
      </c>
      <c r="G88" s="284"/>
      <c r="H88" s="284"/>
      <c r="I88" s="284"/>
      <c r="J88" s="284"/>
      <c r="K88" s="528"/>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44346.541666666461</v>
      </c>
      <c r="F89" s="202">
        <f ca="1">TblImps[[#This Row],[Population]]</f>
        <v>1</v>
      </c>
      <c r="G89" s="284"/>
      <c r="H89" s="284"/>
      <c r="I89" s="284"/>
      <c r="J89" s="284"/>
      <c r="K89" s="528"/>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44346.583333333125</v>
      </c>
      <c r="F90" s="202">
        <f ca="1">TblImps[[#This Row],[Population]]</f>
        <v>1</v>
      </c>
      <c r="G90" s="284"/>
      <c r="H90" s="284"/>
      <c r="I90" s="284"/>
      <c r="J90" s="284"/>
      <c r="K90" s="528"/>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44346.624999999789</v>
      </c>
      <c r="F91" s="202">
        <f ca="1">TblImps[[#This Row],[Population]]</f>
        <v>1</v>
      </c>
      <c r="G91" s="284"/>
      <c r="H91" s="284"/>
      <c r="I91" s="284"/>
      <c r="J91" s="284"/>
      <c r="K91" s="528"/>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44346.666666666453</v>
      </c>
      <c r="F92" s="202">
        <f ca="1">TblImps[[#This Row],[Population]]</f>
        <v>1</v>
      </c>
      <c r="G92" s="284"/>
      <c r="H92" s="284"/>
      <c r="I92" s="284"/>
      <c r="J92" s="284"/>
      <c r="K92" s="528"/>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44346.708333333117</v>
      </c>
      <c r="F93" s="202">
        <f ca="1">TblImps[[#This Row],[Population]]</f>
        <v>1</v>
      </c>
      <c r="G93" s="284"/>
      <c r="H93" s="284"/>
      <c r="I93" s="284"/>
      <c r="J93" s="284"/>
      <c r="K93" s="528"/>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44346.749999999782</v>
      </c>
      <c r="F94" s="202">
        <f ca="1">TblImps[[#This Row],[Population]]</f>
        <v>1</v>
      </c>
      <c r="G94" s="284"/>
      <c r="H94" s="284"/>
      <c r="I94" s="284"/>
      <c r="J94" s="284"/>
      <c r="K94" s="528"/>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44346.791666666446</v>
      </c>
      <c r="F95" s="202">
        <f ca="1">TblImps[[#This Row],[Population]]</f>
        <v>1</v>
      </c>
      <c r="G95" s="284"/>
      <c r="H95" s="284"/>
      <c r="I95" s="284"/>
      <c r="J95" s="284"/>
      <c r="K95" s="528"/>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44346.83333333311</v>
      </c>
      <c r="F96" s="202">
        <f ca="1">TblImps[[#This Row],[Population]]</f>
        <v>1</v>
      </c>
      <c r="G96" s="284"/>
      <c r="H96" s="284"/>
      <c r="I96" s="284"/>
      <c r="J96" s="284"/>
      <c r="K96" s="528"/>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44346.874999999774</v>
      </c>
      <c r="F97" s="202">
        <f ca="1">TblImps[[#This Row],[Population]]</f>
        <v>1</v>
      </c>
      <c r="G97" s="284"/>
      <c r="H97" s="284"/>
      <c r="I97" s="284"/>
      <c r="J97" s="284"/>
      <c r="K97" s="528"/>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44346.916666666439</v>
      </c>
      <c r="F98" s="202">
        <f ca="1">TblImps[[#This Row],[Population]]</f>
        <v>1</v>
      </c>
      <c r="G98" s="284"/>
      <c r="H98" s="284"/>
      <c r="I98" s="284"/>
      <c r="J98" s="284"/>
      <c r="K98" s="528"/>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44346.958333333103</v>
      </c>
      <c r="F99" s="202">
        <f ca="1">TblImps[[#This Row],[Population]]</f>
        <v>1</v>
      </c>
      <c r="G99" s="284"/>
      <c r="H99" s="284"/>
      <c r="I99" s="284"/>
      <c r="J99" s="284"/>
      <c r="K99" s="528"/>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44346.999999999767</v>
      </c>
      <c r="F100" s="202">
        <f ca="1">TblImps[[#This Row],[Population]]</f>
        <v>1</v>
      </c>
      <c r="G100" s="284"/>
      <c r="H100" s="284"/>
      <c r="I100" s="284"/>
      <c r="J100" s="284"/>
      <c r="K100" s="528"/>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44347.041666666431</v>
      </c>
      <c r="F101" s="202">
        <f ca="1">TblImps[[#This Row],[Population]]</f>
        <v>1</v>
      </c>
      <c r="G101" s="284"/>
      <c r="H101" s="284"/>
      <c r="I101" s="284"/>
      <c r="J101" s="284"/>
      <c r="K101" s="528"/>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44347.083333333096</v>
      </c>
      <c r="F102" s="202">
        <f ca="1">TblImps[[#This Row],[Population]]</f>
        <v>1</v>
      </c>
      <c r="G102" s="284"/>
      <c r="H102" s="284"/>
      <c r="I102" s="284"/>
      <c r="J102" s="284"/>
      <c r="K102" s="528"/>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44347.12499999976</v>
      </c>
      <c r="F103" s="202">
        <f ca="1">TblImps[[#This Row],[Population]]</f>
        <v>1</v>
      </c>
      <c r="G103" s="284"/>
      <c r="H103" s="284"/>
      <c r="I103" s="284"/>
      <c r="J103" s="284"/>
      <c r="K103" s="528"/>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44347.166666666424</v>
      </c>
      <c r="F104" s="202">
        <f ca="1">TblImps[[#This Row],[Population]]</f>
        <v>1</v>
      </c>
      <c r="G104" s="284"/>
      <c r="H104" s="284"/>
      <c r="I104" s="284"/>
      <c r="J104" s="284"/>
      <c r="K104" s="528"/>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44347.208333333088</v>
      </c>
      <c r="F105" s="202">
        <f ca="1">TblImps[[#This Row],[Population]]</f>
        <v>1</v>
      </c>
      <c r="G105" s="284"/>
      <c r="H105" s="284"/>
      <c r="I105" s="284"/>
      <c r="J105" s="284"/>
      <c r="K105" s="528"/>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44347.249999999753</v>
      </c>
      <c r="F106" s="202">
        <f ca="1">TblImps[[#This Row],[Population]]</f>
        <v>1</v>
      </c>
      <c r="G106" s="284"/>
      <c r="H106" s="284"/>
      <c r="I106" s="284"/>
      <c r="J106" s="284"/>
      <c r="K106" s="528"/>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44347.291666666417</v>
      </c>
      <c r="F107" s="202">
        <f ca="1">TblImps[[#This Row],[Population]]</f>
        <v>1</v>
      </c>
      <c r="G107" s="284"/>
      <c r="H107" s="284"/>
      <c r="I107" s="284"/>
      <c r="J107" s="284"/>
      <c r="K107" s="528"/>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44347.333333333081</v>
      </c>
      <c r="F108" s="202">
        <f ca="1">TblImps[[#This Row],[Population]]</f>
        <v>1</v>
      </c>
      <c r="G108" s="284"/>
      <c r="H108" s="284"/>
      <c r="I108" s="284"/>
      <c r="J108" s="284"/>
      <c r="K108" s="528"/>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44347.374999999745</v>
      </c>
      <c r="F109" s="202">
        <f ca="1">TblImps[[#This Row],[Population]]</f>
        <v>1</v>
      </c>
      <c r="G109" s="284"/>
      <c r="H109" s="284"/>
      <c r="I109" s="284"/>
      <c r="J109" s="284"/>
      <c r="K109" s="528"/>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44347.41666666641</v>
      </c>
      <c r="F110" s="202">
        <f ca="1">TblImps[[#This Row],[Population]]</f>
        <v>1</v>
      </c>
      <c r="G110" s="284"/>
      <c r="H110" s="284"/>
      <c r="I110" s="284"/>
      <c r="J110" s="284"/>
      <c r="K110" s="528"/>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44347.458333333074</v>
      </c>
      <c r="F111" s="202">
        <f ca="1">TblImps[[#This Row],[Population]]</f>
        <v>1</v>
      </c>
      <c r="G111" s="284"/>
      <c r="H111" s="284"/>
      <c r="I111" s="284"/>
      <c r="J111" s="284"/>
      <c r="K111" s="528"/>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44347.499999999738</v>
      </c>
      <c r="F112" s="202">
        <f ca="1">TblImps[[#This Row],[Population]]</f>
        <v>1</v>
      </c>
      <c r="G112" s="284"/>
      <c r="H112" s="284"/>
      <c r="I112" s="284"/>
      <c r="J112" s="284"/>
      <c r="K112" s="528"/>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44347.541666666402</v>
      </c>
      <c r="F113" s="202">
        <f ca="1">TblImps[[#This Row],[Population]]</f>
        <v>1</v>
      </c>
      <c r="G113" s="284"/>
      <c r="H113" s="284"/>
      <c r="I113" s="284"/>
      <c r="J113" s="284"/>
      <c r="K113" s="528"/>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44347.583333333067</v>
      </c>
      <c r="F114" s="202">
        <f ca="1">TblImps[[#This Row],[Population]]</f>
        <v>1</v>
      </c>
      <c r="G114" s="284"/>
      <c r="H114" s="284"/>
      <c r="I114" s="284"/>
      <c r="J114" s="284"/>
      <c r="K114" s="528"/>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44347.624999999731</v>
      </c>
      <c r="F115" s="202">
        <f ca="1">TblImps[[#This Row],[Population]]</f>
        <v>1</v>
      </c>
      <c r="G115" s="284"/>
      <c r="H115" s="284"/>
      <c r="I115" s="284"/>
      <c r="J115" s="284"/>
      <c r="K115" s="528"/>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44347.666666666395</v>
      </c>
      <c r="F116" s="202">
        <f ca="1">TblImps[[#This Row],[Population]]</f>
        <v>1</v>
      </c>
      <c r="G116" s="284"/>
      <c r="H116" s="284"/>
      <c r="I116" s="284"/>
      <c r="J116" s="284"/>
      <c r="K116" s="528"/>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44347.708333333059</v>
      </c>
      <c r="F117" s="202">
        <f ca="1">TblImps[[#This Row],[Population]]</f>
        <v>1</v>
      </c>
      <c r="G117" s="284"/>
      <c r="H117" s="284"/>
      <c r="I117" s="284"/>
      <c r="J117" s="284"/>
      <c r="K117" s="528"/>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44347.749999999724</v>
      </c>
      <c r="F118" s="202">
        <f ca="1">TblImps[[#This Row],[Population]]</f>
        <v>1</v>
      </c>
      <c r="G118" s="284"/>
      <c r="H118" s="284"/>
      <c r="I118" s="284"/>
      <c r="J118" s="284"/>
      <c r="K118" s="528"/>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44347.791666666388</v>
      </c>
      <c r="F119" s="202">
        <f ca="1">TblImps[[#This Row],[Population]]</f>
        <v>1</v>
      </c>
      <c r="G119" s="284"/>
      <c r="H119" s="284"/>
      <c r="I119" s="284"/>
      <c r="J119" s="284"/>
      <c r="K119" s="528"/>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44347.833333333052</v>
      </c>
      <c r="F120" s="202">
        <f ca="1">TblImps[[#This Row],[Population]]</f>
        <v>1</v>
      </c>
      <c r="G120" s="284"/>
      <c r="H120" s="284"/>
      <c r="I120" s="284"/>
      <c r="J120" s="284"/>
      <c r="K120" s="528"/>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44347.874999999716</v>
      </c>
      <c r="F121" s="202">
        <f ca="1">TblImps[[#This Row],[Population]]</f>
        <v>1</v>
      </c>
      <c r="G121" s="284"/>
      <c r="H121" s="284"/>
      <c r="I121" s="284"/>
      <c r="J121" s="284"/>
      <c r="K121" s="528"/>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44347.91666666638</v>
      </c>
      <c r="F122" s="202">
        <f ca="1">TblImps[[#This Row],[Population]]</f>
        <v>1</v>
      </c>
      <c r="G122" s="284"/>
      <c r="H122" s="284"/>
      <c r="I122" s="284"/>
      <c r="J122" s="284"/>
      <c r="K122" s="528"/>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44347.958333333045</v>
      </c>
      <c r="F123" s="202">
        <f ca="1">TblImps[[#This Row],[Population]]</f>
        <v>1</v>
      </c>
      <c r="G123" s="284"/>
      <c r="H123" s="284"/>
      <c r="I123" s="284"/>
      <c r="J123" s="284"/>
      <c r="K123" s="528"/>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44347.999999999709</v>
      </c>
      <c r="F124" s="202">
        <f ca="1">TblImps[[#This Row],[Population]]</f>
        <v>1</v>
      </c>
      <c r="G124" s="284"/>
      <c r="H124" s="284"/>
      <c r="I124" s="284"/>
      <c r="J124" s="284"/>
      <c r="K124" s="528"/>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44348.041666666373</v>
      </c>
      <c r="F125" s="202">
        <f ca="1">TblImps[[#This Row],[Population]]</f>
        <v>1</v>
      </c>
      <c r="G125" s="284"/>
      <c r="H125" s="284"/>
      <c r="I125" s="284"/>
      <c r="J125" s="284"/>
      <c r="K125" s="528"/>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44348.083333333037</v>
      </c>
      <c r="F126" s="202">
        <f ca="1">TblImps[[#This Row],[Population]]</f>
        <v>1</v>
      </c>
      <c r="G126" s="284"/>
      <c r="H126" s="284"/>
      <c r="I126" s="284"/>
      <c r="J126" s="284"/>
      <c r="K126" s="528"/>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44348.124999999702</v>
      </c>
      <c r="F127" s="202">
        <f ca="1">TblImps[[#This Row],[Population]]</f>
        <v>1</v>
      </c>
      <c r="G127" s="284"/>
      <c r="H127" s="284"/>
      <c r="I127" s="284"/>
      <c r="J127" s="284"/>
      <c r="K127" s="528"/>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44348.166666666366</v>
      </c>
      <c r="F128" s="202">
        <f ca="1">TblImps[[#This Row],[Population]]</f>
        <v>1</v>
      </c>
      <c r="G128" s="284"/>
      <c r="H128" s="284"/>
      <c r="I128" s="284"/>
      <c r="J128" s="284"/>
      <c r="K128" s="528"/>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44348.20833333303</v>
      </c>
      <c r="F129" s="202">
        <f ca="1">TblImps[[#This Row],[Population]]</f>
        <v>1</v>
      </c>
      <c r="G129" s="284"/>
      <c r="H129" s="284"/>
      <c r="I129" s="284"/>
      <c r="J129" s="284"/>
      <c r="K129" s="528"/>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44348.249999999694</v>
      </c>
      <c r="F130" s="202">
        <f ca="1">TblImps[[#This Row],[Population]]</f>
        <v>1</v>
      </c>
      <c r="G130" s="284"/>
      <c r="H130" s="284"/>
      <c r="I130" s="284"/>
      <c r="J130" s="284"/>
      <c r="K130" s="528"/>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44348.291666666359</v>
      </c>
      <c r="F131" s="202">
        <f ca="1">TblImps[[#This Row],[Population]]</f>
        <v>1</v>
      </c>
      <c r="G131" s="284"/>
      <c r="H131" s="284"/>
      <c r="I131" s="284"/>
      <c r="J131" s="284"/>
      <c r="K131" s="528"/>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44348.333333333023</v>
      </c>
      <c r="F132" s="202">
        <f ca="1">TblImps[[#This Row],[Population]]</f>
        <v>1</v>
      </c>
      <c r="G132" s="284"/>
      <c r="H132" s="284"/>
      <c r="I132" s="284"/>
      <c r="J132" s="284"/>
      <c r="K132" s="528"/>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44348.374999999687</v>
      </c>
      <c r="F133" s="202">
        <f ca="1">TblImps[[#This Row],[Population]]</f>
        <v>1</v>
      </c>
      <c r="G133" s="284"/>
      <c r="H133" s="284"/>
      <c r="I133" s="284"/>
      <c r="J133" s="284"/>
      <c r="K133" s="528"/>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44348.416666666351</v>
      </c>
      <c r="F134" s="202">
        <f ca="1">TblImps[[#This Row],[Population]]</f>
        <v>1</v>
      </c>
      <c r="G134" s="284"/>
      <c r="H134" s="284"/>
      <c r="I134" s="284"/>
      <c r="J134" s="284"/>
      <c r="K134" s="528"/>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44348.458333333016</v>
      </c>
      <c r="F135" s="202">
        <f ca="1">TblImps[[#This Row],[Population]]</f>
        <v>1</v>
      </c>
      <c r="G135" s="284"/>
      <c r="H135" s="284"/>
      <c r="I135" s="284"/>
      <c r="J135" s="284"/>
      <c r="K135" s="528"/>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44348.49999999968</v>
      </c>
      <c r="F136" s="202">
        <f ca="1">TblImps[[#This Row],[Population]]</f>
        <v>1</v>
      </c>
      <c r="G136" s="284"/>
      <c r="H136" s="284"/>
      <c r="I136" s="284"/>
      <c r="J136" s="284"/>
      <c r="K136" s="528"/>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4" t="s">
        <v>327</v>
      </c>
      <c r="D1269" s="535"/>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4" priority="17" stopIfTrue="1">
      <formula>ROW()-2=#REF!</formula>
    </cfRule>
  </conditionalFormatting>
  <conditionalFormatting sqref="A1269:XFD1270">
    <cfRule type="expression" dxfId="263" priority="18" stopIfTrue="1">
      <formula>$C$1270&gt;144</formula>
    </cfRule>
  </conditionalFormatting>
  <conditionalFormatting sqref="A4:AM136">
    <cfRule type="expression" dxfId="262" priority="1" stopIfTrue="1">
      <formula>ROW()-3=$C$1270</formula>
    </cfRule>
    <cfRule type="expression" dxfId="261" priority="2" stopIfTrue="1">
      <formula>OR(ROW()-3=$C$1270,A4&lt;0)</formula>
    </cfRule>
    <cfRule type="expression" dxfId="260" priority="3">
      <formula>$A4=73</formula>
    </cfRule>
    <cfRule type="expression" dxfId="259" priority="11">
      <formula>ROUND(($A4-1)/12,0)=INT($A4-1)/12</formula>
    </cfRule>
  </conditionalFormatting>
  <conditionalFormatting sqref="G16:U136">
    <cfRule type="expression" dxfId="258" priority="12">
      <formula>COUNTA(G5:G16)&gt;0</formula>
    </cfRule>
  </conditionalFormatting>
  <conditionalFormatting sqref="A1:XFD3">
    <cfRule type="expression" dxfId="257"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1043</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9">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9">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9">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9">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9">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9">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9">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1091</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9">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9">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9">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1103</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9">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9">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9">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9">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9">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9">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1092</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9">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9">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1093</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9">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9">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9">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9">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9">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9">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9">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9">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9">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1094</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9">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9">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9">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9">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9">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9">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9">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9">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1095</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9">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1096</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9">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1102</v>
      </c>
      <c r="I41" s="358" t="s">
        <v>1097</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9">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9">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1104</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9">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9">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9">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1098</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9">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9">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1094</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9">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9">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1094</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9">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1099</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9">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9">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9">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9">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9">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1105</v>
      </c>
      <c r="I56" s="358" t="s">
        <v>1100</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9">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9">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9">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9">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9">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9">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1101</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9">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1106</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9">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9">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9">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9">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1107</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9">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9">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9">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9">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9">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9">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9">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9">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9">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9">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9">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9">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9">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9">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9">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9">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9">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9">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9">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9">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9">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9">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9">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9">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9">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9">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9">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9">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9">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9">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9">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9">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9">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9">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9">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9">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9">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9">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9">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9">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9">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9">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9">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9">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9">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9">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9">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9">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9">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9">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9">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9">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9">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9">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9">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9">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9">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9">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9">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9">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9">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9">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9">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9">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9">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9">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9">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9">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9">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9">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1044</v>
      </c>
      <c r="Y1" s="194" t="s">
        <v>37</v>
      </c>
      <c r="Z1" s="194"/>
      <c r="AA1" s="194"/>
      <c r="AB1" s="194"/>
      <c r="AC1" s="194"/>
      <c r="AD1" s="194"/>
      <c r="AF1" s="599" t="s">
        <v>221</v>
      </c>
      <c r="AG1" s="599"/>
      <c r="AH1" s="194"/>
      <c r="AI1" s="194"/>
      <c r="AJ1" s="194"/>
      <c r="AK1" s="194"/>
      <c r="AM1" s="597" t="s">
        <v>229</v>
      </c>
      <c r="AN1" s="597"/>
      <c r="AO1" s="367"/>
      <c r="AP1" s="367"/>
      <c r="AQ1" s="368"/>
      <c r="AR1" s="597" t="s">
        <v>230</v>
      </c>
      <c r="AS1" s="597"/>
      <c r="AT1" s="598"/>
      <c r="AU1" s="367"/>
      <c r="AV1" s="368"/>
      <c r="AW1" s="597" t="s">
        <v>231</v>
      </c>
      <c r="AX1" s="597"/>
      <c r="AY1" s="597"/>
      <c r="AZ1" s="367"/>
      <c r="BA1" s="368"/>
      <c r="BB1" s="597" t="s">
        <v>232</v>
      </c>
      <c r="BC1" s="597"/>
      <c r="BD1" s="597"/>
      <c r="BE1" s="597"/>
      <c r="BF1" s="368"/>
      <c r="BG1" s="597" t="s">
        <v>233</v>
      </c>
      <c r="BH1" s="597"/>
      <c r="BI1" s="597"/>
      <c r="BJ1" s="367"/>
      <c r="BK1" s="368"/>
      <c r="BL1" s="597" t="s">
        <v>234</v>
      </c>
      <c r="BM1" s="598"/>
      <c r="BN1" s="598"/>
      <c r="BO1" s="367"/>
      <c r="BP1" s="368"/>
      <c r="BQ1" s="597" t="s">
        <v>235</v>
      </c>
      <c r="BR1" s="597"/>
      <c r="BS1" s="597"/>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1074</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1075</v>
      </c>
      <c r="BG3" s="371" t="s">
        <v>992</v>
      </c>
      <c r="BH3" s="371" t="s">
        <v>993</v>
      </c>
      <c r="BI3" s="371" t="s">
        <v>994</v>
      </c>
      <c r="BJ3" s="371" t="s">
        <v>995</v>
      </c>
      <c r="BK3" s="371" t="s">
        <v>1076</v>
      </c>
      <c r="BL3" s="371" t="s">
        <v>996</v>
      </c>
      <c r="BM3" s="371" t="s">
        <v>997</v>
      </c>
      <c r="BN3" s="371" t="s">
        <v>998</v>
      </c>
      <c r="BO3" s="371" t="s">
        <v>999</v>
      </c>
      <c r="BP3" s="371" t="s">
        <v>1077</v>
      </c>
      <c r="BQ3" s="371" t="s">
        <v>1000</v>
      </c>
      <c r="BR3" s="371" t="s">
        <v>1001</v>
      </c>
      <c r="BS3" s="371" t="s">
        <v>1002</v>
      </c>
      <c r="BT3" s="371" t="s">
        <v>1003</v>
      </c>
      <c r="BU3" s="196" t="s">
        <v>1078</v>
      </c>
      <c r="BV3" s="372" t="s">
        <v>320</v>
      </c>
      <c r="BW3" s="196" t="s">
        <v>1011</v>
      </c>
      <c r="BX3" s="196" t="s">
        <v>1079</v>
      </c>
      <c r="BY3" s="196" t="s">
        <v>1012</v>
      </c>
      <c r="BZ3" s="196" t="s">
        <v>321</v>
      </c>
    </row>
    <row r="4" spans="1:84" x14ac:dyDescent="0.2">
      <c r="A4" s="280">
        <f ca="1">TblConstr[[#This Row],[Land]]</f>
        <v>250</v>
      </c>
      <c r="B4" s="184"/>
      <c r="C4" s="113">
        <f ca="1">TblProd[[#This Row],[Platinum]]</f>
        <v>99150</v>
      </c>
      <c r="D4" s="113">
        <f ca="1">TblProd[[#This Row],[Lumber]]</f>
        <v>14912</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44343</v>
      </c>
      <c r="M4" s="74">
        <f>IF(ISERROR(TblImps[[#This Row],[algorithm]]),0,TblImps[[#This Row],[algorithm]]*1)</f>
        <v>1</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 s="74">
        <f>TblImps[[#This Row],[Login]]</f>
        <v>1</v>
      </c>
      <c r="BX4" s="178"/>
      <c r="BY4" s="382">
        <f>Overview!E15</f>
        <v>44343</v>
      </c>
      <c r="BZ4" s="383">
        <f>Overview!B15</f>
        <v>44343</v>
      </c>
      <c r="CA4" s="141"/>
      <c r="CB4" s="384"/>
      <c r="CC4" s="385"/>
    </row>
    <row r="5" spans="1:84" x14ac:dyDescent="0.2">
      <c r="A5" s="280">
        <f ca="1">TblConstr[[#This Row],[Land]]</f>
        <v>250</v>
      </c>
      <c r="B5" s="184"/>
      <c r="C5" s="113">
        <f ca="1">TblProd[[#This Row],[Platinum]]</f>
        <v>104010</v>
      </c>
      <c r="D5" s="113">
        <f ca="1">TblProd[[#This Row],[Lumber]]</f>
        <v>15763</v>
      </c>
      <c r="E5" s="113">
        <f ca="1">TblProd[[#This Row],[Ore]]</f>
        <v>0</v>
      </c>
      <c r="F5" s="113">
        <f ca="1">TblProd[[#This Row],[Gems]]</f>
        <v>10000</v>
      </c>
      <c r="G5" s="200"/>
      <c r="H5" s="113">
        <f ca="1">TblMili[[#This Row],[Draftees]]</f>
        <v>113</v>
      </c>
      <c r="I5" s="234">
        <f ca="1">TblPop[[#This Row],[Employment]]</f>
        <v>1</v>
      </c>
      <c r="J5" s="234">
        <f ca="1">TblPop[[#This Row],[Total]]/TblPop[[#This Row],[Net max]]</f>
        <v>0.69214527027027029</v>
      </c>
      <c r="K5" s="373">
        <f>TblRezone[[#This Row],[Hour]]</f>
        <v>2</v>
      </c>
      <c r="L5" s="374">
        <f ca="1">TblImps[[#This Row],[Real time]]</f>
        <v>44343.041666666664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44343.041666666664</v>
      </c>
      <c r="BZ5" s="387">
        <f ca="1">OFFSET(TblImps[[#This Row],[Servertime]],-1,0)+1/24</f>
        <v>44343.041666666664</v>
      </c>
      <c r="CA5" s="141"/>
      <c r="CB5" s="385"/>
      <c r="CC5" s="385"/>
    </row>
    <row r="6" spans="1:84" x14ac:dyDescent="0.2">
      <c r="A6" s="280">
        <f ca="1">TblConstr[[#This Row],[Land]]</f>
        <v>250</v>
      </c>
      <c r="B6" s="184"/>
      <c r="C6" s="113">
        <f ca="1">TblProd[[#This Row],[Platinum]]</f>
        <v>108940</v>
      </c>
      <c r="D6" s="113">
        <f ca="1">TblProd[[#This Row],[Lumber]]</f>
        <v>16605</v>
      </c>
      <c r="E6" s="113">
        <f ca="1">TblProd[[#This Row],[Ore]]</f>
        <v>0</v>
      </c>
      <c r="F6" s="113">
        <f ca="1">TblProd[[#This Row],[Gems]]</f>
        <v>10000</v>
      </c>
      <c r="G6" s="200"/>
      <c r="H6" s="113">
        <f ca="1">TblMili[[#This Row],[Draftees]]</f>
        <v>126</v>
      </c>
      <c r="I6" s="234">
        <f ca="1">TblPop[[#This Row],[Employment]]</f>
        <v>1</v>
      </c>
      <c r="J6" s="234">
        <f ca="1">TblPop[[#This Row],[Total]]/TblPop[[#This Row],[Net max]]</f>
        <v>0.70861486486486491</v>
      </c>
      <c r="K6" s="373">
        <f>TblRezone[[#This Row],[Hour]]</f>
        <v>3</v>
      </c>
      <c r="L6" s="374">
        <f ca="1">TblImps[[#This Row],[Real time]]</f>
        <v>44343.083333333328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44343.083333333328</v>
      </c>
      <c r="BZ6" s="387">
        <f ca="1">OFFSET(TblImps[[#This Row],[Servertime]],-1,0)+1/24</f>
        <v>44343.083333333328</v>
      </c>
      <c r="CA6" s="141"/>
      <c r="CB6" s="385"/>
      <c r="CC6" s="385"/>
      <c r="CF6" s="388"/>
    </row>
    <row r="7" spans="1:84" x14ac:dyDescent="0.2">
      <c r="A7" s="280">
        <f ca="1">TblConstr[[#This Row],[Land]]</f>
        <v>250</v>
      </c>
      <c r="B7" s="184"/>
      <c r="C7" s="113">
        <f ca="1">TblProd[[#This Row],[Platinum]]</f>
        <v>113940</v>
      </c>
      <c r="D7" s="113">
        <f ca="1">TblProd[[#This Row],[Lumber]]</f>
        <v>17439</v>
      </c>
      <c r="E7" s="113">
        <f ca="1">TblProd[[#This Row],[Ore]]</f>
        <v>0</v>
      </c>
      <c r="F7" s="113">
        <f ca="1">TblProd[[#This Row],[Gems]]</f>
        <v>10000</v>
      </c>
      <c r="G7" s="200"/>
      <c r="H7" s="113">
        <f ca="1">TblMili[[#This Row],[Draftees]]</f>
        <v>140</v>
      </c>
      <c r="I7" s="234">
        <f ca="1">TblPop[[#This Row],[Employment]]</f>
        <v>1</v>
      </c>
      <c r="J7" s="234">
        <f ca="1">TblPop[[#This Row],[Total]]/TblPop[[#This Row],[Net max]]</f>
        <v>0.7255067567567568</v>
      </c>
      <c r="K7" s="373">
        <f>TblRezone[[#This Row],[Hour]]</f>
        <v>4</v>
      </c>
      <c r="L7" s="374">
        <f ca="1">TblImps[[#This Row],[Real time]]</f>
        <v>44343.124999999993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44343.124999999993</v>
      </c>
      <c r="BZ7" s="387">
        <f ca="1">OFFSET(TblImps[[#This Row],[Servertime]],-1,0)+1/24</f>
        <v>44343.124999999993</v>
      </c>
      <c r="CA7" s="141"/>
      <c r="CB7" s="385"/>
      <c r="CC7" s="385"/>
      <c r="CF7" s="389"/>
    </row>
    <row r="8" spans="1:84" x14ac:dyDescent="0.2">
      <c r="A8" s="280">
        <f ca="1">TblConstr[[#This Row],[Land]]</f>
        <v>250</v>
      </c>
      <c r="B8" s="184"/>
      <c r="C8" s="113">
        <f ca="1">TblProd[[#This Row],[Platinum]]</f>
        <v>119010</v>
      </c>
      <c r="D8" s="113">
        <f ca="1">TblProd[[#This Row],[Lumber]]</f>
        <v>18265</v>
      </c>
      <c r="E8" s="113">
        <f ca="1">TblProd[[#This Row],[Ore]]</f>
        <v>0</v>
      </c>
      <c r="F8" s="113">
        <f ca="1">TblProd[[#This Row],[Gems]]</f>
        <v>10000</v>
      </c>
      <c r="G8" s="200"/>
      <c r="H8" s="113">
        <f ca="1">TblMili[[#This Row],[Draftees]]</f>
        <v>154</v>
      </c>
      <c r="I8" s="234">
        <f ca="1">TblPop[[#This Row],[Employment]]</f>
        <v>1</v>
      </c>
      <c r="J8" s="234">
        <f ca="1">TblPop[[#This Row],[Total]]/TblPop[[#This Row],[Net max]]</f>
        <v>0.74282094594594594</v>
      </c>
      <c r="K8" s="373">
        <f>TblRezone[[#This Row],[Hour]]</f>
        <v>5</v>
      </c>
      <c r="L8" s="374">
        <f ca="1">TblImps[[#This Row],[Real time]]</f>
        <v>44343.166666666657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44343.166666666657</v>
      </c>
      <c r="BZ8" s="387">
        <f ca="1">OFFSET(TblImps[[#This Row],[Servertime]],-1,0)+1/24</f>
        <v>44343.166666666657</v>
      </c>
      <c r="CA8" s="141"/>
      <c r="CB8" s="385"/>
      <c r="CC8" s="385"/>
      <c r="CF8" s="388"/>
    </row>
    <row r="9" spans="1:84" x14ac:dyDescent="0.2">
      <c r="A9" s="280">
        <f ca="1">TblConstr[[#This Row],[Land]]</f>
        <v>250</v>
      </c>
      <c r="B9" s="184"/>
      <c r="C9" s="113">
        <f ca="1">TblProd[[#This Row],[Platinum]]</f>
        <v>124153</v>
      </c>
      <c r="D9" s="113">
        <f ca="1">TblProd[[#This Row],[Lumber]]</f>
        <v>19082</v>
      </c>
      <c r="E9" s="113">
        <f ca="1">TblProd[[#This Row],[Ore]]</f>
        <v>0</v>
      </c>
      <c r="F9" s="113">
        <f ca="1">TblProd[[#This Row],[Gems]]</f>
        <v>10000</v>
      </c>
      <c r="G9" s="200"/>
      <c r="H9" s="113">
        <f ca="1">TblMili[[#This Row],[Draftees]]</f>
        <v>168</v>
      </c>
      <c r="I9" s="234">
        <f ca="1">TblPop[[#This Row],[Employment]]</f>
        <v>1</v>
      </c>
      <c r="J9" s="234">
        <f ca="1">TblPop[[#This Row],[Total]]/TblPop[[#This Row],[Net max]]</f>
        <v>0.76055743243243246</v>
      </c>
      <c r="K9" s="373">
        <f>TblRezone[[#This Row],[Hour]]</f>
        <v>6</v>
      </c>
      <c r="L9" s="374">
        <f ca="1">TblImps[[#This Row],[Real time]]</f>
        <v>44343.208333333321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44343.208333333321</v>
      </c>
      <c r="BZ9" s="387">
        <f ca="1">OFFSET(TblImps[[#This Row],[Servertime]],-1,0)+1/24</f>
        <v>44343.208333333321</v>
      </c>
      <c r="CA9" s="141"/>
      <c r="CB9" s="385"/>
      <c r="CC9" s="385"/>
      <c r="CF9" s="388"/>
    </row>
    <row r="10" spans="1:84" x14ac:dyDescent="0.2">
      <c r="A10" s="280">
        <f ca="1">TblConstr[[#This Row],[Land]]</f>
        <v>250</v>
      </c>
      <c r="B10" s="184"/>
      <c r="C10" s="113">
        <f ca="1">TblProd[[#This Row],[Platinum]]</f>
        <v>129372</v>
      </c>
      <c r="D10" s="113">
        <f ca="1">TblProd[[#This Row],[Lumber]]</f>
        <v>19891</v>
      </c>
      <c r="E10" s="113">
        <f ca="1">TblProd[[#This Row],[Ore]]</f>
        <v>0</v>
      </c>
      <c r="F10" s="113">
        <f ca="1">TblProd[[#This Row],[Gems]]</f>
        <v>10000</v>
      </c>
      <c r="G10" s="200"/>
      <c r="H10" s="113">
        <f ca="1">TblMili[[#This Row],[Draftees]]</f>
        <v>182</v>
      </c>
      <c r="I10" s="234">
        <f ca="1">TblPop[[#This Row],[Employment]]</f>
        <v>1</v>
      </c>
      <c r="J10" s="234">
        <f ca="1">TblPop[[#This Row],[Total]]/TblPop[[#This Row],[Net max]]</f>
        <v>0.77871621621621623</v>
      </c>
      <c r="K10" s="373">
        <f>TblRezone[[#This Row],[Hour]]</f>
        <v>7</v>
      </c>
      <c r="L10" s="374">
        <f ca="1">TblImps[[#This Row],[Real time]]</f>
        <v>44343.249999999985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44343.249999999985</v>
      </c>
      <c r="BZ10" s="387">
        <f ca="1">OFFSET(TblImps[[#This Row],[Servertime]],-1,0)+1/24</f>
        <v>44343.249999999985</v>
      </c>
      <c r="CA10" s="141"/>
      <c r="CB10" s="385"/>
      <c r="CC10" s="385"/>
    </row>
    <row r="11" spans="1:84" x14ac:dyDescent="0.2">
      <c r="A11" s="280">
        <f ca="1">TblConstr[[#This Row],[Land]]</f>
        <v>250</v>
      </c>
      <c r="B11" s="184"/>
      <c r="C11" s="113">
        <f ca="1">TblProd[[#This Row],[Platinum]]</f>
        <v>134669</v>
      </c>
      <c r="D11" s="113">
        <f ca="1">TblProd[[#This Row],[Lumber]]</f>
        <v>20692</v>
      </c>
      <c r="E11" s="113">
        <f ca="1">TblProd[[#This Row],[Ore]]</f>
        <v>0</v>
      </c>
      <c r="F11" s="113">
        <f ca="1">TblProd[[#This Row],[Gems]]</f>
        <v>10000</v>
      </c>
      <c r="G11" s="200"/>
      <c r="H11" s="113">
        <f ca="1">TblMili[[#This Row],[Draftees]]</f>
        <v>197</v>
      </c>
      <c r="I11" s="234">
        <f ca="1">TblPop[[#This Row],[Employment]]</f>
        <v>1</v>
      </c>
      <c r="J11" s="234">
        <f ca="1">TblPop[[#This Row],[Total]]/TblPop[[#This Row],[Net max]]</f>
        <v>0.796875</v>
      </c>
      <c r="K11" s="373">
        <f>TblRezone[[#This Row],[Hour]]</f>
        <v>8</v>
      </c>
      <c r="L11" s="374">
        <f ca="1">TblImps[[#This Row],[Real time]]</f>
        <v>44343.29166666665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44343.29166666665</v>
      </c>
      <c r="BZ11" s="387">
        <f ca="1">OFFSET(TblImps[[#This Row],[Servertime]],-1,0)+1/24</f>
        <v>44343.29166666665</v>
      </c>
      <c r="CA11" s="141"/>
      <c r="CB11" s="385"/>
      <c r="CC11" s="385"/>
    </row>
    <row r="12" spans="1:84" x14ac:dyDescent="0.2">
      <c r="A12" s="280">
        <f ca="1">TblConstr[[#This Row],[Land]]</f>
        <v>250</v>
      </c>
      <c r="B12" s="184"/>
      <c r="C12" s="113">
        <f ca="1">TblProd[[#This Row],[Platinum]]</f>
        <v>140042</v>
      </c>
      <c r="D12" s="113">
        <f ca="1">TblProd[[#This Row],[Lumber]]</f>
        <v>21485</v>
      </c>
      <c r="E12" s="113">
        <f ca="1">TblProd[[#This Row],[Ore]]</f>
        <v>0</v>
      </c>
      <c r="F12" s="113">
        <f ca="1">TblProd[[#This Row],[Gems]]</f>
        <v>10000</v>
      </c>
      <c r="G12" s="200"/>
      <c r="H12" s="113">
        <f ca="1">TblMili[[#This Row],[Draftees]]</f>
        <v>212</v>
      </c>
      <c r="I12" s="234">
        <f ca="1">TblPop[[#This Row],[Employment]]</f>
        <v>1</v>
      </c>
      <c r="J12" s="234">
        <f ca="1">TblPop[[#This Row],[Total]]/TblPop[[#This Row],[Net max]]</f>
        <v>0.81545608108108103</v>
      </c>
      <c r="K12" s="373">
        <f>TblRezone[[#This Row],[Hour]]</f>
        <v>9</v>
      </c>
      <c r="L12" s="374">
        <f ca="1">TblImps[[#This Row],[Real time]]</f>
        <v>44343.333333333314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44343.333333333314</v>
      </c>
      <c r="BZ12" s="387">
        <f ca="1">OFFSET(TblImps[[#This Row],[Servertime]],-1,0)+1/24</f>
        <v>44343.333333333314</v>
      </c>
      <c r="CA12" s="141"/>
      <c r="CB12" s="385"/>
      <c r="CC12" s="385"/>
    </row>
    <row r="13" spans="1:84" x14ac:dyDescent="0.2">
      <c r="A13" s="280">
        <f ca="1">TblConstr[[#This Row],[Land]]</f>
        <v>250</v>
      </c>
      <c r="B13" s="184"/>
      <c r="C13" s="113">
        <f ca="1">TblProd[[#This Row],[Platinum]]</f>
        <v>145493</v>
      </c>
      <c r="D13" s="113">
        <f ca="1">TblProd[[#This Row],[Lumber]]</f>
        <v>22270</v>
      </c>
      <c r="E13" s="113">
        <f ca="1">TblProd[[#This Row],[Ore]]</f>
        <v>0</v>
      </c>
      <c r="F13" s="113">
        <f ca="1">TblProd[[#This Row],[Gems]]</f>
        <v>10000</v>
      </c>
      <c r="G13" s="200"/>
      <c r="H13" s="113">
        <f ca="1">TblMili[[#This Row],[Draftees]]</f>
        <v>227</v>
      </c>
      <c r="I13" s="234">
        <f ca="1">TblPop[[#This Row],[Employment]]</f>
        <v>1</v>
      </c>
      <c r="J13" s="234">
        <f ca="1">TblPop[[#This Row],[Total]]/TblPop[[#This Row],[Net max]]</f>
        <v>0.83445945945945943</v>
      </c>
      <c r="K13" s="373">
        <f>TblRezone[[#This Row],[Hour]]</f>
        <v>10</v>
      </c>
      <c r="L13" s="374">
        <f ca="1">TblImps[[#This Row],[Real time]]</f>
        <v>44343.374999999978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44343.374999999978</v>
      </c>
      <c r="BZ13" s="387">
        <f ca="1">OFFSET(TblImps[[#This Row],[Servertime]],-1,0)+1/24</f>
        <v>44343.374999999978</v>
      </c>
      <c r="CA13" s="141"/>
      <c r="CB13" s="385"/>
      <c r="CC13" s="385"/>
    </row>
    <row r="14" spans="1:84" x14ac:dyDescent="0.2">
      <c r="A14" s="280">
        <f ca="1">TblConstr[[#This Row],[Land]]</f>
        <v>250</v>
      </c>
      <c r="B14" s="184"/>
      <c r="C14" s="113">
        <f ca="1">TblProd[[#This Row],[Platinum]]</f>
        <v>151025</v>
      </c>
      <c r="D14" s="113">
        <f ca="1">TblProd[[#This Row],[Lumber]]</f>
        <v>23047</v>
      </c>
      <c r="E14" s="113">
        <f ca="1">TblProd[[#This Row],[Ore]]</f>
        <v>0</v>
      </c>
      <c r="F14" s="113">
        <f ca="1">TblProd[[#This Row],[Gems]]</f>
        <v>10000</v>
      </c>
      <c r="G14" s="200"/>
      <c r="H14" s="113">
        <f ca="1">TblMili[[#This Row],[Draftees]]</f>
        <v>242</v>
      </c>
      <c r="I14" s="234">
        <f ca="1">TblPop[[#This Row],[Employment]]</f>
        <v>1</v>
      </c>
      <c r="J14" s="234">
        <f ca="1">TblPop[[#This Row],[Total]]/TblPop[[#This Row],[Net max]]</f>
        <v>0.85388513513513509</v>
      </c>
      <c r="K14" s="373">
        <f>TblRezone[[#This Row],[Hour]]</f>
        <v>11</v>
      </c>
      <c r="L14" s="374">
        <f ca="1">TblImps[[#This Row],[Real time]]</f>
        <v>44343.416666666642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44343.416666666642</v>
      </c>
      <c r="BZ14" s="387">
        <f ca="1">OFFSET(TblImps[[#This Row],[Servertime]],-1,0)+1/24</f>
        <v>44343.416666666642</v>
      </c>
      <c r="CA14" s="141"/>
      <c r="CB14" s="385"/>
      <c r="CC14" s="385"/>
    </row>
    <row r="15" spans="1:84" x14ac:dyDescent="0.2">
      <c r="A15" s="280">
        <f ca="1">TblConstr[[#This Row],[Land]]</f>
        <v>250</v>
      </c>
      <c r="B15" s="184"/>
      <c r="C15" s="113">
        <f ca="1">TblProd[[#This Row],[Platinum]]</f>
        <v>156641</v>
      </c>
      <c r="D15" s="113">
        <f ca="1">TblProd[[#This Row],[Lumber]]</f>
        <v>23817</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0.87373310810810811</v>
      </c>
      <c r="K15" s="373">
        <f>TblRezone[[#This Row],[Hour]]</f>
        <v>12</v>
      </c>
      <c r="L15" s="374">
        <f ca="1">TblImps[[#This Row],[Real time]]</f>
        <v>44343.458333333307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44343.458333333307</v>
      </c>
      <c r="BZ15" s="387">
        <f ca="1">OFFSET(TblImps[[#This Row],[Servertime]],-1,0)+1/24</f>
        <v>44343.458333333307</v>
      </c>
      <c r="CA15" s="141"/>
      <c r="CB15" s="385"/>
      <c r="CC15" s="385"/>
    </row>
    <row r="16" spans="1:84" x14ac:dyDescent="0.2">
      <c r="A16" s="280">
        <f ca="1">TblConstr[[#This Row],[Land]]</f>
        <v>250</v>
      </c>
      <c r="B16" s="184"/>
      <c r="C16" s="113">
        <f ca="1">TblProd[[#This Row],[Platinum]]</f>
        <v>162311</v>
      </c>
      <c r="D16" s="113">
        <f ca="1">TblProd[[#This Row],[Lumber]]</f>
        <v>24579</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0.88837599664288713</v>
      </c>
      <c r="K16" s="373">
        <f>TblRezone[[#This Row],[Hour]]</f>
        <v>13</v>
      </c>
      <c r="L16" s="374">
        <f ca="1">TblImps[[#This Row],[Real time]]</f>
        <v>44343.499999999971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44343.499999999971</v>
      </c>
      <c r="BZ16" s="387">
        <f ca="1">OFFSET(TblImps[[#This Row],[Servertime]],-1,0)+1/24</f>
        <v>44343.499999999971</v>
      </c>
      <c r="CA16" s="141"/>
      <c r="CB16" s="385"/>
      <c r="CC16" s="385"/>
    </row>
    <row r="17" spans="1:84" x14ac:dyDescent="0.2">
      <c r="A17" s="280">
        <f ca="1">TblConstr[[#This Row],[Land]]</f>
        <v>250</v>
      </c>
      <c r="B17" s="184"/>
      <c r="C17" s="113">
        <f ca="1">TblProd[[#This Row],[Platinum]]</f>
        <v>167981</v>
      </c>
      <c r="D17" s="113">
        <f ca="1">TblProd[[#This Row],[Lumber]]</f>
        <v>25333</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0.90893831305077633</v>
      </c>
      <c r="K17" s="373">
        <f>TblRezone[[#This Row],[Hour]]</f>
        <v>14</v>
      </c>
      <c r="L17" s="374">
        <f ca="1">TblImps[[#This Row],[Real time]]</f>
        <v>44343.541666666635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44343.541666666635</v>
      </c>
      <c r="BZ17" s="387">
        <f ca="1">OFFSET(TblImps[[#This Row],[Servertime]],-1,0)+1/24</f>
        <v>44343.541666666635</v>
      </c>
      <c r="CA17" s="141"/>
      <c r="CB17" s="385"/>
      <c r="CC17" s="385"/>
      <c r="CD17" s="205"/>
    </row>
    <row r="18" spans="1:84" x14ac:dyDescent="0.2">
      <c r="A18" s="280">
        <f ca="1">TblConstr[[#This Row],[Land]]</f>
        <v>250</v>
      </c>
      <c r="B18" s="184"/>
      <c r="C18" s="113">
        <f ca="1">TblProd[[#This Row],[Platinum]]</f>
        <v>173651</v>
      </c>
      <c r="D18" s="113">
        <f ca="1">TblProd[[#This Row],[Lumber]]</f>
        <v>26080</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0.92992026856903065</v>
      </c>
      <c r="K18" s="373">
        <f>TblRezone[[#This Row],[Hour]]</f>
        <v>15</v>
      </c>
      <c r="L18" s="374">
        <f ca="1">TblImps[[#This Row],[Real time]]</f>
        <v>44343.583333333299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44343.583333333299</v>
      </c>
      <c r="BZ18" s="387">
        <f ca="1">OFFSET(TblImps[[#This Row],[Servertime]],-1,0)+1/24</f>
        <v>44343.583333333299</v>
      </c>
      <c r="CA18" s="390"/>
      <c r="CB18" s="385"/>
      <c r="CC18" s="385"/>
      <c r="CF18" s="388"/>
    </row>
    <row r="19" spans="1:84" x14ac:dyDescent="0.2">
      <c r="A19" s="280">
        <f ca="1">TblConstr[[#This Row],[Land]]</f>
        <v>250</v>
      </c>
      <c r="B19" s="184"/>
      <c r="C19" s="113">
        <f ca="1">TblProd[[#This Row],[Platinum]]</f>
        <v>179321</v>
      </c>
      <c r="D19" s="113">
        <f ca="1">TblProd[[#This Row],[Lumber]]</f>
        <v>26819</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0.95132186319765</v>
      </c>
      <c r="K19" s="373">
        <f>TblRezone[[#This Row],[Hour]]</f>
        <v>16</v>
      </c>
      <c r="L19" s="374">
        <f ca="1">TblImps[[#This Row],[Real time]]</f>
        <v>44343.624999999964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44343.624999999964</v>
      </c>
      <c r="BZ19" s="387">
        <f ca="1">OFFSET(TblImps[[#This Row],[Servertime]],-1,0)+1/24</f>
        <v>44343.624999999964</v>
      </c>
      <c r="CA19" s="141"/>
      <c r="CB19" s="385"/>
      <c r="CC19" s="385"/>
      <c r="CF19" s="389"/>
    </row>
    <row r="20" spans="1:84" x14ac:dyDescent="0.2">
      <c r="A20" s="280">
        <f ca="1">TblConstr[[#This Row],[Land]]</f>
        <v>250</v>
      </c>
      <c r="B20" s="184"/>
      <c r="C20" s="113">
        <f ca="1">TblProd[[#This Row],[Platinum]]</f>
        <v>184991</v>
      </c>
      <c r="D20" s="113">
        <f ca="1">TblProd[[#This Row],[Lumber]]</f>
        <v>27551</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0.97314309693663448</v>
      </c>
      <c r="K20" s="373">
        <f>TblRezone[[#This Row],[Hour]]</f>
        <v>17</v>
      </c>
      <c r="L20" s="374">
        <f ca="1">TblImps[[#This Row],[Real time]]</f>
        <v>44343.666666666628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44343.666666666628</v>
      </c>
      <c r="BZ20" s="387">
        <f ca="1">OFFSET(TblImps[[#This Row],[Servertime]],-1,0)+1/24</f>
        <v>44343.666666666628</v>
      </c>
      <c r="CA20" s="141"/>
      <c r="CB20" s="385"/>
      <c r="CC20" s="385"/>
      <c r="CF20" s="388"/>
    </row>
    <row r="21" spans="1:84" x14ac:dyDescent="0.2">
      <c r="A21" s="280">
        <f ca="1">TblConstr[[#This Row],[Land]]</f>
        <v>250</v>
      </c>
      <c r="B21" s="184"/>
      <c r="C21" s="113">
        <f ca="1">TblProd[[#This Row],[Platinum]]</f>
        <v>190661</v>
      </c>
      <c r="D21" s="113">
        <f ca="1">TblProd[[#This Row],[Lumber]]</f>
        <v>28275</v>
      </c>
      <c r="E21" s="113">
        <f ca="1">TblProd[[#This Row],[Ore]]</f>
        <v>0</v>
      </c>
      <c r="F21" s="113">
        <f ca="1">TblProd[[#This Row],[Gems]]</f>
        <v>10000</v>
      </c>
      <c r="G21" s="200"/>
      <c r="H21" s="113">
        <f ca="1">TblMili[[#This Row],[Draftees]]</f>
        <v>359</v>
      </c>
      <c r="I21" s="234">
        <f ca="1">TblPop[[#This Row],[Employment]]</f>
        <v>0.88251516822945397</v>
      </c>
      <c r="J21" s="234">
        <f ca="1">TblPop[[#This Row],[Total]]/TblPop[[#This Row],[Net max]]</f>
        <v>0.99538396978598409</v>
      </c>
      <c r="K21" s="373">
        <f>TblRezone[[#This Row],[Hour]]</f>
        <v>18</v>
      </c>
      <c r="L21" s="374">
        <f ca="1">TblImps[[#This Row],[Real time]]</f>
        <v>44343.708333333292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44343.708333333292</v>
      </c>
      <c r="BZ21" s="387">
        <f ca="1">OFFSET(TblImps[[#This Row],[Servertime]],-1,0)+1/24</f>
        <v>44343.708333333292</v>
      </c>
      <c r="CA21" s="141"/>
      <c r="CB21" s="385"/>
      <c r="CC21" s="385"/>
      <c r="CF21" s="388"/>
    </row>
    <row r="22" spans="1:84" x14ac:dyDescent="0.2">
      <c r="A22" s="280">
        <f ca="1">TblConstr[[#This Row],[Land]]</f>
        <v>250</v>
      </c>
      <c r="B22" s="184"/>
      <c r="C22" s="113">
        <f ca="1">TblProd[[#This Row],[Platinum]]</f>
        <v>196331</v>
      </c>
      <c r="D22" s="113">
        <f ca="1">TblProd[[#This Row],[Lumber]]</f>
        <v>28992</v>
      </c>
      <c r="E22" s="113">
        <f ca="1">TblProd[[#This Row],[Ore]]</f>
        <v>0</v>
      </c>
      <c r="F22" s="113">
        <f ca="1">TblProd[[#This Row],[Gems]]</f>
        <v>10000</v>
      </c>
      <c r="G22" s="200"/>
      <c r="H22" s="113">
        <f ca="1">TblMili[[#This Row],[Draftees]]</f>
        <v>377</v>
      </c>
      <c r="I22" s="234">
        <f ca="1">TblPop[[#This Row],[Employment]]</f>
        <v>0.88593576965669985</v>
      </c>
      <c r="J22" s="234">
        <f ca="1">TblPop[[#This Row],[Total]]/TblPop[[#This Row],[Net max]]</f>
        <v>1</v>
      </c>
      <c r="K22" s="373">
        <f>TblRezone[[#This Row],[Hour]]</f>
        <v>19</v>
      </c>
      <c r="L22" s="374">
        <f ca="1">TblImps[[#This Row],[Real time]]</f>
        <v>44343.749999999956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44343.749999999956</v>
      </c>
      <c r="BZ22" s="387">
        <f ca="1">OFFSET(TblImps[[#This Row],[Servertime]],-1,0)+1/24</f>
        <v>44343.749999999956</v>
      </c>
      <c r="CA22" s="141"/>
      <c r="CB22" s="385"/>
      <c r="CC22" s="385"/>
    </row>
    <row r="23" spans="1:84" x14ac:dyDescent="0.2">
      <c r="A23" s="280">
        <f ca="1">TblConstr[[#This Row],[Land]]</f>
        <v>250</v>
      </c>
      <c r="B23" s="184"/>
      <c r="C23" s="113">
        <f ca="1">TblProd[[#This Row],[Platinum]]</f>
        <v>202001</v>
      </c>
      <c r="D23" s="113">
        <f ca="1">TblProd[[#This Row],[Lumber]]</f>
        <v>29702</v>
      </c>
      <c r="E23" s="113">
        <f ca="1">TblProd[[#This Row],[Ore]]</f>
        <v>0</v>
      </c>
      <c r="F23" s="113">
        <f ca="1">TblProd[[#This Row],[Gems]]</f>
        <v>10000</v>
      </c>
      <c r="G23" s="200"/>
      <c r="H23" s="113">
        <f ca="1">TblMili[[#This Row],[Draftees]]</f>
        <v>395</v>
      </c>
      <c r="I23" s="234">
        <f ca="1">TblPop[[#This Row],[Employment]]</f>
        <v>0.89485458612975388</v>
      </c>
      <c r="J23" s="234">
        <f ca="1">TblPop[[#This Row],[Total]]/TblPop[[#This Row],[Net max]]</f>
        <v>1</v>
      </c>
      <c r="K23" s="373">
        <f>TblRezone[[#This Row],[Hour]]</f>
        <v>20</v>
      </c>
      <c r="L23" s="374">
        <f ca="1">TblImps[[#This Row],[Real time]]</f>
        <v>44343.791666666621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44343.791666666621</v>
      </c>
      <c r="BZ23" s="387">
        <f ca="1">OFFSET(TblImps[[#This Row],[Servertime]],-1,0)+1/24</f>
        <v>44343.791666666621</v>
      </c>
      <c r="CA23" s="141"/>
      <c r="CB23" s="385"/>
      <c r="CC23" s="385"/>
    </row>
    <row r="24" spans="1:84" x14ac:dyDescent="0.2">
      <c r="A24" s="280">
        <f ca="1">TblConstr[[#This Row],[Land]]</f>
        <v>250</v>
      </c>
      <c r="B24" s="184"/>
      <c r="C24" s="113">
        <f ca="1">TblProd[[#This Row],[Platinum]]</f>
        <v>207671</v>
      </c>
      <c r="D24" s="113">
        <f ca="1">TblProd[[#This Row],[Lumber]]</f>
        <v>30405</v>
      </c>
      <c r="E24" s="113">
        <f ca="1">TblProd[[#This Row],[Ore]]</f>
        <v>0</v>
      </c>
      <c r="F24" s="113">
        <f ca="1">TblProd[[#This Row],[Gems]]</f>
        <v>10000</v>
      </c>
      <c r="G24" s="200"/>
      <c r="H24" s="113">
        <f ca="1">TblMili[[#This Row],[Draftees]]</f>
        <v>413</v>
      </c>
      <c r="I24" s="234">
        <f ca="1">TblPop[[#This Row],[Employment]]</f>
        <v>0.903954802259887</v>
      </c>
      <c r="J24" s="234">
        <f ca="1">TblPop[[#This Row],[Total]]/TblPop[[#This Row],[Net max]]</f>
        <v>1</v>
      </c>
      <c r="K24" s="373">
        <f>TblRezone[[#This Row],[Hour]]</f>
        <v>21</v>
      </c>
      <c r="L24" s="374">
        <f ca="1">TblImps[[#This Row],[Real time]]</f>
        <v>44343.833333333285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44343.833333333285</v>
      </c>
      <c r="BZ24" s="387">
        <f ca="1">OFFSET(TblImps[[#This Row],[Servertime]],-1,0)+1/24</f>
        <v>44343.833333333285</v>
      </c>
      <c r="CA24" s="141"/>
      <c r="CB24" s="385"/>
      <c r="CC24" s="385"/>
    </row>
    <row r="25" spans="1:84" x14ac:dyDescent="0.2">
      <c r="A25" s="280">
        <f ca="1">TblConstr[[#This Row],[Land]]</f>
        <v>250</v>
      </c>
      <c r="B25" s="184"/>
      <c r="C25" s="113">
        <f ca="1">TblProd[[#This Row],[Platinum]]</f>
        <v>213341</v>
      </c>
      <c r="D25" s="113">
        <f ca="1">TblProd[[#This Row],[Lumber]]</f>
        <v>31101</v>
      </c>
      <c r="E25" s="113">
        <f ca="1">TblProd[[#This Row],[Ore]]</f>
        <v>0</v>
      </c>
      <c r="F25" s="113">
        <f ca="1">TblProd[[#This Row],[Gems]]</f>
        <v>10000</v>
      </c>
      <c r="G25" s="200"/>
      <c r="H25" s="113">
        <f ca="1">TblMili[[#This Row],[Draftees]]</f>
        <v>431</v>
      </c>
      <c r="I25" s="234">
        <f ca="1">TblPop[[#This Row],[Employment]]</f>
        <v>0.91324200913242004</v>
      </c>
      <c r="J25" s="234">
        <f ca="1">TblPop[[#This Row],[Total]]/TblPop[[#This Row],[Net max]]</f>
        <v>1</v>
      </c>
      <c r="K25" s="373">
        <f>TblRezone[[#This Row],[Hour]]</f>
        <v>22</v>
      </c>
      <c r="L25" s="374">
        <f ca="1">TblImps[[#This Row],[Real time]]</f>
        <v>44343.874999999949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44343.874999999949</v>
      </c>
      <c r="BZ25" s="387">
        <f ca="1">OFFSET(TblImps[[#This Row],[Servertime]],-1,0)+1/24</f>
        <v>44343.874999999949</v>
      </c>
      <c r="CA25" s="141"/>
      <c r="CB25" s="385"/>
      <c r="CC25" s="385"/>
    </row>
    <row r="26" spans="1:84" x14ac:dyDescent="0.2">
      <c r="A26" s="280">
        <f ca="1">TblConstr[[#This Row],[Land]]</f>
        <v>250</v>
      </c>
      <c r="B26" s="184"/>
      <c r="C26" s="113">
        <f ca="1">TblProd[[#This Row],[Platinum]]</f>
        <v>219011</v>
      </c>
      <c r="D26" s="113">
        <f ca="1">TblProd[[#This Row],[Lumber]]</f>
        <v>31790</v>
      </c>
      <c r="E26" s="113">
        <f ca="1">TblProd[[#This Row],[Ore]]</f>
        <v>0</v>
      </c>
      <c r="F26" s="113">
        <f ca="1">TblProd[[#This Row],[Gems]]</f>
        <v>10000</v>
      </c>
      <c r="G26" s="200"/>
      <c r="H26" s="113">
        <f ca="1">TblMili[[#This Row],[Draftees]]</f>
        <v>449</v>
      </c>
      <c r="I26" s="234">
        <f ca="1">TblPop[[#This Row],[Employment]]</f>
        <v>0.92272202998846597</v>
      </c>
      <c r="J26" s="234">
        <f ca="1">TblPop[[#This Row],[Total]]/TblPop[[#This Row],[Net max]]</f>
        <v>1</v>
      </c>
      <c r="K26" s="373">
        <f>TblRezone[[#This Row],[Hour]]</f>
        <v>23</v>
      </c>
      <c r="L26" s="374">
        <f ca="1">TblImps[[#This Row],[Real time]]</f>
        <v>44343.916666666613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44343.916666666613</v>
      </c>
      <c r="BZ26" s="387">
        <f ca="1">OFFSET(TblImps[[#This Row],[Servertime]],-1,0)+1/24</f>
        <v>44343.916666666613</v>
      </c>
      <c r="CA26" s="141"/>
      <c r="CB26" s="385"/>
      <c r="CC26" s="385"/>
    </row>
    <row r="27" spans="1:84" x14ac:dyDescent="0.2">
      <c r="A27" s="280">
        <f ca="1">TblConstr[[#This Row],[Land]]</f>
        <v>250</v>
      </c>
      <c r="B27" s="184"/>
      <c r="C27" s="113">
        <f ca="1">TblProd[[#This Row],[Platinum]]</f>
        <v>224681</v>
      </c>
      <c r="D27" s="113">
        <f ca="1">TblProd[[#This Row],[Lumber]]</f>
        <v>32472</v>
      </c>
      <c r="E27" s="113">
        <f ca="1">TblProd[[#This Row],[Ore]]</f>
        <v>0</v>
      </c>
      <c r="F27" s="113">
        <f ca="1">TblProd[[#This Row],[Gems]]</f>
        <v>10000</v>
      </c>
      <c r="G27" s="200"/>
      <c r="H27" s="113">
        <f ca="1">TblMili[[#This Row],[Draftees]]</f>
        <v>466</v>
      </c>
      <c r="I27" s="234">
        <f ca="1">TblPop[[#This Row],[Employment]]</f>
        <v>0.93185789167152011</v>
      </c>
      <c r="J27" s="234">
        <f ca="1">TblPop[[#This Row],[Total]]/TblPop[[#This Row],[Net max]]</f>
        <v>1</v>
      </c>
      <c r="K27" s="373">
        <f>TblRezone[[#This Row],[Hour]]</f>
        <v>24</v>
      </c>
      <c r="L27" s="374">
        <f ca="1">TblImps[[#This Row],[Real time]]</f>
        <v>44343.958333333278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44343.958333333278</v>
      </c>
      <c r="BZ27" s="387">
        <f ca="1">OFFSET(TblImps[[#This Row],[Servertime]],-1,0)+1/24</f>
        <v>44343.958333333278</v>
      </c>
      <c r="CA27" s="141"/>
      <c r="CB27" s="385"/>
      <c r="CC27" s="385"/>
    </row>
    <row r="28" spans="1:84" x14ac:dyDescent="0.2">
      <c r="A28" s="280">
        <f ca="1">TblConstr[[#This Row],[Land]]</f>
        <v>250</v>
      </c>
      <c r="B28" s="184"/>
      <c r="C28" s="113">
        <f ca="1">TblProd[[#This Row],[Platinum]]</f>
        <v>230351</v>
      </c>
      <c r="D28" s="113">
        <f ca="1">TblProd[[#This Row],[Lumber]]</f>
        <v>33147</v>
      </c>
      <c r="E28" s="113">
        <f ca="1">TblProd[[#This Row],[Ore]]</f>
        <v>0</v>
      </c>
      <c r="F28" s="113">
        <f ca="1">TblProd[[#This Row],[Gems]]</f>
        <v>10000</v>
      </c>
      <c r="G28" s="200"/>
      <c r="H28" s="113">
        <f ca="1">TblMili[[#This Row],[Draftees]]</f>
        <v>483</v>
      </c>
      <c r="I28" s="234">
        <f ca="1">TblPop[[#This Row],[Employment]]</f>
        <v>0.94117647058823528</v>
      </c>
      <c r="J28" s="234">
        <f ca="1">TblPop[[#This Row],[Total]]/TblPop[[#This Row],[Net max]]</f>
        <v>1</v>
      </c>
      <c r="K28" s="373">
        <f>TblRezone[[#This Row],[Hour]]</f>
        <v>25</v>
      </c>
      <c r="L28" s="374">
        <f ca="1">TblImps[[#This Row],[Real time]]</f>
        <v>44343.999999999942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44343.999999999942</v>
      </c>
      <c r="BZ28" s="387">
        <f ca="1">OFFSET(TblImps[[#This Row],[Servertime]],-1,0)+1/24</f>
        <v>44343.999999999942</v>
      </c>
      <c r="CA28" s="141"/>
      <c r="CB28" s="385"/>
      <c r="CC28" s="385"/>
    </row>
    <row r="29" spans="1:84" x14ac:dyDescent="0.2">
      <c r="A29" s="280">
        <f ca="1">TblConstr[[#This Row],[Land]]</f>
        <v>250</v>
      </c>
      <c r="B29" s="184"/>
      <c r="C29" s="113">
        <f ca="1">TblProd[[#This Row],[Platinum]]</f>
        <v>236021</v>
      </c>
      <c r="D29" s="113">
        <f ca="1">TblProd[[#This Row],[Lumber]]</f>
        <v>33816</v>
      </c>
      <c r="E29" s="113">
        <f ca="1">TblProd[[#This Row],[Ore]]</f>
        <v>0</v>
      </c>
      <c r="F29" s="113">
        <f ca="1">TblProd[[#This Row],[Gems]]</f>
        <v>10000</v>
      </c>
      <c r="G29" s="200"/>
      <c r="H29" s="113">
        <f ca="1">TblMili[[#This Row],[Draftees]]</f>
        <v>500</v>
      </c>
      <c r="I29" s="234">
        <f ca="1">TblPop[[#This Row],[Employment]]</f>
        <v>0.95068330362448006</v>
      </c>
      <c r="J29" s="234">
        <f ca="1">TblPop[[#This Row],[Total]]/TblPop[[#This Row],[Net max]]</f>
        <v>1</v>
      </c>
      <c r="K29" s="373">
        <f>TblRezone[[#This Row],[Hour]]</f>
        <v>26</v>
      </c>
      <c r="L29" s="374">
        <f ca="1">TblImps[[#This Row],[Real time]]</f>
        <v>44344.041666666606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44344.041666666606</v>
      </c>
      <c r="BZ29" s="387">
        <f ca="1">OFFSET(TblImps[[#This Row],[Servertime]],-1,0)+1/24</f>
        <v>44344.041666666606</v>
      </c>
      <c r="CA29" s="141"/>
      <c r="CB29" s="385"/>
      <c r="CC29" s="385"/>
    </row>
    <row r="30" spans="1:84" x14ac:dyDescent="0.2">
      <c r="A30" s="280">
        <f ca="1">TblConstr[[#This Row],[Land]]</f>
        <v>250</v>
      </c>
      <c r="B30" s="184"/>
      <c r="C30" s="113">
        <f ca="1">TblProd[[#This Row],[Platinum]]</f>
        <v>241691</v>
      </c>
      <c r="D30" s="113">
        <f ca="1">TblProd[[#This Row],[Lumber]]</f>
        <v>34478</v>
      </c>
      <c r="E30" s="113">
        <f ca="1">TblProd[[#This Row],[Ore]]</f>
        <v>0</v>
      </c>
      <c r="F30" s="113">
        <f ca="1">TblProd[[#This Row],[Gems]]</f>
        <v>10000</v>
      </c>
      <c r="G30" s="200"/>
      <c r="H30" s="113">
        <f ca="1">TblMili[[#This Row],[Draftees]]</f>
        <v>517</v>
      </c>
      <c r="I30" s="234">
        <f ca="1">TblPop[[#This Row],[Employment]]</f>
        <v>0.96038415366146457</v>
      </c>
      <c r="J30" s="234">
        <f ca="1">TblPop[[#This Row],[Total]]/TblPop[[#This Row],[Net max]]</f>
        <v>1</v>
      </c>
      <c r="K30" s="373">
        <f>TblRezone[[#This Row],[Hour]]</f>
        <v>27</v>
      </c>
      <c r="L30" s="374">
        <f ca="1">TblImps[[#This Row],[Real time]]</f>
        <v>44344.08333333327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44344.08333333327</v>
      </c>
      <c r="BZ30" s="387">
        <f ca="1">OFFSET(TblImps[[#This Row],[Servertime]],-1,0)+1/24</f>
        <v>44344.08333333327</v>
      </c>
      <c r="CA30" s="141"/>
      <c r="CB30" s="385"/>
      <c r="CC30" s="385"/>
      <c r="CD30" s="59" t="s">
        <v>4</v>
      </c>
    </row>
    <row r="31" spans="1:84" x14ac:dyDescent="0.2">
      <c r="A31" s="280">
        <f ca="1">TblConstr[[#This Row],[Land]]</f>
        <v>250</v>
      </c>
      <c r="B31" s="184"/>
      <c r="C31" s="113">
        <f ca="1">TblProd[[#This Row],[Platinum]]</f>
        <v>247361</v>
      </c>
      <c r="D31" s="113">
        <f ca="1">TblProd[[#This Row],[Lumber]]</f>
        <v>35133</v>
      </c>
      <c r="E31" s="113">
        <f ca="1">TblProd[[#This Row],[Ore]]</f>
        <v>0</v>
      </c>
      <c r="F31" s="113">
        <f ca="1">TblProd[[#This Row],[Gems]]</f>
        <v>10000</v>
      </c>
      <c r="G31" s="200"/>
      <c r="H31" s="113">
        <f ca="1">TblMili[[#This Row],[Draftees]]</f>
        <v>534</v>
      </c>
      <c r="I31" s="234">
        <f ca="1">TblPop[[#This Row],[Employment]]</f>
        <v>0.97028502122498483</v>
      </c>
      <c r="J31" s="234">
        <f ca="1">TblPop[[#This Row],[Total]]/TblPop[[#This Row],[Net max]]</f>
        <v>1</v>
      </c>
      <c r="K31" s="373">
        <f>TblRezone[[#This Row],[Hour]]</f>
        <v>28</v>
      </c>
      <c r="L31" s="374">
        <f ca="1">TblImps[[#This Row],[Real time]]</f>
        <v>44344.124999999935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44344.124999999935</v>
      </c>
      <c r="BZ31" s="387">
        <f ca="1">OFFSET(TblImps[[#This Row],[Servertime]],-1,0)+1/24</f>
        <v>44344.124999999935</v>
      </c>
      <c r="CA31" s="141"/>
      <c r="CB31" s="385"/>
      <c r="CC31" s="385"/>
      <c r="CD31" s="59" t="s">
        <v>7</v>
      </c>
    </row>
    <row r="32" spans="1:84" x14ac:dyDescent="0.2">
      <c r="A32" s="280">
        <f ca="1">TblConstr[[#This Row],[Land]]</f>
        <v>250</v>
      </c>
      <c r="B32" s="184"/>
      <c r="C32" s="113">
        <f ca="1">TblProd[[#This Row],[Platinum]]</f>
        <v>253031</v>
      </c>
      <c r="D32" s="113">
        <f ca="1">TblProd[[#This Row],[Lumber]]</f>
        <v>35782</v>
      </c>
      <c r="E32" s="113">
        <f ca="1">TblProd[[#This Row],[Ore]]</f>
        <v>0</v>
      </c>
      <c r="F32" s="113">
        <f ca="1">TblProd[[#This Row],[Gems]]</f>
        <v>10000</v>
      </c>
      <c r="G32" s="200"/>
      <c r="H32" s="113">
        <f ca="1">TblMili[[#This Row],[Draftees]]</f>
        <v>550</v>
      </c>
      <c r="I32" s="234">
        <f ca="1">TblPop[[#This Row],[Employment]]</f>
        <v>0.9797917942437232</v>
      </c>
      <c r="J32" s="234">
        <f ca="1">TblPop[[#This Row],[Total]]/TblPop[[#This Row],[Net max]]</f>
        <v>1</v>
      </c>
      <c r="K32" s="373">
        <f>TblRezone[[#This Row],[Hour]]</f>
        <v>29</v>
      </c>
      <c r="L32" s="374">
        <f ca="1">TblImps[[#This Row],[Real time]]</f>
        <v>44344.166666666599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44344.166666666599</v>
      </c>
      <c r="BZ32" s="387">
        <f ca="1">OFFSET(TblImps[[#This Row],[Servertime]],-1,0)+1/24</f>
        <v>44344.166666666599</v>
      </c>
      <c r="CA32" s="141"/>
      <c r="CB32" s="385"/>
      <c r="CC32" s="385"/>
      <c r="CD32" s="59" t="s">
        <v>3</v>
      </c>
    </row>
    <row r="33" spans="1:82" x14ac:dyDescent="0.2">
      <c r="A33" s="280">
        <f ca="1">TblConstr[[#This Row],[Land]]</f>
        <v>250</v>
      </c>
      <c r="B33" s="184"/>
      <c r="C33" s="113">
        <f ca="1">TblProd[[#This Row],[Platinum]]</f>
        <v>258701</v>
      </c>
      <c r="D33" s="113">
        <f ca="1">TblProd[[#This Row],[Lumber]]</f>
        <v>36424</v>
      </c>
      <c r="E33" s="113">
        <f ca="1">TblProd[[#This Row],[Ore]]</f>
        <v>0</v>
      </c>
      <c r="F33" s="113">
        <f ca="1">TblProd[[#This Row],[Gems]]</f>
        <v>10000</v>
      </c>
      <c r="G33" s="200"/>
      <c r="H33" s="113">
        <f ca="1">TblMili[[#This Row],[Draftees]]</f>
        <v>566</v>
      </c>
      <c r="I33" s="234">
        <f ca="1">TblPop[[#This Row],[Employment]]</f>
        <v>0.9894867037724181</v>
      </c>
      <c r="J33" s="234">
        <f ca="1">TblPop[[#This Row],[Total]]/TblPop[[#This Row],[Net max]]</f>
        <v>1</v>
      </c>
      <c r="K33" s="373">
        <f>TblRezone[[#This Row],[Hour]]</f>
        <v>30</v>
      </c>
      <c r="L33" s="374">
        <f ca="1">TblImps[[#This Row],[Real time]]</f>
        <v>44344.208333333263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44344.208333333263</v>
      </c>
      <c r="BZ33" s="387">
        <f ca="1">OFFSET(TblImps[[#This Row],[Servertime]],-1,0)+1/24</f>
        <v>44344.208333333263</v>
      </c>
      <c r="CA33" s="141"/>
      <c r="CB33" s="385"/>
      <c r="CC33" s="385"/>
      <c r="CD33" s="59" t="s">
        <v>2</v>
      </c>
    </row>
    <row r="34" spans="1:82" x14ac:dyDescent="0.2">
      <c r="A34" s="280">
        <f ca="1">TblConstr[[#This Row],[Land]]</f>
        <v>250</v>
      </c>
      <c r="B34" s="184"/>
      <c r="C34" s="113">
        <f ca="1">TblProd[[#This Row],[Platinum]]</f>
        <v>264371</v>
      </c>
      <c r="D34" s="113">
        <f ca="1">TblProd[[#This Row],[Lumber]]</f>
        <v>37060</v>
      </c>
      <c r="E34" s="113">
        <f ca="1">TblProd[[#This Row],[Ore]]</f>
        <v>0</v>
      </c>
      <c r="F34" s="113">
        <f ca="1">TblProd[[#This Row],[Gems]]</f>
        <v>10000</v>
      </c>
      <c r="G34" s="200"/>
      <c r="H34" s="113">
        <f ca="1">TblMili[[#This Row],[Draftees]]</f>
        <v>582</v>
      </c>
      <c r="I34" s="234">
        <f ca="1">TblPop[[#This Row],[Employment]]</f>
        <v>0.99937539038101186</v>
      </c>
      <c r="J34" s="234">
        <f ca="1">TblPop[[#This Row],[Total]]/TblPop[[#This Row],[Net max]]</f>
        <v>1</v>
      </c>
      <c r="K34" s="373">
        <f>TblRezone[[#This Row],[Hour]]</f>
        <v>31</v>
      </c>
      <c r="L34" s="374">
        <f ca="1">TblImps[[#This Row],[Real time]]</f>
        <v>44344.249999999927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44344.249999999927</v>
      </c>
      <c r="BZ34" s="387">
        <f ca="1">OFFSET(TblImps[[#This Row],[Servertime]],-1,0)+1/24</f>
        <v>44344.249999999927</v>
      </c>
      <c r="CA34" s="141"/>
      <c r="CB34" s="385"/>
      <c r="CC34" s="385"/>
    </row>
    <row r="35" spans="1:82" x14ac:dyDescent="0.2">
      <c r="A35" s="280">
        <f ca="1">TblConstr[[#This Row],[Land]]</f>
        <v>250</v>
      </c>
      <c r="B35" s="184"/>
      <c r="C35" s="113">
        <f ca="1">TblProd[[#This Row],[Platinum]]</f>
        <v>270041</v>
      </c>
      <c r="D35" s="113">
        <f ca="1">TblProd[[#This Row],[Lumber]]</f>
        <v>37689</v>
      </c>
      <c r="E35" s="113">
        <f ca="1">TblProd[[#This Row],[Ore]]</f>
        <v>0</v>
      </c>
      <c r="F35" s="113">
        <f ca="1">TblProd[[#This Row],[Gems]]</f>
        <v>10000</v>
      </c>
      <c r="G35" s="200"/>
      <c r="H35" s="113">
        <f ca="1">TblMili[[#This Row],[Draftees]]</f>
        <v>598</v>
      </c>
      <c r="I35" s="234">
        <f ca="1">TblPop[[#This Row],[Employment]]</f>
        <v>1</v>
      </c>
      <c r="J35" s="234">
        <f ca="1">TblPop[[#This Row],[Total]]/TblPop[[#This Row],[Net max]]</f>
        <v>1</v>
      </c>
      <c r="K35" s="373">
        <f>TblRezone[[#This Row],[Hour]]</f>
        <v>32</v>
      </c>
      <c r="L35" s="374">
        <f ca="1">TblImps[[#This Row],[Real time]]</f>
        <v>44344.291666666591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44344.291666666591</v>
      </c>
      <c r="BZ35" s="387">
        <f ca="1">OFFSET(TblImps[[#This Row],[Servertime]],-1,0)+1/24</f>
        <v>44344.291666666591</v>
      </c>
      <c r="CA35" s="141"/>
      <c r="CB35" s="385"/>
      <c r="CC35" s="385"/>
      <c r="CD35" s="59" t="s">
        <v>220</v>
      </c>
    </row>
    <row r="36" spans="1:82" x14ac:dyDescent="0.2">
      <c r="A36" s="280">
        <f ca="1">TblConstr[[#This Row],[Land]]</f>
        <v>250</v>
      </c>
      <c r="B36" s="184"/>
      <c r="C36" s="113">
        <f ca="1">TblProd[[#This Row],[Platinum]]</f>
        <v>275670</v>
      </c>
      <c r="D36" s="113">
        <f ca="1">TblProd[[#This Row],[Lumber]]</f>
        <v>38312</v>
      </c>
      <c r="E36" s="113">
        <f ca="1">TblProd[[#This Row],[Ore]]</f>
        <v>0</v>
      </c>
      <c r="F36" s="113">
        <f ca="1">TblProd[[#This Row],[Gems]]</f>
        <v>10000</v>
      </c>
      <c r="G36" s="200"/>
      <c r="H36" s="113">
        <f ca="1">TblMili[[#This Row],[Draftees]]</f>
        <v>614</v>
      </c>
      <c r="I36" s="234">
        <f ca="1">TblPop[[#This Row],[Employment]]</f>
        <v>1</v>
      </c>
      <c r="J36" s="234">
        <f ca="1">TblPop[[#This Row],[Total]]/TblPop[[#This Row],[Net max]]</f>
        <v>1</v>
      </c>
      <c r="K36" s="373">
        <f>TblRezone[[#This Row],[Hour]]</f>
        <v>33</v>
      </c>
      <c r="L36" s="374">
        <f ca="1">TblImps[[#This Row],[Real time]]</f>
        <v>44344.333333333256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44344.333333333256</v>
      </c>
      <c r="BZ36" s="387">
        <f ca="1">OFFSET(TblImps[[#This Row],[Servertime]],-1,0)+1/24</f>
        <v>44344.333333333256</v>
      </c>
      <c r="CA36" s="141"/>
      <c r="CB36" s="385"/>
      <c r="CC36" s="385"/>
      <c r="CD36" s="59" t="s">
        <v>222</v>
      </c>
    </row>
    <row r="37" spans="1:82" x14ac:dyDescent="0.2">
      <c r="A37" s="280">
        <f ca="1">TblConstr[[#This Row],[Land]]</f>
        <v>250</v>
      </c>
      <c r="B37" s="184"/>
      <c r="C37" s="113">
        <f ca="1">TblProd[[#This Row],[Platinum]]</f>
        <v>281256</v>
      </c>
      <c r="D37" s="113">
        <f ca="1">TblProd[[#This Row],[Lumber]]</f>
        <v>38929</v>
      </c>
      <c r="E37" s="113">
        <f ca="1">TblProd[[#This Row],[Ore]]</f>
        <v>0</v>
      </c>
      <c r="F37" s="113">
        <f ca="1">TblProd[[#This Row],[Gems]]</f>
        <v>10000</v>
      </c>
      <c r="G37" s="200"/>
      <c r="H37" s="113">
        <f ca="1">TblMili[[#This Row],[Draftees]]</f>
        <v>630</v>
      </c>
      <c r="I37" s="234">
        <f ca="1">TblPop[[#This Row],[Employment]]</f>
        <v>1</v>
      </c>
      <c r="J37" s="234">
        <f ca="1">TblPop[[#This Row],[Total]]/TblPop[[#This Row],[Net max]]</f>
        <v>1</v>
      </c>
      <c r="K37" s="373">
        <f>TblRezone[[#This Row],[Hour]]</f>
        <v>34</v>
      </c>
      <c r="L37" s="374">
        <f ca="1">TblImps[[#This Row],[Real time]]</f>
        <v>44344.37499999992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44344.37499999992</v>
      </c>
      <c r="BZ37" s="387">
        <f ca="1">OFFSET(TblImps[[#This Row],[Servertime]],-1,0)+1/24</f>
        <v>44344.37499999992</v>
      </c>
      <c r="CA37" s="141"/>
      <c r="CB37" s="385"/>
      <c r="CC37" s="385"/>
      <c r="CD37" s="59" t="s">
        <v>223</v>
      </c>
    </row>
    <row r="38" spans="1:82" x14ac:dyDescent="0.2">
      <c r="A38" s="280">
        <f ca="1">TblConstr[[#This Row],[Land]]</f>
        <v>250</v>
      </c>
      <c r="B38" s="184"/>
      <c r="C38" s="113">
        <f ca="1">TblProd[[#This Row],[Platinum]]</f>
        <v>286799</v>
      </c>
      <c r="D38" s="113">
        <f ca="1">TblProd[[#This Row],[Lumber]]</f>
        <v>39540</v>
      </c>
      <c r="E38" s="113">
        <f ca="1">TblProd[[#This Row],[Ore]]</f>
        <v>0</v>
      </c>
      <c r="F38" s="113">
        <f ca="1">TblProd[[#This Row],[Gems]]</f>
        <v>10000</v>
      </c>
      <c r="G38" s="200"/>
      <c r="H38" s="113">
        <f ca="1">TblMili[[#This Row],[Draftees]]</f>
        <v>646</v>
      </c>
      <c r="I38" s="234">
        <f ca="1">TblPop[[#This Row],[Employment]]</f>
        <v>1</v>
      </c>
      <c r="J38" s="234">
        <f ca="1">TblPop[[#This Row],[Total]]/TblPop[[#This Row],[Net max]]</f>
        <v>1</v>
      </c>
      <c r="K38" s="373">
        <f>TblRezone[[#This Row],[Hour]]</f>
        <v>35</v>
      </c>
      <c r="L38" s="374">
        <f ca="1">TblImps[[#This Row],[Real time]]</f>
        <v>44344.416666666584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44344.416666666584</v>
      </c>
      <c r="BZ38" s="387">
        <f ca="1">OFFSET(TblImps[[#This Row],[Servertime]],-1,0)+1/24</f>
        <v>44344.416666666584</v>
      </c>
      <c r="CA38" s="141"/>
      <c r="CB38" s="385"/>
      <c r="CC38" s="385"/>
      <c r="CD38" s="59" t="s">
        <v>224</v>
      </c>
    </row>
    <row r="39" spans="1:82" x14ac:dyDescent="0.2">
      <c r="A39" s="280">
        <f ca="1">TblConstr[[#This Row],[Land]]</f>
        <v>250</v>
      </c>
      <c r="B39" s="184"/>
      <c r="C39" s="113">
        <f ca="1">TblProd[[#This Row],[Platinum]]</f>
        <v>292298</v>
      </c>
      <c r="D39" s="113">
        <f ca="1">TblProd[[#This Row],[Lumber]]</f>
        <v>40145</v>
      </c>
      <c r="E39" s="113">
        <f ca="1">TblProd[[#This Row],[Ore]]</f>
        <v>0</v>
      </c>
      <c r="F39" s="113">
        <f ca="1">TblProd[[#This Row],[Gems]]</f>
        <v>10000</v>
      </c>
      <c r="G39" s="200"/>
      <c r="H39" s="113">
        <f ca="1">TblMili[[#This Row],[Draftees]]</f>
        <v>646</v>
      </c>
      <c r="I39" s="234">
        <f ca="1">TblPop[[#This Row],[Employment]]</f>
        <v>1</v>
      </c>
      <c r="J39" s="234">
        <f ca="1">TblPop[[#This Row],[Total]]/TblPop[[#This Row],[Net max]]</f>
        <v>1</v>
      </c>
      <c r="K39" s="373">
        <f>TblRezone[[#This Row],[Hour]]</f>
        <v>36</v>
      </c>
      <c r="L39" s="374">
        <f ca="1">TblImps[[#This Row],[Real time]]</f>
        <v>44344.458333333248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44344.458333333248</v>
      </c>
      <c r="BZ39" s="387">
        <f ca="1">OFFSET(TblImps[[#This Row],[Servertime]],-1,0)+1/24</f>
        <v>44344.458333333248</v>
      </c>
      <c r="CA39" s="141"/>
      <c r="CB39" s="385"/>
      <c r="CC39" s="385"/>
      <c r="CD39" s="49" t="s">
        <v>225</v>
      </c>
    </row>
    <row r="40" spans="1:82" x14ac:dyDescent="0.2">
      <c r="A40" s="280">
        <f ca="1">TblConstr[[#This Row],[Land]]</f>
        <v>250</v>
      </c>
      <c r="B40" s="184"/>
      <c r="C40" s="113">
        <f ca="1">TblProd[[#This Row],[Platinum]]</f>
        <v>297797</v>
      </c>
      <c r="D40" s="113">
        <f ca="1">TblProd[[#This Row],[Lumber]]</f>
        <v>40744</v>
      </c>
      <c r="E40" s="113">
        <f ca="1">TblProd[[#This Row],[Ore]]</f>
        <v>0</v>
      </c>
      <c r="F40" s="113">
        <f ca="1">TblProd[[#This Row],[Gems]]</f>
        <v>10000</v>
      </c>
      <c r="G40" s="200"/>
      <c r="H40" s="113">
        <f ca="1">TblMili[[#This Row],[Draftees]]</f>
        <v>646</v>
      </c>
      <c r="I40" s="234">
        <f ca="1">TblPop[[#This Row],[Employment]]</f>
        <v>1</v>
      </c>
      <c r="J40" s="234">
        <f ca="1">TblPop[[#This Row],[Total]]/TblPop[[#This Row],[Net max]]</f>
        <v>1</v>
      </c>
      <c r="K40" s="373">
        <f>TblRezone[[#This Row],[Hour]]</f>
        <v>37</v>
      </c>
      <c r="L40" s="374">
        <f ca="1">TblImps[[#This Row],[Real time]]</f>
        <v>44344.499999999913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44344.499999999913</v>
      </c>
      <c r="BZ40" s="387">
        <f ca="1">OFFSET(TblImps[[#This Row],[Servertime]],-1,0)+1/24</f>
        <v>44344.499999999913</v>
      </c>
      <c r="CA40" s="141"/>
      <c r="CB40" s="385"/>
      <c r="CC40" s="385"/>
      <c r="CD40" s="49" t="s">
        <v>226</v>
      </c>
    </row>
    <row r="41" spans="1:82" x14ac:dyDescent="0.2">
      <c r="A41" s="280">
        <f ca="1">TblConstr[[#This Row],[Land]]</f>
        <v>250</v>
      </c>
      <c r="B41" s="184"/>
      <c r="C41" s="113">
        <f ca="1">TblProd[[#This Row],[Platinum]]</f>
        <v>303296</v>
      </c>
      <c r="D41" s="113">
        <f ca="1">TblProd[[#This Row],[Lumber]]</f>
        <v>41337</v>
      </c>
      <c r="E41" s="113">
        <f ca="1">TblProd[[#This Row],[Ore]]</f>
        <v>0</v>
      </c>
      <c r="F41" s="113">
        <f ca="1">TblProd[[#This Row],[Gems]]</f>
        <v>10000</v>
      </c>
      <c r="G41" s="200"/>
      <c r="H41" s="113">
        <f ca="1">TblMili[[#This Row],[Draftees]]</f>
        <v>646</v>
      </c>
      <c r="I41" s="234">
        <f ca="1">TblPop[[#This Row],[Employment]]</f>
        <v>1</v>
      </c>
      <c r="J41" s="234">
        <f ca="1">TblPop[[#This Row],[Total]]/TblPop[[#This Row],[Net max]]</f>
        <v>1</v>
      </c>
      <c r="K41" s="373">
        <f>TblRezone[[#This Row],[Hour]]</f>
        <v>38</v>
      </c>
      <c r="L41" s="374">
        <f ca="1">TblImps[[#This Row],[Real time]]</f>
        <v>44344.541666666577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44344.541666666577</v>
      </c>
      <c r="BZ41" s="387">
        <f ca="1">OFFSET(TblImps[[#This Row],[Servertime]],-1,0)+1/24</f>
        <v>44344.541666666577</v>
      </c>
      <c r="CA41" s="141"/>
      <c r="CB41" s="385"/>
      <c r="CC41" s="385"/>
    </row>
    <row r="42" spans="1:82" x14ac:dyDescent="0.2">
      <c r="A42" s="280">
        <f ca="1">TblConstr[[#This Row],[Land]]</f>
        <v>250</v>
      </c>
      <c r="B42" s="184"/>
      <c r="C42" s="113">
        <f ca="1">TblProd[[#This Row],[Platinum]]</f>
        <v>308795</v>
      </c>
      <c r="D42" s="113">
        <f ca="1">TblProd[[#This Row],[Lumber]]</f>
        <v>41924</v>
      </c>
      <c r="E42" s="113">
        <f ca="1">TblProd[[#This Row],[Ore]]</f>
        <v>0</v>
      </c>
      <c r="F42" s="113">
        <f ca="1">TblProd[[#This Row],[Gems]]</f>
        <v>10000</v>
      </c>
      <c r="G42" s="200"/>
      <c r="H42" s="113">
        <f ca="1">TblMili[[#This Row],[Draftees]]</f>
        <v>646</v>
      </c>
      <c r="I42" s="234">
        <f ca="1">TblPop[[#This Row],[Employment]]</f>
        <v>1</v>
      </c>
      <c r="J42" s="234">
        <f ca="1">TblPop[[#This Row],[Total]]/TblPop[[#This Row],[Net max]]</f>
        <v>1</v>
      </c>
      <c r="K42" s="373">
        <f>TblRezone[[#This Row],[Hour]]</f>
        <v>39</v>
      </c>
      <c r="L42" s="374">
        <f ca="1">TblImps[[#This Row],[Real time]]</f>
        <v>44344.583333333241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44344.583333333241</v>
      </c>
      <c r="BZ42" s="387">
        <f ca="1">OFFSET(TblImps[[#This Row],[Servertime]],-1,0)+1/24</f>
        <v>44344.583333333241</v>
      </c>
      <c r="CA42" s="390"/>
      <c r="CB42" s="385"/>
      <c r="CC42" s="385"/>
    </row>
    <row r="43" spans="1:82" x14ac:dyDescent="0.2">
      <c r="A43" s="280">
        <f ca="1">TblConstr[[#This Row],[Land]]</f>
        <v>250</v>
      </c>
      <c r="B43" s="184"/>
      <c r="C43" s="113">
        <f ca="1">TblProd[[#This Row],[Platinum]]</f>
        <v>314294</v>
      </c>
      <c r="D43" s="113">
        <f ca="1">TblProd[[#This Row],[Lumber]]</f>
        <v>42505</v>
      </c>
      <c r="E43" s="113">
        <f ca="1">TblProd[[#This Row],[Ore]]</f>
        <v>0</v>
      </c>
      <c r="F43" s="113">
        <f ca="1">TblProd[[#This Row],[Gems]]</f>
        <v>10000</v>
      </c>
      <c r="G43" s="200"/>
      <c r="H43" s="113">
        <f ca="1">TblMili[[#This Row],[Draftees]]</f>
        <v>646</v>
      </c>
      <c r="I43" s="234">
        <f ca="1">TblPop[[#This Row],[Employment]]</f>
        <v>1</v>
      </c>
      <c r="J43" s="234">
        <f ca="1">TblPop[[#This Row],[Total]]/TblPop[[#This Row],[Net max]]</f>
        <v>1</v>
      </c>
      <c r="K43" s="373">
        <f>TblRezone[[#This Row],[Hour]]</f>
        <v>40</v>
      </c>
      <c r="L43" s="374">
        <f ca="1">TblImps[[#This Row],[Real time]]</f>
        <v>44344.624999999905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44344.624999999905</v>
      </c>
      <c r="BZ43" s="387">
        <f ca="1">OFFSET(TblImps[[#This Row],[Servertime]],-1,0)+1/24</f>
        <v>44344.624999999905</v>
      </c>
      <c r="CA43" s="141"/>
      <c r="CB43" s="385"/>
      <c r="CC43" s="385"/>
    </row>
    <row r="44" spans="1:82" x14ac:dyDescent="0.2">
      <c r="A44" s="280">
        <f ca="1">TblConstr[[#This Row],[Land]]</f>
        <v>250</v>
      </c>
      <c r="B44" s="184"/>
      <c r="C44" s="113">
        <f ca="1">TblProd[[#This Row],[Platinum]]</f>
        <v>319793</v>
      </c>
      <c r="D44" s="113">
        <f ca="1">TblProd[[#This Row],[Lumber]]</f>
        <v>43080</v>
      </c>
      <c r="E44" s="113">
        <f ca="1">TblProd[[#This Row],[Ore]]</f>
        <v>0</v>
      </c>
      <c r="F44" s="113">
        <f ca="1">TblProd[[#This Row],[Gems]]</f>
        <v>10000</v>
      </c>
      <c r="G44" s="200"/>
      <c r="H44" s="113">
        <f ca="1">TblMili[[#This Row],[Draftees]]</f>
        <v>646</v>
      </c>
      <c r="I44" s="234">
        <f ca="1">TblPop[[#This Row],[Employment]]</f>
        <v>1</v>
      </c>
      <c r="J44" s="234">
        <f ca="1">TblPop[[#This Row],[Total]]/TblPop[[#This Row],[Net max]]</f>
        <v>1</v>
      </c>
      <c r="K44" s="373">
        <f>TblRezone[[#This Row],[Hour]]</f>
        <v>41</v>
      </c>
      <c r="L44" s="374">
        <f ca="1">TblImps[[#This Row],[Real time]]</f>
        <v>44344.66666666657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44344.66666666657</v>
      </c>
      <c r="BZ44" s="387">
        <f ca="1">OFFSET(TblImps[[#This Row],[Servertime]],-1,0)+1/24</f>
        <v>44344.66666666657</v>
      </c>
      <c r="CA44" s="141"/>
      <c r="CB44" s="385"/>
      <c r="CC44" s="385"/>
    </row>
    <row r="45" spans="1:82" x14ac:dyDescent="0.2">
      <c r="A45" s="280">
        <f ca="1">TblConstr[[#This Row],[Land]]</f>
        <v>250</v>
      </c>
      <c r="B45" s="184"/>
      <c r="C45" s="113">
        <f ca="1">TblProd[[#This Row],[Platinum]]</f>
        <v>325292</v>
      </c>
      <c r="D45" s="113">
        <f ca="1">TblProd[[#This Row],[Lumber]]</f>
        <v>43649</v>
      </c>
      <c r="E45" s="113">
        <f ca="1">TblProd[[#This Row],[Ore]]</f>
        <v>0</v>
      </c>
      <c r="F45" s="113">
        <f ca="1">TblProd[[#This Row],[Gems]]</f>
        <v>10000</v>
      </c>
      <c r="G45" s="200"/>
      <c r="H45" s="113">
        <f ca="1">TblMili[[#This Row],[Draftees]]</f>
        <v>646</v>
      </c>
      <c r="I45" s="234">
        <f ca="1">TblPop[[#This Row],[Employment]]</f>
        <v>1</v>
      </c>
      <c r="J45" s="234">
        <f ca="1">TblPop[[#This Row],[Total]]/TblPop[[#This Row],[Net max]]</f>
        <v>1</v>
      </c>
      <c r="K45" s="373">
        <f>TblRezone[[#This Row],[Hour]]</f>
        <v>42</v>
      </c>
      <c r="L45" s="374">
        <f ca="1">TblImps[[#This Row],[Real time]]</f>
        <v>44344.708333333234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44344.708333333234</v>
      </c>
      <c r="BZ45" s="387">
        <f ca="1">OFFSET(TblImps[[#This Row],[Servertime]],-1,0)+1/24</f>
        <v>44344.708333333234</v>
      </c>
      <c r="CA45" s="141"/>
      <c r="CB45" s="385"/>
      <c r="CC45" s="385"/>
    </row>
    <row r="46" spans="1:82" x14ac:dyDescent="0.2">
      <c r="A46" s="280">
        <f ca="1">TblConstr[[#This Row],[Land]]</f>
        <v>250</v>
      </c>
      <c r="B46" s="184"/>
      <c r="C46" s="113">
        <f ca="1">TblProd[[#This Row],[Platinum]]</f>
        <v>330791</v>
      </c>
      <c r="D46" s="113">
        <f ca="1">TblProd[[#This Row],[Lumber]]</f>
        <v>44213</v>
      </c>
      <c r="E46" s="113">
        <f ca="1">TblProd[[#This Row],[Ore]]</f>
        <v>0</v>
      </c>
      <c r="F46" s="113">
        <f ca="1">TblProd[[#This Row],[Gems]]</f>
        <v>10000</v>
      </c>
      <c r="G46" s="200"/>
      <c r="H46" s="113">
        <f ca="1">TblMili[[#This Row],[Draftees]]</f>
        <v>646</v>
      </c>
      <c r="I46" s="234">
        <f ca="1">TblPop[[#This Row],[Employment]]</f>
        <v>1</v>
      </c>
      <c r="J46" s="234">
        <f ca="1">TblPop[[#This Row],[Total]]/TblPop[[#This Row],[Net max]]</f>
        <v>1</v>
      </c>
      <c r="K46" s="373">
        <f>TblRezone[[#This Row],[Hour]]</f>
        <v>43</v>
      </c>
      <c r="L46" s="374">
        <f ca="1">TblImps[[#This Row],[Real time]]</f>
        <v>44344.749999999898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44344.749999999898</v>
      </c>
      <c r="BZ46" s="387">
        <f ca="1">OFFSET(TblImps[[#This Row],[Servertime]],-1,0)+1/24</f>
        <v>44344.749999999898</v>
      </c>
      <c r="CA46" s="141"/>
      <c r="CB46" s="385"/>
      <c r="CC46" s="385"/>
    </row>
    <row r="47" spans="1:82" x14ac:dyDescent="0.2">
      <c r="A47" s="280">
        <f ca="1">TblConstr[[#This Row],[Land]]</f>
        <v>250</v>
      </c>
      <c r="B47" s="184"/>
      <c r="C47" s="113">
        <f ca="1">TblProd[[#This Row],[Platinum]]</f>
        <v>336290</v>
      </c>
      <c r="D47" s="113">
        <f ca="1">TblProd[[#This Row],[Lumber]]</f>
        <v>44771</v>
      </c>
      <c r="E47" s="113">
        <f ca="1">TblProd[[#This Row],[Ore]]</f>
        <v>0</v>
      </c>
      <c r="F47" s="113">
        <f ca="1">TblProd[[#This Row],[Gems]]</f>
        <v>10000</v>
      </c>
      <c r="G47" s="200"/>
      <c r="H47" s="113">
        <f ca="1">TblMili[[#This Row],[Draftees]]</f>
        <v>646</v>
      </c>
      <c r="I47" s="234">
        <f ca="1">TblPop[[#This Row],[Employment]]</f>
        <v>1</v>
      </c>
      <c r="J47" s="234">
        <f ca="1">TblPop[[#This Row],[Total]]/TblPop[[#This Row],[Net max]]</f>
        <v>1</v>
      </c>
      <c r="K47" s="373">
        <f>TblRezone[[#This Row],[Hour]]</f>
        <v>44</v>
      </c>
      <c r="L47" s="374">
        <f ca="1">TblImps[[#This Row],[Real time]]</f>
        <v>44344.791666666562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44344.791666666562</v>
      </c>
      <c r="BZ47" s="387">
        <f ca="1">OFFSET(TblImps[[#This Row],[Servertime]],-1,0)+1/24</f>
        <v>44344.791666666562</v>
      </c>
      <c r="CA47" s="141"/>
      <c r="CB47" s="385"/>
      <c r="CC47" s="385"/>
    </row>
    <row r="48" spans="1:82" x14ac:dyDescent="0.2">
      <c r="A48" s="280">
        <f ca="1">TblConstr[[#This Row],[Land]]</f>
        <v>250</v>
      </c>
      <c r="B48" s="184"/>
      <c r="C48" s="113">
        <f ca="1">TblProd[[#This Row],[Platinum]]</f>
        <v>341789</v>
      </c>
      <c r="D48" s="113">
        <f ca="1">TblProd[[#This Row],[Lumber]]</f>
        <v>45323</v>
      </c>
      <c r="E48" s="113">
        <f ca="1">TblProd[[#This Row],[Ore]]</f>
        <v>0</v>
      </c>
      <c r="F48" s="113">
        <f ca="1">TblProd[[#This Row],[Gems]]</f>
        <v>10000</v>
      </c>
      <c r="G48" s="200"/>
      <c r="H48" s="113">
        <f ca="1">TblMili[[#This Row],[Draftees]]</f>
        <v>646</v>
      </c>
      <c r="I48" s="234">
        <f ca="1">TblPop[[#This Row],[Employment]]</f>
        <v>1</v>
      </c>
      <c r="J48" s="234">
        <f ca="1">TblPop[[#This Row],[Total]]/TblPop[[#This Row],[Net max]]</f>
        <v>1</v>
      </c>
      <c r="K48" s="373">
        <f>TblRezone[[#This Row],[Hour]]</f>
        <v>45</v>
      </c>
      <c r="L48" s="374">
        <f ca="1">TblImps[[#This Row],[Real time]]</f>
        <v>44344.833333333227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44344.833333333227</v>
      </c>
      <c r="BZ48" s="387">
        <f ca="1">OFFSET(TblImps[[#This Row],[Servertime]],-1,0)+1/24</f>
        <v>44344.833333333227</v>
      </c>
      <c r="CA48" s="141"/>
      <c r="CB48" s="385"/>
      <c r="CC48" s="385"/>
    </row>
    <row r="49" spans="1:81" x14ac:dyDescent="0.2">
      <c r="A49" s="280">
        <f ca="1">TblConstr[[#This Row],[Land]]</f>
        <v>250</v>
      </c>
      <c r="B49" s="184"/>
      <c r="C49" s="113">
        <f ca="1">TblProd[[#This Row],[Platinum]]</f>
        <v>347288</v>
      </c>
      <c r="D49" s="113">
        <f ca="1">TblProd[[#This Row],[Lumber]]</f>
        <v>45870</v>
      </c>
      <c r="E49" s="113">
        <f ca="1">TblProd[[#This Row],[Ore]]</f>
        <v>0</v>
      </c>
      <c r="F49" s="113">
        <f ca="1">TblProd[[#This Row],[Gems]]</f>
        <v>10000</v>
      </c>
      <c r="G49" s="200"/>
      <c r="H49" s="113">
        <f ca="1">TblMili[[#This Row],[Draftees]]</f>
        <v>646</v>
      </c>
      <c r="I49" s="234">
        <f ca="1">TblPop[[#This Row],[Employment]]</f>
        <v>1</v>
      </c>
      <c r="J49" s="234">
        <f ca="1">TblPop[[#This Row],[Total]]/TblPop[[#This Row],[Net max]]</f>
        <v>1</v>
      </c>
      <c r="K49" s="373">
        <f>TblRezone[[#This Row],[Hour]]</f>
        <v>46</v>
      </c>
      <c r="L49" s="374">
        <f ca="1">TblImps[[#This Row],[Real time]]</f>
        <v>44344.874999999891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44344.874999999891</v>
      </c>
      <c r="BZ49" s="387">
        <f ca="1">OFFSET(TblImps[[#This Row],[Servertime]],-1,0)+1/24</f>
        <v>44344.874999999891</v>
      </c>
      <c r="CA49" s="141"/>
      <c r="CB49" s="385"/>
      <c r="CC49" s="385"/>
    </row>
    <row r="50" spans="1:81" x14ac:dyDescent="0.2">
      <c r="A50" s="280">
        <f ca="1">TblConstr[[#This Row],[Land]]</f>
        <v>250</v>
      </c>
      <c r="B50" s="184"/>
      <c r="C50" s="113">
        <f ca="1">TblProd[[#This Row],[Platinum]]</f>
        <v>352787</v>
      </c>
      <c r="D50" s="113">
        <f ca="1">TblProd[[#This Row],[Lumber]]</f>
        <v>46411</v>
      </c>
      <c r="E50" s="113">
        <f ca="1">TblProd[[#This Row],[Ore]]</f>
        <v>0</v>
      </c>
      <c r="F50" s="113">
        <f ca="1">TblProd[[#This Row],[Gems]]</f>
        <v>10000</v>
      </c>
      <c r="G50" s="200"/>
      <c r="H50" s="113">
        <f ca="1">TblMili[[#This Row],[Draftees]]</f>
        <v>646</v>
      </c>
      <c r="I50" s="234">
        <f ca="1">TblPop[[#This Row],[Employment]]</f>
        <v>1</v>
      </c>
      <c r="J50" s="234">
        <f ca="1">TblPop[[#This Row],[Total]]/TblPop[[#This Row],[Net max]]</f>
        <v>1</v>
      </c>
      <c r="K50" s="373">
        <f>TblRezone[[#This Row],[Hour]]</f>
        <v>47</v>
      </c>
      <c r="L50" s="374">
        <f ca="1">TblImps[[#This Row],[Real time]]</f>
        <v>44344.916666666555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44344.916666666555</v>
      </c>
      <c r="BZ50" s="387">
        <f ca="1">OFFSET(TblImps[[#This Row],[Servertime]],-1,0)+1/24</f>
        <v>44344.916666666555</v>
      </c>
      <c r="CA50" s="141"/>
      <c r="CB50" s="385"/>
      <c r="CC50" s="385"/>
    </row>
    <row r="51" spans="1:81" x14ac:dyDescent="0.2">
      <c r="A51" s="280">
        <f ca="1">TblConstr[[#This Row],[Land]]</f>
        <v>250</v>
      </c>
      <c r="B51" s="184"/>
      <c r="C51" s="113">
        <f ca="1">TblProd[[#This Row],[Platinum]]</f>
        <v>358286</v>
      </c>
      <c r="D51" s="113">
        <f ca="1">TblProd[[#This Row],[Lumber]]</f>
        <v>46947</v>
      </c>
      <c r="E51" s="113">
        <f ca="1">TblProd[[#This Row],[Ore]]</f>
        <v>0</v>
      </c>
      <c r="F51" s="113">
        <f ca="1">TblProd[[#This Row],[Gems]]</f>
        <v>10000</v>
      </c>
      <c r="G51" s="200"/>
      <c r="H51" s="113">
        <f ca="1">TblMili[[#This Row],[Draftees]]</f>
        <v>646</v>
      </c>
      <c r="I51" s="234">
        <f ca="1">TblPop[[#This Row],[Employment]]</f>
        <v>1</v>
      </c>
      <c r="J51" s="234">
        <f ca="1">TblPop[[#This Row],[Total]]/TblPop[[#This Row],[Net max]]</f>
        <v>1</v>
      </c>
      <c r="K51" s="373">
        <f>TblRezone[[#This Row],[Hour]]</f>
        <v>48</v>
      </c>
      <c r="L51" s="374">
        <f ca="1">TblImps[[#This Row],[Real time]]</f>
        <v>44344.958333333219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44344.958333333219</v>
      </c>
      <c r="BZ51" s="387">
        <f ca="1">OFFSET(TblImps[[#This Row],[Servertime]],-1,0)+1/24</f>
        <v>44344.958333333219</v>
      </c>
      <c r="CA51" s="141"/>
      <c r="CB51" s="385"/>
      <c r="CC51" s="385"/>
    </row>
    <row r="52" spans="1:81" x14ac:dyDescent="0.2">
      <c r="A52" s="280">
        <f ca="1">TblConstr[[#This Row],[Land]]</f>
        <v>250</v>
      </c>
      <c r="B52" s="184"/>
      <c r="C52" s="113">
        <f ca="1">TblProd[[#This Row],[Platinum]]</f>
        <v>363785</v>
      </c>
      <c r="D52" s="113">
        <f ca="1">TblProd[[#This Row],[Lumber]]</f>
        <v>47478</v>
      </c>
      <c r="E52" s="113">
        <f ca="1">TblProd[[#This Row],[Ore]]</f>
        <v>0</v>
      </c>
      <c r="F52" s="113">
        <f ca="1">TblProd[[#This Row],[Gems]]</f>
        <v>10000</v>
      </c>
      <c r="G52" s="200"/>
      <c r="H52" s="113">
        <f ca="1">TblMili[[#This Row],[Draftees]]</f>
        <v>646</v>
      </c>
      <c r="I52" s="234">
        <f ca="1">TblPop[[#This Row],[Employment]]</f>
        <v>1</v>
      </c>
      <c r="J52" s="234">
        <f ca="1">TblPop[[#This Row],[Total]]/TblPop[[#This Row],[Net max]]</f>
        <v>1</v>
      </c>
      <c r="K52" s="373">
        <f>TblRezone[[#This Row],[Hour]]</f>
        <v>49</v>
      </c>
      <c r="L52" s="374">
        <f ca="1">TblImps[[#This Row],[Real time]]</f>
        <v>44344.999999999884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44344.999999999884</v>
      </c>
      <c r="BZ52" s="387">
        <f ca="1">OFFSET(TblImps[[#This Row],[Servertime]],-1,0)+1/24</f>
        <v>44344.999999999884</v>
      </c>
      <c r="CA52" s="141"/>
      <c r="CB52" s="385"/>
      <c r="CC52" s="385"/>
    </row>
    <row r="53" spans="1:81" x14ac:dyDescent="0.2">
      <c r="A53" s="280">
        <f ca="1">TblConstr[[#This Row],[Land]]</f>
        <v>250</v>
      </c>
      <c r="B53" s="184"/>
      <c r="C53" s="113">
        <f ca="1">TblProd[[#This Row],[Platinum]]</f>
        <v>369284</v>
      </c>
      <c r="D53" s="113">
        <f ca="1">TblProd[[#This Row],[Lumber]]</f>
        <v>48003</v>
      </c>
      <c r="E53" s="113">
        <f ca="1">TblProd[[#This Row],[Ore]]</f>
        <v>0</v>
      </c>
      <c r="F53" s="113">
        <f ca="1">TblProd[[#This Row],[Gems]]</f>
        <v>10000</v>
      </c>
      <c r="G53" s="200"/>
      <c r="H53" s="113">
        <f ca="1">TblMili[[#This Row],[Draftees]]</f>
        <v>646</v>
      </c>
      <c r="I53" s="234">
        <f ca="1">TblPop[[#This Row],[Employment]]</f>
        <v>1</v>
      </c>
      <c r="J53" s="234">
        <f ca="1">TblPop[[#This Row],[Total]]/TblPop[[#This Row],[Net max]]</f>
        <v>1</v>
      </c>
      <c r="K53" s="373">
        <f>TblRezone[[#This Row],[Hour]]</f>
        <v>50</v>
      </c>
      <c r="L53" s="374">
        <f ca="1">TblImps[[#This Row],[Real time]]</f>
        <v>44345.041666666548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44345.041666666548</v>
      </c>
      <c r="BZ53" s="387">
        <f ca="1">OFFSET(TblImps[[#This Row],[Servertime]],-1,0)+1/24</f>
        <v>44345.041666666548</v>
      </c>
      <c r="CA53" s="141"/>
      <c r="CB53" s="385"/>
      <c r="CC53" s="385"/>
    </row>
    <row r="54" spans="1:81" x14ac:dyDescent="0.2">
      <c r="A54" s="280">
        <f ca="1">TblConstr[[#This Row],[Land]]</f>
        <v>250</v>
      </c>
      <c r="B54" s="184"/>
      <c r="C54" s="113">
        <f ca="1">TblProd[[#This Row],[Platinum]]</f>
        <v>374783</v>
      </c>
      <c r="D54" s="113">
        <f ca="1">TblProd[[#This Row],[Lumber]]</f>
        <v>48523</v>
      </c>
      <c r="E54" s="113">
        <f ca="1">TblProd[[#This Row],[Ore]]</f>
        <v>0</v>
      </c>
      <c r="F54" s="113">
        <f ca="1">TblProd[[#This Row],[Gems]]</f>
        <v>10000</v>
      </c>
      <c r="G54" s="200"/>
      <c r="H54" s="113">
        <f ca="1">TblMili[[#This Row],[Draftees]]</f>
        <v>646</v>
      </c>
      <c r="I54" s="234">
        <f ca="1">TblPop[[#This Row],[Employment]]</f>
        <v>1</v>
      </c>
      <c r="J54" s="234">
        <f ca="1">TblPop[[#This Row],[Total]]/TblPop[[#This Row],[Net max]]</f>
        <v>1</v>
      </c>
      <c r="K54" s="373">
        <f>TblRezone[[#This Row],[Hour]]</f>
        <v>51</v>
      </c>
      <c r="L54" s="374">
        <f ca="1">TblImps[[#This Row],[Real time]]</f>
        <v>44345.083333333212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44345.083333333212</v>
      </c>
      <c r="BZ54" s="387">
        <f ca="1">OFFSET(TblImps[[#This Row],[Servertime]],-1,0)+1/24</f>
        <v>44345.083333333212</v>
      </c>
      <c r="CA54" s="141"/>
      <c r="CB54" s="385"/>
      <c r="CC54" s="385"/>
    </row>
    <row r="55" spans="1:81" x14ac:dyDescent="0.2">
      <c r="A55" s="280">
        <f ca="1">TblConstr[[#This Row],[Land]]</f>
        <v>250</v>
      </c>
      <c r="B55" s="184"/>
      <c r="C55" s="113">
        <f ca="1">TblProd[[#This Row],[Platinum]]</f>
        <v>380282</v>
      </c>
      <c r="D55" s="113">
        <f ca="1">TblProd[[#This Row],[Lumber]]</f>
        <v>49038</v>
      </c>
      <c r="E55" s="113">
        <f ca="1">TblProd[[#This Row],[Ore]]</f>
        <v>0</v>
      </c>
      <c r="F55" s="113">
        <f ca="1">TblProd[[#This Row],[Gems]]</f>
        <v>10000</v>
      </c>
      <c r="G55" s="200"/>
      <c r="H55" s="113">
        <f ca="1">TblMili[[#This Row],[Draftees]]</f>
        <v>646</v>
      </c>
      <c r="I55" s="234">
        <f ca="1">TblPop[[#This Row],[Employment]]</f>
        <v>1</v>
      </c>
      <c r="J55" s="234">
        <f ca="1">TblPop[[#This Row],[Total]]/TblPop[[#This Row],[Net max]]</f>
        <v>1</v>
      </c>
      <c r="K55" s="373">
        <f>TblRezone[[#This Row],[Hour]]</f>
        <v>52</v>
      </c>
      <c r="L55" s="374">
        <f ca="1">TblImps[[#This Row],[Real time]]</f>
        <v>44345.124999999876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44345.124999999876</v>
      </c>
      <c r="BZ55" s="387">
        <f ca="1">OFFSET(TblImps[[#This Row],[Servertime]],-1,0)+1/24</f>
        <v>44345.124999999876</v>
      </c>
      <c r="CA55" s="141"/>
      <c r="CB55" s="385"/>
      <c r="CC55" s="385"/>
    </row>
    <row r="56" spans="1:81" x14ac:dyDescent="0.2">
      <c r="A56" s="280">
        <f ca="1">TblConstr[[#This Row],[Land]]</f>
        <v>250</v>
      </c>
      <c r="B56" s="184"/>
      <c r="C56" s="113">
        <f ca="1">TblProd[[#This Row],[Platinum]]</f>
        <v>385781</v>
      </c>
      <c r="D56" s="113">
        <f ca="1">TblProd[[#This Row],[Lumber]]</f>
        <v>49548</v>
      </c>
      <c r="E56" s="113">
        <f ca="1">TblProd[[#This Row],[Ore]]</f>
        <v>0</v>
      </c>
      <c r="F56" s="113">
        <f ca="1">TblProd[[#This Row],[Gems]]</f>
        <v>10000</v>
      </c>
      <c r="G56" s="200"/>
      <c r="H56" s="113">
        <f ca="1">TblMili[[#This Row],[Draftees]]</f>
        <v>646</v>
      </c>
      <c r="I56" s="234">
        <f ca="1">TblPop[[#This Row],[Employment]]</f>
        <v>1</v>
      </c>
      <c r="J56" s="234">
        <f ca="1">TblPop[[#This Row],[Total]]/TblPop[[#This Row],[Net max]]</f>
        <v>1</v>
      </c>
      <c r="K56" s="373">
        <f>TblRezone[[#This Row],[Hour]]</f>
        <v>53</v>
      </c>
      <c r="L56" s="374">
        <f ca="1">TblImps[[#This Row],[Real time]]</f>
        <v>44345.166666666541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44345.166666666541</v>
      </c>
      <c r="BZ56" s="387">
        <f ca="1">OFFSET(TblImps[[#This Row],[Servertime]],-1,0)+1/24</f>
        <v>44345.166666666541</v>
      </c>
      <c r="CA56" s="141"/>
      <c r="CB56" s="385"/>
      <c r="CC56" s="385"/>
    </row>
    <row r="57" spans="1:81" x14ac:dyDescent="0.2">
      <c r="A57" s="280">
        <f ca="1">TblConstr[[#This Row],[Land]]</f>
        <v>250</v>
      </c>
      <c r="B57" s="184"/>
      <c r="C57" s="113">
        <f ca="1">TblProd[[#This Row],[Platinum]]</f>
        <v>391280</v>
      </c>
      <c r="D57" s="113">
        <f ca="1">TblProd[[#This Row],[Lumber]]</f>
        <v>50053</v>
      </c>
      <c r="E57" s="113">
        <f ca="1">TblProd[[#This Row],[Ore]]</f>
        <v>0</v>
      </c>
      <c r="F57" s="113">
        <f ca="1">TblProd[[#This Row],[Gems]]</f>
        <v>10000</v>
      </c>
      <c r="G57" s="200"/>
      <c r="H57" s="113">
        <f ca="1">TblMili[[#This Row],[Draftees]]</f>
        <v>646</v>
      </c>
      <c r="I57" s="234">
        <f ca="1">TblPop[[#This Row],[Employment]]</f>
        <v>1</v>
      </c>
      <c r="J57" s="234">
        <f ca="1">TblPop[[#This Row],[Total]]/TblPop[[#This Row],[Net max]]</f>
        <v>1</v>
      </c>
      <c r="K57" s="373">
        <f>TblRezone[[#This Row],[Hour]]</f>
        <v>54</v>
      </c>
      <c r="L57" s="374">
        <f ca="1">TblImps[[#This Row],[Real time]]</f>
        <v>44345.208333333205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44345.208333333205</v>
      </c>
      <c r="BZ57" s="387">
        <f ca="1">OFFSET(TblImps[[#This Row],[Servertime]],-1,0)+1/24</f>
        <v>44345.208333333205</v>
      </c>
      <c r="CA57" s="141"/>
      <c r="CB57" s="385"/>
      <c r="CC57" s="385"/>
    </row>
    <row r="58" spans="1:81" x14ac:dyDescent="0.2">
      <c r="A58" s="280">
        <f ca="1">TblConstr[[#This Row],[Land]]</f>
        <v>250</v>
      </c>
      <c r="B58" s="184"/>
      <c r="C58" s="113">
        <f ca="1">TblProd[[#This Row],[Platinum]]</f>
        <v>396779</v>
      </c>
      <c r="D58" s="113">
        <f ca="1">TblProd[[#This Row],[Lumber]]</f>
        <v>50552</v>
      </c>
      <c r="E58" s="113">
        <f ca="1">TblProd[[#This Row],[Ore]]</f>
        <v>0</v>
      </c>
      <c r="F58" s="113">
        <f ca="1">TblProd[[#This Row],[Gems]]</f>
        <v>10000</v>
      </c>
      <c r="G58" s="200"/>
      <c r="H58" s="113">
        <f ca="1">TblMili[[#This Row],[Draftees]]</f>
        <v>646</v>
      </c>
      <c r="I58" s="234">
        <f ca="1">TblPop[[#This Row],[Employment]]</f>
        <v>1</v>
      </c>
      <c r="J58" s="234">
        <f ca="1">TblPop[[#This Row],[Total]]/TblPop[[#This Row],[Net max]]</f>
        <v>1</v>
      </c>
      <c r="K58" s="373">
        <f>TblRezone[[#This Row],[Hour]]</f>
        <v>55</v>
      </c>
      <c r="L58" s="374">
        <f ca="1">TblImps[[#This Row],[Real time]]</f>
        <v>44345.249999999869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44345.249999999869</v>
      </c>
      <c r="BZ58" s="387">
        <f ca="1">OFFSET(TblImps[[#This Row],[Servertime]],-1,0)+1/24</f>
        <v>44345.249999999869</v>
      </c>
      <c r="CA58" s="141"/>
      <c r="CB58" s="385"/>
      <c r="CC58" s="385"/>
    </row>
    <row r="59" spans="1:81" x14ac:dyDescent="0.2">
      <c r="A59" s="280">
        <f ca="1">TblConstr[[#This Row],[Land]]</f>
        <v>250</v>
      </c>
      <c r="B59" s="184"/>
      <c r="C59" s="113">
        <f ca="1">TblProd[[#This Row],[Platinum]]</f>
        <v>402278</v>
      </c>
      <c r="D59" s="113">
        <f ca="1">TblProd[[#This Row],[Lumber]]</f>
        <v>51046</v>
      </c>
      <c r="E59" s="113">
        <f ca="1">TblProd[[#This Row],[Ore]]</f>
        <v>0</v>
      </c>
      <c r="F59" s="113">
        <f ca="1">TblProd[[#This Row],[Gems]]</f>
        <v>10000</v>
      </c>
      <c r="G59" s="200"/>
      <c r="H59" s="113">
        <f ca="1">TblMili[[#This Row],[Draftees]]</f>
        <v>646</v>
      </c>
      <c r="I59" s="234">
        <f ca="1">TblPop[[#This Row],[Employment]]</f>
        <v>1</v>
      </c>
      <c r="J59" s="234">
        <f ca="1">TblPop[[#This Row],[Total]]/TblPop[[#This Row],[Net max]]</f>
        <v>1</v>
      </c>
      <c r="K59" s="373">
        <f>TblRezone[[#This Row],[Hour]]</f>
        <v>56</v>
      </c>
      <c r="L59" s="374">
        <f ca="1">TblImps[[#This Row],[Real time]]</f>
        <v>44345.291666666533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44345.291666666533</v>
      </c>
      <c r="BZ59" s="387">
        <f ca="1">OFFSET(TblImps[[#This Row],[Servertime]],-1,0)+1/24</f>
        <v>44345.291666666533</v>
      </c>
      <c r="CA59" s="141"/>
      <c r="CB59" s="385"/>
      <c r="CC59" s="385"/>
    </row>
    <row r="60" spans="1:81" x14ac:dyDescent="0.2">
      <c r="A60" s="280">
        <f ca="1">TblConstr[[#This Row],[Land]]</f>
        <v>250</v>
      </c>
      <c r="B60" s="184"/>
      <c r="C60" s="113">
        <f ca="1">TblProd[[#This Row],[Platinum]]</f>
        <v>407777</v>
      </c>
      <c r="D60" s="113">
        <f ca="1">TblProd[[#This Row],[Lumber]]</f>
        <v>51536</v>
      </c>
      <c r="E60" s="113">
        <f ca="1">TblProd[[#This Row],[Ore]]</f>
        <v>0</v>
      </c>
      <c r="F60" s="113">
        <f ca="1">TblProd[[#This Row],[Gems]]</f>
        <v>10000</v>
      </c>
      <c r="G60" s="200"/>
      <c r="H60" s="113">
        <f ca="1">TblMili[[#This Row],[Draftees]]</f>
        <v>646</v>
      </c>
      <c r="I60" s="234">
        <f ca="1">TblPop[[#This Row],[Employment]]</f>
        <v>1</v>
      </c>
      <c r="J60" s="234">
        <f ca="1">TblPop[[#This Row],[Total]]/TblPop[[#This Row],[Net max]]</f>
        <v>1</v>
      </c>
      <c r="K60" s="373">
        <f>TblRezone[[#This Row],[Hour]]</f>
        <v>57</v>
      </c>
      <c r="L60" s="374">
        <f ca="1">TblImps[[#This Row],[Real time]]</f>
        <v>44345.333333333198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44345.333333333198</v>
      </c>
      <c r="BZ60" s="387">
        <f ca="1">OFFSET(TblImps[[#This Row],[Servertime]],-1,0)+1/24</f>
        <v>44345.333333333198</v>
      </c>
      <c r="CA60" s="141"/>
      <c r="CB60" s="385"/>
      <c r="CC60" s="385"/>
    </row>
    <row r="61" spans="1:81" x14ac:dyDescent="0.2">
      <c r="A61" s="280">
        <f ca="1">TblConstr[[#This Row],[Land]]</f>
        <v>250</v>
      </c>
      <c r="B61" s="184"/>
      <c r="C61" s="113">
        <f ca="1">TblProd[[#This Row],[Platinum]]</f>
        <v>413276</v>
      </c>
      <c r="D61" s="113">
        <f ca="1">TblProd[[#This Row],[Lumber]]</f>
        <v>52021</v>
      </c>
      <c r="E61" s="113">
        <f ca="1">TblProd[[#This Row],[Ore]]</f>
        <v>0</v>
      </c>
      <c r="F61" s="113">
        <f ca="1">TblProd[[#This Row],[Gems]]</f>
        <v>10000</v>
      </c>
      <c r="G61" s="200"/>
      <c r="H61" s="113">
        <f ca="1">TblMili[[#This Row],[Draftees]]</f>
        <v>646</v>
      </c>
      <c r="I61" s="234">
        <f ca="1">TblPop[[#This Row],[Employment]]</f>
        <v>1</v>
      </c>
      <c r="J61" s="234">
        <f ca="1">TblPop[[#This Row],[Total]]/TblPop[[#This Row],[Net max]]</f>
        <v>1</v>
      </c>
      <c r="K61" s="373">
        <f>TblRezone[[#This Row],[Hour]]</f>
        <v>58</v>
      </c>
      <c r="L61" s="374">
        <f ca="1">TblImps[[#This Row],[Real time]]</f>
        <v>44345.374999999862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44345.374999999862</v>
      </c>
      <c r="BZ61" s="387">
        <f ca="1">OFFSET(TblImps[[#This Row],[Servertime]],-1,0)+1/24</f>
        <v>44345.374999999862</v>
      </c>
      <c r="CA61" s="141"/>
      <c r="CB61" s="385"/>
      <c r="CC61" s="385"/>
    </row>
    <row r="62" spans="1:81" x14ac:dyDescent="0.2">
      <c r="A62" s="280">
        <f ca="1">TblConstr[[#This Row],[Land]]</f>
        <v>250</v>
      </c>
      <c r="B62" s="184"/>
      <c r="C62" s="113">
        <f ca="1">TblProd[[#This Row],[Platinum]]</f>
        <v>418775</v>
      </c>
      <c r="D62" s="113">
        <f ca="1">TblProd[[#This Row],[Lumber]]</f>
        <v>52501</v>
      </c>
      <c r="E62" s="113">
        <f ca="1">TblProd[[#This Row],[Ore]]</f>
        <v>0</v>
      </c>
      <c r="F62" s="113">
        <f ca="1">TblProd[[#This Row],[Gems]]</f>
        <v>10000</v>
      </c>
      <c r="G62" s="200"/>
      <c r="H62" s="113">
        <f ca="1">TblMili[[#This Row],[Draftees]]</f>
        <v>646</v>
      </c>
      <c r="I62" s="234">
        <f ca="1">TblPop[[#This Row],[Employment]]</f>
        <v>1</v>
      </c>
      <c r="J62" s="234">
        <f ca="1">TblPop[[#This Row],[Total]]/TblPop[[#This Row],[Net max]]</f>
        <v>1</v>
      </c>
      <c r="K62" s="373">
        <f>TblRezone[[#This Row],[Hour]]</f>
        <v>59</v>
      </c>
      <c r="L62" s="374">
        <f ca="1">TblImps[[#This Row],[Real time]]</f>
        <v>44345.416666666526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44345.416666666526</v>
      </c>
      <c r="BZ62" s="387">
        <f ca="1">OFFSET(TblImps[[#This Row],[Servertime]],-1,0)+1/24</f>
        <v>44345.416666666526</v>
      </c>
      <c r="CA62" s="141"/>
      <c r="CB62" s="385"/>
      <c r="CC62" s="385"/>
    </row>
    <row r="63" spans="1:81" x14ac:dyDescent="0.2">
      <c r="A63" s="280">
        <f ca="1">TblConstr[[#This Row],[Land]]</f>
        <v>250</v>
      </c>
      <c r="B63" s="184"/>
      <c r="C63" s="113">
        <f ca="1">TblProd[[#This Row],[Platinum]]</f>
        <v>424274</v>
      </c>
      <c r="D63" s="113">
        <f ca="1">TblProd[[#This Row],[Lumber]]</f>
        <v>52976</v>
      </c>
      <c r="E63" s="113">
        <f ca="1">TblProd[[#This Row],[Ore]]</f>
        <v>0</v>
      </c>
      <c r="F63" s="113">
        <f ca="1">TblProd[[#This Row],[Gems]]</f>
        <v>10000</v>
      </c>
      <c r="G63" s="200"/>
      <c r="H63" s="113">
        <f ca="1">TblMili[[#This Row],[Draftees]]</f>
        <v>646</v>
      </c>
      <c r="I63" s="234">
        <f ca="1">TblPop[[#This Row],[Employment]]</f>
        <v>1</v>
      </c>
      <c r="J63" s="234">
        <f ca="1">TblPop[[#This Row],[Total]]/TblPop[[#This Row],[Net max]]</f>
        <v>1</v>
      </c>
      <c r="K63" s="373">
        <f>TblRezone[[#This Row],[Hour]]</f>
        <v>60</v>
      </c>
      <c r="L63" s="374">
        <f ca="1">TblImps[[#This Row],[Real time]]</f>
        <v>44345.45833333319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44345.45833333319</v>
      </c>
      <c r="BZ63" s="387">
        <f ca="1">OFFSET(TblImps[[#This Row],[Servertime]],-1,0)+1/24</f>
        <v>44345.45833333319</v>
      </c>
      <c r="CA63" s="141"/>
      <c r="CB63" s="385"/>
      <c r="CC63" s="385"/>
    </row>
    <row r="64" spans="1:81" x14ac:dyDescent="0.2">
      <c r="A64" s="280">
        <f ca="1">TblConstr[[#This Row],[Land]]</f>
        <v>250</v>
      </c>
      <c r="B64" s="184"/>
      <c r="C64" s="113">
        <f ca="1">TblProd[[#This Row],[Platinum]]</f>
        <v>429773</v>
      </c>
      <c r="D64" s="113">
        <f ca="1">TblProd[[#This Row],[Lumber]]</f>
        <v>53446</v>
      </c>
      <c r="E64" s="113">
        <f ca="1">TblProd[[#This Row],[Ore]]</f>
        <v>0</v>
      </c>
      <c r="F64" s="113">
        <f ca="1">TblProd[[#This Row],[Gems]]</f>
        <v>10000</v>
      </c>
      <c r="G64" s="200"/>
      <c r="H64" s="113">
        <f ca="1">TblMili[[#This Row],[Draftees]]</f>
        <v>646</v>
      </c>
      <c r="I64" s="234">
        <f ca="1">TblPop[[#This Row],[Employment]]</f>
        <v>1</v>
      </c>
      <c r="J64" s="234">
        <f ca="1">TblPop[[#This Row],[Total]]/TblPop[[#This Row],[Net max]]</f>
        <v>1</v>
      </c>
      <c r="K64" s="373">
        <f>TblRezone[[#This Row],[Hour]]</f>
        <v>61</v>
      </c>
      <c r="L64" s="374">
        <f ca="1">TblImps[[#This Row],[Real time]]</f>
        <v>44345.499999999854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44345.499999999854</v>
      </c>
      <c r="BZ64" s="387">
        <f ca="1">OFFSET(TblImps[[#This Row],[Servertime]],-1,0)+1/24</f>
        <v>44345.499999999854</v>
      </c>
      <c r="CA64" s="141"/>
      <c r="CB64" s="385"/>
      <c r="CC64" s="385"/>
    </row>
    <row r="65" spans="1:84" x14ac:dyDescent="0.2">
      <c r="A65" s="280">
        <f ca="1">TblConstr[[#This Row],[Land]]</f>
        <v>250</v>
      </c>
      <c r="B65" s="184"/>
      <c r="C65" s="113">
        <f ca="1">TblProd[[#This Row],[Platinum]]</f>
        <v>435272</v>
      </c>
      <c r="D65" s="113">
        <f ca="1">TblProd[[#This Row],[Lumber]]</f>
        <v>53912</v>
      </c>
      <c r="E65" s="113">
        <f ca="1">TblProd[[#This Row],[Ore]]</f>
        <v>0</v>
      </c>
      <c r="F65" s="113">
        <f ca="1">TblProd[[#This Row],[Gems]]</f>
        <v>10000</v>
      </c>
      <c r="G65" s="200"/>
      <c r="H65" s="113">
        <f ca="1">TblMili[[#This Row],[Draftees]]</f>
        <v>646</v>
      </c>
      <c r="I65" s="234">
        <f ca="1">TblPop[[#This Row],[Employment]]</f>
        <v>1</v>
      </c>
      <c r="J65" s="234">
        <f ca="1">TblPop[[#This Row],[Total]]/TblPop[[#This Row],[Net max]]</f>
        <v>1</v>
      </c>
      <c r="K65" s="373">
        <f>TblRezone[[#This Row],[Hour]]</f>
        <v>62</v>
      </c>
      <c r="L65" s="374">
        <f ca="1">TblImps[[#This Row],[Real time]]</f>
        <v>44345.541666666519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44345.541666666519</v>
      </c>
      <c r="BZ65" s="387">
        <f ca="1">OFFSET(TblImps[[#This Row],[Servertime]],-1,0)+1/24</f>
        <v>44345.541666666519</v>
      </c>
      <c r="CA65" s="141"/>
      <c r="CB65" s="385"/>
      <c r="CC65" s="385"/>
    </row>
    <row r="66" spans="1:84" x14ac:dyDescent="0.2">
      <c r="A66" s="280">
        <f ca="1">TblConstr[[#This Row],[Land]]</f>
        <v>250</v>
      </c>
      <c r="B66" s="184"/>
      <c r="C66" s="113">
        <f ca="1">TblProd[[#This Row],[Platinum]]</f>
        <v>440771</v>
      </c>
      <c r="D66" s="113">
        <f ca="1">TblProd[[#This Row],[Lumber]]</f>
        <v>54373</v>
      </c>
      <c r="E66" s="113">
        <f ca="1">TblProd[[#This Row],[Ore]]</f>
        <v>0</v>
      </c>
      <c r="F66" s="113">
        <f ca="1">TblProd[[#This Row],[Gems]]</f>
        <v>10000</v>
      </c>
      <c r="G66" s="200"/>
      <c r="H66" s="113">
        <f ca="1">TblMili[[#This Row],[Draftees]]</f>
        <v>646</v>
      </c>
      <c r="I66" s="234">
        <f ca="1">TblPop[[#This Row],[Employment]]</f>
        <v>1</v>
      </c>
      <c r="J66" s="234">
        <f ca="1">TblPop[[#This Row],[Total]]/TblPop[[#This Row],[Net max]]</f>
        <v>1</v>
      </c>
      <c r="K66" s="373">
        <f>TblRezone[[#This Row],[Hour]]</f>
        <v>63</v>
      </c>
      <c r="L66" s="374">
        <f ca="1">TblImps[[#This Row],[Real time]]</f>
        <v>44345.583333333183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44345.583333333183</v>
      </c>
      <c r="BZ66" s="387">
        <f ca="1">OFFSET(TblImps[[#This Row],[Servertime]],-1,0)+1/24</f>
        <v>44345.583333333183</v>
      </c>
      <c r="CA66" s="390"/>
      <c r="CB66" s="385"/>
      <c r="CC66" s="385"/>
    </row>
    <row r="67" spans="1:84" x14ac:dyDescent="0.2">
      <c r="A67" s="280">
        <f ca="1">TblConstr[[#This Row],[Land]]</f>
        <v>250</v>
      </c>
      <c r="B67" s="184"/>
      <c r="C67" s="113">
        <f ca="1">TblProd[[#This Row],[Platinum]]</f>
        <v>446270</v>
      </c>
      <c r="D67" s="113">
        <f ca="1">TblProd[[#This Row],[Lumber]]</f>
        <v>54829</v>
      </c>
      <c r="E67" s="113">
        <f ca="1">TblProd[[#This Row],[Ore]]</f>
        <v>0</v>
      </c>
      <c r="F67" s="113">
        <f ca="1">TblProd[[#This Row],[Gems]]</f>
        <v>10000</v>
      </c>
      <c r="G67" s="200"/>
      <c r="H67" s="113">
        <f ca="1">TblMili[[#This Row],[Draftees]]</f>
        <v>646</v>
      </c>
      <c r="I67" s="234">
        <f ca="1">TblPop[[#This Row],[Employment]]</f>
        <v>1</v>
      </c>
      <c r="J67" s="234">
        <f ca="1">TblPop[[#This Row],[Total]]/TblPop[[#This Row],[Net max]]</f>
        <v>1</v>
      </c>
      <c r="K67" s="373">
        <f>TblRezone[[#This Row],[Hour]]</f>
        <v>64</v>
      </c>
      <c r="L67" s="374">
        <f ca="1">TblImps[[#This Row],[Real time]]</f>
        <v>44345.624999999847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44345.624999999847</v>
      </c>
      <c r="BZ67" s="387">
        <f ca="1">OFFSET(TblImps[[#This Row],[Servertime]],-1,0)+1/24</f>
        <v>44345.624999999847</v>
      </c>
      <c r="CA67" s="141"/>
      <c r="CB67" s="385"/>
      <c r="CC67" s="385"/>
    </row>
    <row r="68" spans="1:84" x14ac:dyDescent="0.2">
      <c r="A68" s="280">
        <f ca="1">TblConstr[[#This Row],[Land]]</f>
        <v>250</v>
      </c>
      <c r="B68" s="184"/>
      <c r="C68" s="113">
        <f ca="1">TblProd[[#This Row],[Platinum]]</f>
        <v>451769</v>
      </c>
      <c r="D68" s="113">
        <f ca="1">TblProd[[#This Row],[Lumber]]</f>
        <v>55281</v>
      </c>
      <c r="E68" s="113">
        <f ca="1">TblProd[[#This Row],[Ore]]</f>
        <v>0</v>
      </c>
      <c r="F68" s="113">
        <f ca="1">TblProd[[#This Row],[Gems]]</f>
        <v>10000</v>
      </c>
      <c r="G68" s="200"/>
      <c r="H68" s="113">
        <f ca="1">TblMili[[#This Row],[Draftees]]</f>
        <v>646</v>
      </c>
      <c r="I68" s="234">
        <f ca="1">TblPop[[#This Row],[Employment]]</f>
        <v>1</v>
      </c>
      <c r="J68" s="234">
        <f ca="1">TblPop[[#This Row],[Total]]/TblPop[[#This Row],[Net max]]</f>
        <v>1</v>
      </c>
      <c r="K68" s="373">
        <f>TblRezone[[#This Row],[Hour]]</f>
        <v>65</v>
      </c>
      <c r="L68" s="374">
        <f ca="1">TblImps[[#This Row],[Real time]]</f>
        <v>44345.666666666511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44345.666666666511</v>
      </c>
      <c r="BZ68" s="387">
        <f ca="1">OFFSET(TblImps[[#This Row],[Servertime]],-1,0)+1/24</f>
        <v>44345.666666666511</v>
      </c>
      <c r="CA68" s="141"/>
      <c r="CB68" s="385"/>
      <c r="CC68" s="385"/>
    </row>
    <row r="69" spans="1:84" x14ac:dyDescent="0.2">
      <c r="A69" s="280">
        <f ca="1">TblConstr[[#This Row],[Land]]</f>
        <v>250</v>
      </c>
      <c r="B69" s="184"/>
      <c r="C69" s="113">
        <f ca="1">TblProd[[#This Row],[Platinum]]</f>
        <v>457268</v>
      </c>
      <c r="D69" s="113">
        <f ca="1">TblProd[[#This Row],[Lumber]]</f>
        <v>55728</v>
      </c>
      <c r="E69" s="113">
        <f ca="1">TblProd[[#This Row],[Ore]]</f>
        <v>0</v>
      </c>
      <c r="F69" s="113">
        <f ca="1">TblProd[[#This Row],[Gems]]</f>
        <v>10000</v>
      </c>
      <c r="G69" s="200"/>
      <c r="H69" s="113">
        <f ca="1">TblMili[[#This Row],[Draftees]]</f>
        <v>646</v>
      </c>
      <c r="I69" s="234">
        <f ca="1">TblPop[[#This Row],[Employment]]</f>
        <v>1</v>
      </c>
      <c r="J69" s="234">
        <f ca="1">TblPop[[#This Row],[Total]]/TblPop[[#This Row],[Net max]]</f>
        <v>1</v>
      </c>
      <c r="K69" s="373">
        <f>TblRezone[[#This Row],[Hour]]</f>
        <v>66</v>
      </c>
      <c r="L69" s="374">
        <f ca="1">TblImps[[#This Row],[Real time]]</f>
        <v>44345.708333333176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44345.708333333176</v>
      </c>
      <c r="BZ69" s="387">
        <f ca="1">OFFSET(TblImps[[#This Row],[Servertime]],-1,0)+1/24</f>
        <v>44345.708333333176</v>
      </c>
      <c r="CA69" s="141"/>
      <c r="CB69" s="385"/>
      <c r="CC69" s="385"/>
    </row>
    <row r="70" spans="1:84" x14ac:dyDescent="0.2">
      <c r="A70" s="280">
        <f ca="1">TblConstr[[#This Row],[Land]]</f>
        <v>250</v>
      </c>
      <c r="B70" s="184"/>
      <c r="C70" s="113">
        <f ca="1">TblProd[[#This Row],[Platinum]]</f>
        <v>462767</v>
      </c>
      <c r="D70" s="113">
        <f ca="1">TblProd[[#This Row],[Lumber]]</f>
        <v>56171</v>
      </c>
      <c r="E70" s="113">
        <f ca="1">TblProd[[#This Row],[Ore]]</f>
        <v>0</v>
      </c>
      <c r="F70" s="113">
        <f ca="1">TblProd[[#This Row],[Gems]]</f>
        <v>10000</v>
      </c>
      <c r="G70" s="200"/>
      <c r="H70" s="113">
        <f ca="1">TblMili[[#This Row],[Draftees]]</f>
        <v>646</v>
      </c>
      <c r="I70" s="234">
        <f ca="1">TblPop[[#This Row],[Employment]]</f>
        <v>1</v>
      </c>
      <c r="J70" s="234">
        <f ca="1">TblPop[[#This Row],[Total]]/TblPop[[#This Row],[Net max]]</f>
        <v>1</v>
      </c>
      <c r="K70" s="373">
        <f>TblRezone[[#This Row],[Hour]]</f>
        <v>67</v>
      </c>
      <c r="L70" s="374">
        <f ca="1">TblImps[[#This Row],[Real time]]</f>
        <v>44345.74999999984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44345.74999999984</v>
      </c>
      <c r="BZ70" s="387">
        <f ca="1">OFFSET(TblImps[[#This Row],[Servertime]],-1,0)+1/24</f>
        <v>44345.74999999984</v>
      </c>
      <c r="CA70" s="141"/>
      <c r="CB70" s="385"/>
      <c r="CC70" s="385"/>
    </row>
    <row r="71" spans="1:84" x14ac:dyDescent="0.2">
      <c r="A71" s="280">
        <f ca="1">TblConstr[[#This Row],[Land]]</f>
        <v>250</v>
      </c>
      <c r="B71" s="184"/>
      <c r="C71" s="113">
        <f ca="1">TblProd[[#This Row],[Platinum]]</f>
        <v>468266</v>
      </c>
      <c r="D71" s="113">
        <f ca="1">TblProd[[#This Row],[Lumber]]</f>
        <v>56609</v>
      </c>
      <c r="E71" s="113">
        <f ca="1">TblProd[[#This Row],[Ore]]</f>
        <v>0</v>
      </c>
      <c r="F71" s="113">
        <f ca="1">TblProd[[#This Row],[Gems]]</f>
        <v>10000</v>
      </c>
      <c r="G71" s="200"/>
      <c r="H71" s="113">
        <f ca="1">TblMili[[#This Row],[Draftees]]</f>
        <v>646</v>
      </c>
      <c r="I71" s="234">
        <f ca="1">TblPop[[#This Row],[Employment]]</f>
        <v>1</v>
      </c>
      <c r="J71" s="234">
        <f ca="1">TblPop[[#This Row],[Total]]/TblPop[[#This Row],[Net max]]</f>
        <v>1</v>
      </c>
      <c r="K71" s="373">
        <f>TblRezone[[#This Row],[Hour]]</f>
        <v>68</v>
      </c>
      <c r="L71" s="374">
        <f ca="1">TblImps[[#This Row],[Real time]]</f>
        <v>44345.791666666504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44345.791666666504</v>
      </c>
      <c r="BZ71" s="387">
        <f ca="1">OFFSET(TblImps[[#This Row],[Servertime]],-1,0)+1/24</f>
        <v>44345.791666666504</v>
      </c>
      <c r="CA71" s="141"/>
      <c r="CB71" s="385"/>
      <c r="CC71" s="385"/>
    </row>
    <row r="72" spans="1:84" x14ac:dyDescent="0.2">
      <c r="A72" s="280">
        <f ca="1">TblConstr[[#This Row],[Land]]</f>
        <v>250</v>
      </c>
      <c r="B72" s="184"/>
      <c r="C72" s="113">
        <f ca="1">TblProd[[#This Row],[Platinum]]</f>
        <v>473765</v>
      </c>
      <c r="D72" s="113">
        <f ca="1">TblProd[[#This Row],[Lumber]]</f>
        <v>57043</v>
      </c>
      <c r="E72" s="113">
        <f ca="1">TblProd[[#This Row],[Ore]]</f>
        <v>0</v>
      </c>
      <c r="F72" s="113">
        <f ca="1">TblProd[[#This Row],[Gems]]</f>
        <v>10000</v>
      </c>
      <c r="G72" s="200"/>
      <c r="H72" s="113">
        <f ca="1">TblMili[[#This Row],[Draftees]]</f>
        <v>646</v>
      </c>
      <c r="I72" s="234">
        <f ca="1">TblPop[[#This Row],[Employment]]</f>
        <v>1</v>
      </c>
      <c r="J72" s="234">
        <f ca="1">TblPop[[#This Row],[Total]]/TblPop[[#This Row],[Net max]]</f>
        <v>1</v>
      </c>
      <c r="K72" s="373">
        <f>TblRezone[[#This Row],[Hour]]</f>
        <v>69</v>
      </c>
      <c r="L72" s="374">
        <f ca="1">TblImps[[#This Row],[Real time]]</f>
        <v>44345.833333333168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44345.833333333168</v>
      </c>
      <c r="BZ72" s="387">
        <f ca="1">OFFSET(TblImps[[#This Row],[Servertime]],-1,0)+1/24</f>
        <v>44345.833333333168</v>
      </c>
      <c r="CA72" s="141"/>
      <c r="CB72" s="385"/>
      <c r="CC72" s="385"/>
    </row>
    <row r="73" spans="1:84" x14ac:dyDescent="0.2">
      <c r="A73" s="280">
        <f ca="1">TblConstr[[#This Row],[Land]]</f>
        <v>250</v>
      </c>
      <c r="B73" s="184"/>
      <c r="C73" s="113">
        <f ca="1">TblProd[[#This Row],[Platinum]]</f>
        <v>479264</v>
      </c>
      <c r="D73" s="113">
        <f ca="1">TblProd[[#This Row],[Lumber]]</f>
        <v>57473</v>
      </c>
      <c r="E73" s="113">
        <f ca="1">TblProd[[#This Row],[Ore]]</f>
        <v>0</v>
      </c>
      <c r="F73" s="113">
        <f ca="1">TblProd[[#This Row],[Gems]]</f>
        <v>10000</v>
      </c>
      <c r="G73" s="200"/>
      <c r="H73" s="113">
        <f ca="1">TblMili[[#This Row],[Draftees]]</f>
        <v>646</v>
      </c>
      <c r="I73" s="234">
        <f ca="1">TblPop[[#This Row],[Employment]]</f>
        <v>1</v>
      </c>
      <c r="J73" s="234">
        <f ca="1">TblPop[[#This Row],[Total]]/TblPop[[#This Row],[Net max]]</f>
        <v>1</v>
      </c>
      <c r="K73" s="373">
        <f>TblRezone[[#This Row],[Hour]]</f>
        <v>70</v>
      </c>
      <c r="L73" s="374">
        <f ca="1">TblImps[[#This Row],[Real time]]</f>
        <v>44345.874999999833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44345.874999999833</v>
      </c>
      <c r="BZ73" s="387">
        <f ca="1">OFFSET(TblImps[[#This Row],[Servertime]],-1,0)+1/24</f>
        <v>44345.874999999833</v>
      </c>
      <c r="CA73" s="141"/>
      <c r="CB73" s="385"/>
      <c r="CC73" s="385"/>
    </row>
    <row r="74" spans="1:84" x14ac:dyDescent="0.2">
      <c r="A74" s="280">
        <f ca="1">TblConstr[[#This Row],[Land]]</f>
        <v>250</v>
      </c>
      <c r="B74" s="184"/>
      <c r="C74" s="113">
        <f ca="1">TblProd[[#This Row],[Platinum]]</f>
        <v>484763</v>
      </c>
      <c r="D74" s="113">
        <f ca="1">TblProd[[#This Row],[Lumber]]</f>
        <v>57898</v>
      </c>
      <c r="E74" s="113">
        <f ca="1">TblProd[[#This Row],[Ore]]</f>
        <v>0</v>
      </c>
      <c r="F74" s="113">
        <f ca="1">TblProd[[#This Row],[Gems]]</f>
        <v>10000</v>
      </c>
      <c r="G74" s="200"/>
      <c r="H74" s="113">
        <f ca="1">TblMili[[#This Row],[Draftees]]</f>
        <v>646</v>
      </c>
      <c r="I74" s="234">
        <f ca="1">TblPop[[#This Row],[Employment]]</f>
        <v>1</v>
      </c>
      <c r="J74" s="234">
        <f ca="1">TblPop[[#This Row],[Total]]/TblPop[[#This Row],[Net max]]</f>
        <v>1</v>
      </c>
      <c r="K74" s="373">
        <f>TblRezone[[#This Row],[Hour]]</f>
        <v>71</v>
      </c>
      <c r="L74" s="374">
        <f ca="1">TblImps[[#This Row],[Real time]]</f>
        <v>44345.916666666497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44345.916666666497</v>
      </c>
      <c r="BZ74" s="387">
        <f ca="1">OFFSET(TblImps[[#This Row],[Servertime]],-1,0)+1/24</f>
        <v>44345.916666666497</v>
      </c>
      <c r="CA74" s="141"/>
      <c r="CB74" s="385"/>
      <c r="CC74" s="385"/>
    </row>
    <row r="75" spans="1:84" x14ac:dyDescent="0.2">
      <c r="A75" s="280">
        <f ca="1">TblConstr[[#This Row],[Land]]</f>
        <v>250</v>
      </c>
      <c r="B75" s="184"/>
      <c r="C75" s="113">
        <f ca="1">TblProd[[#This Row],[Platinum]]</f>
        <v>490262</v>
      </c>
      <c r="D75" s="113">
        <f ca="1">TblProd[[#This Row],[Lumber]]</f>
        <v>58319</v>
      </c>
      <c r="E75" s="113">
        <f ca="1">TblProd[[#This Row],[Ore]]</f>
        <v>0</v>
      </c>
      <c r="F75" s="113">
        <f ca="1">TblProd[[#This Row],[Gems]]</f>
        <v>10000</v>
      </c>
      <c r="G75" s="200"/>
      <c r="H75" s="113">
        <f ca="1">TblMili[[#This Row],[Draftees]]</f>
        <v>646</v>
      </c>
      <c r="I75" s="234">
        <f ca="1">TblPop[[#This Row],[Employment]]</f>
        <v>1</v>
      </c>
      <c r="J75" s="234">
        <f ca="1">TblPop[[#This Row],[Total]]/TblPop[[#This Row],[Net max]]</f>
        <v>1</v>
      </c>
      <c r="K75" s="373">
        <f>TblRezone[[#This Row],[Hour]]</f>
        <v>72</v>
      </c>
      <c r="L75" s="374">
        <f ca="1">TblImps[[#This Row],[Real time]]</f>
        <v>44345.958333333161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44345.958333333161</v>
      </c>
      <c r="BZ75" s="387">
        <f ca="1">OFFSET(TblImps[[#This Row],[Servertime]],-1,0)+1/24</f>
        <v>44345.958333333161</v>
      </c>
      <c r="CA75" s="141"/>
      <c r="CB75" s="385"/>
      <c r="CC75" s="385"/>
    </row>
    <row r="76" spans="1:84" s="97" customFormat="1" x14ac:dyDescent="0.2">
      <c r="A76" s="297">
        <f ca="1">TblConstr[[#This Row],[Land]]</f>
        <v>250</v>
      </c>
      <c r="B76" s="192"/>
      <c r="C76" s="262">
        <f ca="1">TblProd[[#This Row],[Platinum]]</f>
        <v>495761</v>
      </c>
      <c r="D76" s="262">
        <f ca="1">TblProd[[#This Row],[Lumber]]</f>
        <v>58736</v>
      </c>
      <c r="E76" s="262">
        <f ca="1">TblProd[[#This Row],[Ore]]</f>
        <v>0</v>
      </c>
      <c r="F76" s="262">
        <f ca="1">TblProd[[#This Row],[Gems]]</f>
        <v>10000</v>
      </c>
      <c r="G76" s="212"/>
      <c r="H76" s="262">
        <f ca="1">TblMili[[#This Row],[Draftees]]</f>
        <v>646</v>
      </c>
      <c r="I76" s="261">
        <f ca="1">TblPop[[#This Row],[Employment]]</f>
        <v>1</v>
      </c>
      <c r="J76" s="261">
        <f ca="1">TblPop[[#This Row],[Total]]/TblPop[[#This Row],[Net max]]</f>
        <v>1</v>
      </c>
      <c r="K76" s="391">
        <f>TblRezone[[#This Row],[Hour]]</f>
        <v>73</v>
      </c>
      <c r="L76" s="392">
        <f ca="1">TblImps[[#This Row],[Real time]]</f>
        <v>44345.999999999825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44345.999999999825</v>
      </c>
      <c r="BZ76" s="399">
        <f ca="1">OFFSET(TblImps[[#This Row],[Servertime]],-1,0)+1/24</f>
        <v>44345.999999999825</v>
      </c>
    </row>
    <row r="77" spans="1:84" x14ac:dyDescent="0.2">
      <c r="A77" s="280">
        <f ca="1">TblConstr[[#This Row],[Land]]</f>
        <v>250</v>
      </c>
      <c r="B77" s="184"/>
      <c r="C77" s="113">
        <f ca="1">TblProd[[#This Row],[Platinum]]</f>
        <v>501260</v>
      </c>
      <c r="D77" s="113">
        <f ca="1">TblProd[[#This Row],[Lumber]]</f>
        <v>59149</v>
      </c>
      <c r="E77" s="113">
        <f ca="1">TblProd[[#This Row],[Ore]]</f>
        <v>0</v>
      </c>
      <c r="F77" s="113">
        <f ca="1">TblProd[[#This Row],[Gems]]</f>
        <v>10000</v>
      </c>
      <c r="G77" s="200"/>
      <c r="H77" s="113">
        <f ca="1">TblMili[[#This Row],[Draftees]]</f>
        <v>646</v>
      </c>
      <c r="I77" s="234">
        <f ca="1">TblPop[[#This Row],[Employment]]</f>
        <v>1</v>
      </c>
      <c r="J77" s="234">
        <f ca="1">TblPop[[#This Row],[Total]]/TblPop[[#This Row],[Net max]]</f>
        <v>1</v>
      </c>
      <c r="K77" s="373">
        <f>TblRezone[[#This Row],[Hour]]</f>
        <v>74</v>
      </c>
      <c r="L77" s="374">
        <f ca="1">TblImps[[#This Row],[Real time]]</f>
        <v>44346.04166666649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44346.04166666649</v>
      </c>
      <c r="BZ77" s="387">
        <f ca="1">OFFSET(TblImps[[#This Row],[Servertime]],-1,0)+1/24</f>
        <v>44346.04166666649</v>
      </c>
      <c r="CA77" s="141"/>
      <c r="CB77" s="385"/>
      <c r="CC77" s="385"/>
    </row>
    <row r="78" spans="1:84" x14ac:dyDescent="0.2">
      <c r="A78" s="280">
        <f ca="1">TblConstr[[#This Row],[Land]]</f>
        <v>250</v>
      </c>
      <c r="B78" s="184"/>
      <c r="C78" s="113">
        <f ca="1">TblProd[[#This Row],[Platinum]]</f>
        <v>506759</v>
      </c>
      <c r="D78" s="113">
        <f ca="1">TblProd[[#This Row],[Lumber]]</f>
        <v>59558</v>
      </c>
      <c r="E78" s="113">
        <f ca="1">TblProd[[#This Row],[Ore]]</f>
        <v>0</v>
      </c>
      <c r="F78" s="113">
        <f ca="1">TblProd[[#This Row],[Gems]]</f>
        <v>10000</v>
      </c>
      <c r="G78" s="200"/>
      <c r="H78" s="113">
        <f ca="1">TblMili[[#This Row],[Draftees]]</f>
        <v>646</v>
      </c>
      <c r="I78" s="234">
        <f ca="1">TblPop[[#This Row],[Employment]]</f>
        <v>1</v>
      </c>
      <c r="J78" s="234">
        <f ca="1">TblPop[[#This Row],[Total]]/TblPop[[#This Row],[Net max]]</f>
        <v>1</v>
      </c>
      <c r="K78" s="373">
        <f>TblRezone[[#This Row],[Hour]]</f>
        <v>75</v>
      </c>
      <c r="L78" s="374">
        <f ca="1">TblImps[[#This Row],[Real time]]</f>
        <v>44346.083333333154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44346.083333333154</v>
      </c>
      <c r="BZ78" s="387">
        <f ca="1">OFFSET(TblImps[[#This Row],[Servertime]],-1,0)+1/24</f>
        <v>44346.083333333154</v>
      </c>
      <c r="CA78" s="141"/>
      <c r="CB78" s="385"/>
      <c r="CC78" s="385"/>
      <c r="CF78" s="388"/>
    </row>
    <row r="79" spans="1:84" x14ac:dyDescent="0.2">
      <c r="A79" s="280">
        <f ca="1">TblConstr[[#This Row],[Land]]</f>
        <v>250</v>
      </c>
      <c r="B79" s="184"/>
      <c r="C79" s="113">
        <f ca="1">TblProd[[#This Row],[Platinum]]</f>
        <v>512258</v>
      </c>
      <c r="D79" s="113">
        <f ca="1">TblProd[[#This Row],[Lumber]]</f>
        <v>59962</v>
      </c>
      <c r="E79" s="113">
        <f ca="1">TblProd[[#This Row],[Ore]]</f>
        <v>0</v>
      </c>
      <c r="F79" s="113">
        <f ca="1">TblProd[[#This Row],[Gems]]</f>
        <v>10000</v>
      </c>
      <c r="G79" s="200"/>
      <c r="H79" s="113">
        <f ca="1">TblMili[[#This Row],[Draftees]]</f>
        <v>646</v>
      </c>
      <c r="I79" s="234">
        <f ca="1">TblPop[[#This Row],[Employment]]</f>
        <v>1</v>
      </c>
      <c r="J79" s="234">
        <f ca="1">TblPop[[#This Row],[Total]]/TblPop[[#This Row],[Net max]]</f>
        <v>1</v>
      </c>
      <c r="K79" s="373">
        <f>TblRezone[[#This Row],[Hour]]</f>
        <v>76</v>
      </c>
      <c r="L79" s="374">
        <f ca="1">TblImps[[#This Row],[Real time]]</f>
        <v>44346.124999999818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44346.124999999818</v>
      </c>
      <c r="BZ79" s="387">
        <f ca="1">OFFSET(TblImps[[#This Row],[Servertime]],-1,0)+1/24</f>
        <v>44346.124999999818</v>
      </c>
      <c r="CA79" s="141"/>
      <c r="CB79" s="385"/>
      <c r="CC79" s="385"/>
      <c r="CF79" s="389"/>
    </row>
    <row r="80" spans="1:84" x14ac:dyDescent="0.2">
      <c r="A80" s="280">
        <f ca="1">TblConstr[[#This Row],[Land]]</f>
        <v>250</v>
      </c>
      <c r="B80" s="184"/>
      <c r="C80" s="113">
        <f ca="1">TblProd[[#This Row],[Platinum]]</f>
        <v>517757</v>
      </c>
      <c r="D80" s="113">
        <f ca="1">TblProd[[#This Row],[Lumber]]</f>
        <v>60362</v>
      </c>
      <c r="E80" s="113">
        <f ca="1">TblProd[[#This Row],[Ore]]</f>
        <v>0</v>
      </c>
      <c r="F80" s="113">
        <f ca="1">TblProd[[#This Row],[Gems]]</f>
        <v>10000</v>
      </c>
      <c r="G80" s="200"/>
      <c r="H80" s="113">
        <f ca="1">TblMili[[#This Row],[Draftees]]</f>
        <v>646</v>
      </c>
      <c r="I80" s="234">
        <f ca="1">TblPop[[#This Row],[Employment]]</f>
        <v>1</v>
      </c>
      <c r="J80" s="234">
        <f ca="1">TblPop[[#This Row],[Total]]/TblPop[[#This Row],[Net max]]</f>
        <v>1</v>
      </c>
      <c r="K80" s="373">
        <f>TblRezone[[#This Row],[Hour]]</f>
        <v>77</v>
      </c>
      <c r="L80" s="374">
        <f ca="1">TblImps[[#This Row],[Real time]]</f>
        <v>44346.166666666482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44346.166666666482</v>
      </c>
      <c r="BZ80" s="387">
        <f ca="1">OFFSET(TblImps[[#This Row],[Servertime]],-1,0)+1/24</f>
        <v>44346.166666666482</v>
      </c>
      <c r="CA80" s="141"/>
      <c r="CB80" s="385"/>
      <c r="CC80" s="385"/>
      <c r="CF80" s="388"/>
    </row>
    <row r="81" spans="1:84" x14ac:dyDescent="0.2">
      <c r="A81" s="280">
        <f ca="1">TblConstr[[#This Row],[Land]]</f>
        <v>250</v>
      </c>
      <c r="B81" s="184"/>
      <c r="C81" s="113">
        <f ca="1">TblProd[[#This Row],[Platinum]]</f>
        <v>523256</v>
      </c>
      <c r="D81" s="113">
        <f ca="1">TblProd[[#This Row],[Lumber]]</f>
        <v>60758</v>
      </c>
      <c r="E81" s="113">
        <f ca="1">TblProd[[#This Row],[Ore]]</f>
        <v>0</v>
      </c>
      <c r="F81" s="113">
        <f ca="1">TblProd[[#This Row],[Gems]]</f>
        <v>10000</v>
      </c>
      <c r="G81" s="200"/>
      <c r="H81" s="113">
        <f ca="1">TblMili[[#This Row],[Draftees]]</f>
        <v>646</v>
      </c>
      <c r="I81" s="234">
        <f ca="1">TblPop[[#This Row],[Employment]]</f>
        <v>1</v>
      </c>
      <c r="J81" s="234">
        <f ca="1">TblPop[[#This Row],[Total]]/TblPop[[#This Row],[Net max]]</f>
        <v>1</v>
      </c>
      <c r="K81" s="373">
        <f>TblRezone[[#This Row],[Hour]]</f>
        <v>78</v>
      </c>
      <c r="L81" s="374">
        <f ca="1">TblImps[[#This Row],[Real time]]</f>
        <v>44346.208333333147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44346.208333333147</v>
      </c>
      <c r="BZ81" s="387">
        <f ca="1">OFFSET(TblImps[[#This Row],[Servertime]],-1,0)+1/24</f>
        <v>44346.208333333147</v>
      </c>
      <c r="CA81" s="141"/>
      <c r="CB81" s="385"/>
      <c r="CC81" s="385"/>
      <c r="CF81" s="388"/>
    </row>
    <row r="82" spans="1:84" x14ac:dyDescent="0.2">
      <c r="A82" s="280">
        <f ca="1">TblConstr[[#This Row],[Land]]</f>
        <v>250</v>
      </c>
      <c r="B82" s="184"/>
      <c r="C82" s="113">
        <f ca="1">TblProd[[#This Row],[Platinum]]</f>
        <v>528755</v>
      </c>
      <c r="D82" s="113">
        <f ca="1">TblProd[[#This Row],[Lumber]]</f>
        <v>61150</v>
      </c>
      <c r="E82" s="113">
        <f ca="1">TblProd[[#This Row],[Ore]]</f>
        <v>0</v>
      </c>
      <c r="F82" s="113">
        <f ca="1">TblProd[[#This Row],[Gems]]</f>
        <v>10000</v>
      </c>
      <c r="G82" s="200"/>
      <c r="H82" s="113">
        <f ca="1">TblMili[[#This Row],[Draftees]]</f>
        <v>646</v>
      </c>
      <c r="I82" s="234">
        <f ca="1">TblPop[[#This Row],[Employment]]</f>
        <v>1</v>
      </c>
      <c r="J82" s="234">
        <f ca="1">TblPop[[#This Row],[Total]]/TblPop[[#This Row],[Net max]]</f>
        <v>1</v>
      </c>
      <c r="K82" s="373">
        <f>TblRezone[[#This Row],[Hour]]</f>
        <v>79</v>
      </c>
      <c r="L82" s="374">
        <f ca="1">TblImps[[#This Row],[Real time]]</f>
        <v>44346.249999999811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44346.249999999811</v>
      </c>
      <c r="BZ82" s="387">
        <f ca="1">OFFSET(TblImps[[#This Row],[Servertime]],-1,0)+1/24</f>
        <v>44346.249999999811</v>
      </c>
      <c r="CA82" s="141"/>
      <c r="CB82" s="385"/>
      <c r="CC82" s="385"/>
    </row>
    <row r="83" spans="1:84" x14ac:dyDescent="0.2">
      <c r="A83" s="280">
        <f ca="1">TblConstr[[#This Row],[Land]]</f>
        <v>250</v>
      </c>
      <c r="B83" s="184"/>
      <c r="C83" s="113">
        <f ca="1">TblProd[[#This Row],[Platinum]]</f>
        <v>534254</v>
      </c>
      <c r="D83" s="113">
        <f ca="1">TblProd[[#This Row],[Lumber]]</f>
        <v>61539</v>
      </c>
      <c r="E83" s="113">
        <f ca="1">TblProd[[#This Row],[Ore]]</f>
        <v>0</v>
      </c>
      <c r="F83" s="113">
        <f ca="1">TblProd[[#This Row],[Gems]]</f>
        <v>10000</v>
      </c>
      <c r="G83" s="200"/>
      <c r="H83" s="113">
        <f ca="1">TblMili[[#This Row],[Draftees]]</f>
        <v>646</v>
      </c>
      <c r="I83" s="234">
        <f ca="1">TblPop[[#This Row],[Employment]]</f>
        <v>1</v>
      </c>
      <c r="J83" s="234">
        <f ca="1">TblPop[[#This Row],[Total]]/TblPop[[#This Row],[Net max]]</f>
        <v>1</v>
      </c>
      <c r="K83" s="373">
        <f>TblRezone[[#This Row],[Hour]]</f>
        <v>80</v>
      </c>
      <c r="L83" s="374">
        <f ca="1">TblImps[[#This Row],[Real time]]</f>
        <v>44346.291666666475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44346.291666666475</v>
      </c>
      <c r="BZ83" s="387">
        <f ca="1">OFFSET(TblImps[[#This Row],[Servertime]],-1,0)+1/24</f>
        <v>44346.291666666475</v>
      </c>
      <c r="CA83" s="141"/>
      <c r="CB83" s="385"/>
      <c r="CC83" s="385"/>
    </row>
    <row r="84" spans="1:84" x14ac:dyDescent="0.2">
      <c r="A84" s="280">
        <f ca="1">TblConstr[[#This Row],[Land]]</f>
        <v>250</v>
      </c>
      <c r="B84" s="184"/>
      <c r="C84" s="113">
        <f ca="1">TblProd[[#This Row],[Platinum]]</f>
        <v>539753</v>
      </c>
      <c r="D84" s="113">
        <f ca="1">TblProd[[#This Row],[Lumber]]</f>
        <v>61924</v>
      </c>
      <c r="E84" s="113">
        <f ca="1">TblProd[[#This Row],[Ore]]</f>
        <v>0</v>
      </c>
      <c r="F84" s="113">
        <f ca="1">TblProd[[#This Row],[Gems]]</f>
        <v>10000</v>
      </c>
      <c r="G84" s="200"/>
      <c r="H84" s="113">
        <f ca="1">TblMili[[#This Row],[Draftees]]</f>
        <v>646</v>
      </c>
      <c r="I84" s="234">
        <f ca="1">TblPop[[#This Row],[Employment]]</f>
        <v>1</v>
      </c>
      <c r="J84" s="234">
        <f ca="1">TblPop[[#This Row],[Total]]/TblPop[[#This Row],[Net max]]</f>
        <v>1</v>
      </c>
      <c r="K84" s="373">
        <f>TblRezone[[#This Row],[Hour]]</f>
        <v>81</v>
      </c>
      <c r="L84" s="374">
        <f ca="1">TblImps[[#This Row],[Real time]]</f>
        <v>44346.333333333139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44346.333333333139</v>
      </c>
      <c r="BZ84" s="387">
        <f ca="1">OFFSET(TblImps[[#This Row],[Servertime]],-1,0)+1/24</f>
        <v>44346.333333333139</v>
      </c>
      <c r="CA84" s="141"/>
      <c r="CB84" s="385"/>
      <c r="CC84" s="385"/>
    </row>
    <row r="85" spans="1:84" x14ac:dyDescent="0.2">
      <c r="A85" s="280">
        <f ca="1">TblConstr[[#This Row],[Land]]</f>
        <v>250</v>
      </c>
      <c r="B85" s="184"/>
      <c r="C85" s="113">
        <f ca="1">TblProd[[#This Row],[Platinum]]</f>
        <v>545252</v>
      </c>
      <c r="D85" s="113">
        <f ca="1">TblProd[[#This Row],[Lumber]]</f>
        <v>62305</v>
      </c>
      <c r="E85" s="113">
        <f ca="1">TblProd[[#This Row],[Ore]]</f>
        <v>0</v>
      </c>
      <c r="F85" s="113">
        <f ca="1">TblProd[[#This Row],[Gems]]</f>
        <v>10000</v>
      </c>
      <c r="G85" s="200"/>
      <c r="H85" s="113">
        <f ca="1">TblMili[[#This Row],[Draftees]]</f>
        <v>646</v>
      </c>
      <c r="I85" s="234">
        <f ca="1">TblPop[[#This Row],[Employment]]</f>
        <v>1</v>
      </c>
      <c r="J85" s="234">
        <f ca="1">TblPop[[#This Row],[Total]]/TblPop[[#This Row],[Net max]]</f>
        <v>1</v>
      </c>
      <c r="K85" s="373">
        <f>TblRezone[[#This Row],[Hour]]</f>
        <v>82</v>
      </c>
      <c r="L85" s="374">
        <f ca="1">TblImps[[#This Row],[Real time]]</f>
        <v>44346.374999999804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44346.374999999804</v>
      </c>
      <c r="BZ85" s="387">
        <f ca="1">OFFSET(TblImps[[#This Row],[Servertime]],-1,0)+1/24</f>
        <v>44346.374999999804</v>
      </c>
      <c r="CA85" s="141"/>
      <c r="CB85" s="385"/>
      <c r="CC85" s="385"/>
    </row>
    <row r="86" spans="1:84" x14ac:dyDescent="0.2">
      <c r="A86" s="280">
        <f ca="1">TblConstr[[#This Row],[Land]]</f>
        <v>250</v>
      </c>
      <c r="B86" s="184"/>
      <c r="C86" s="113">
        <f ca="1">TblProd[[#This Row],[Platinum]]</f>
        <v>550751</v>
      </c>
      <c r="D86" s="113">
        <f ca="1">TblProd[[#This Row],[Lumber]]</f>
        <v>62682</v>
      </c>
      <c r="E86" s="113">
        <f ca="1">TblProd[[#This Row],[Ore]]</f>
        <v>0</v>
      </c>
      <c r="F86" s="113">
        <f ca="1">TblProd[[#This Row],[Gems]]</f>
        <v>10000</v>
      </c>
      <c r="G86" s="200"/>
      <c r="H86" s="113">
        <f ca="1">TblMili[[#This Row],[Draftees]]</f>
        <v>646</v>
      </c>
      <c r="I86" s="234">
        <f ca="1">TblPop[[#This Row],[Employment]]</f>
        <v>1</v>
      </c>
      <c r="J86" s="234">
        <f ca="1">TblPop[[#This Row],[Total]]/TblPop[[#This Row],[Net max]]</f>
        <v>1</v>
      </c>
      <c r="K86" s="373">
        <f>TblRezone[[#This Row],[Hour]]</f>
        <v>83</v>
      </c>
      <c r="L86" s="374">
        <f ca="1">TblImps[[#This Row],[Real time]]</f>
        <v>44346.416666666468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44346.416666666468</v>
      </c>
      <c r="BZ86" s="387">
        <f ca="1">OFFSET(TblImps[[#This Row],[Servertime]],-1,0)+1/24</f>
        <v>44346.416666666468</v>
      </c>
      <c r="CA86" s="141"/>
      <c r="CB86" s="385"/>
      <c r="CC86" s="385"/>
    </row>
    <row r="87" spans="1:84" x14ac:dyDescent="0.2">
      <c r="A87" s="280">
        <f ca="1">TblConstr[[#This Row],[Land]]</f>
        <v>250</v>
      </c>
      <c r="B87" s="184"/>
      <c r="C87" s="113">
        <f ca="1">TblProd[[#This Row],[Platinum]]</f>
        <v>556250</v>
      </c>
      <c r="D87" s="113">
        <f ca="1">TblProd[[#This Row],[Lumber]]</f>
        <v>63055</v>
      </c>
      <c r="E87" s="113">
        <f ca="1">TblProd[[#This Row],[Ore]]</f>
        <v>0</v>
      </c>
      <c r="F87" s="113">
        <f ca="1">TblProd[[#This Row],[Gems]]</f>
        <v>10000</v>
      </c>
      <c r="G87" s="200"/>
      <c r="H87" s="113">
        <f ca="1">TblMili[[#This Row],[Draftees]]</f>
        <v>646</v>
      </c>
      <c r="I87" s="234">
        <f ca="1">TblPop[[#This Row],[Employment]]</f>
        <v>1</v>
      </c>
      <c r="J87" s="234">
        <f ca="1">TblPop[[#This Row],[Total]]/TblPop[[#This Row],[Net max]]</f>
        <v>1</v>
      </c>
      <c r="K87" s="373">
        <f>TblRezone[[#This Row],[Hour]]</f>
        <v>84</v>
      </c>
      <c r="L87" s="374">
        <f ca="1">TblImps[[#This Row],[Real time]]</f>
        <v>44346.458333333132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44346.458333333132</v>
      </c>
      <c r="BZ87" s="387">
        <f ca="1">OFFSET(TblImps[[#This Row],[Servertime]],-1,0)+1/24</f>
        <v>44346.458333333132</v>
      </c>
      <c r="CA87" s="141"/>
      <c r="CB87" s="385"/>
      <c r="CC87" s="385"/>
    </row>
    <row r="88" spans="1:84" x14ac:dyDescent="0.2">
      <c r="A88" s="280">
        <f ca="1">TblConstr[[#This Row],[Land]]</f>
        <v>250</v>
      </c>
      <c r="B88" s="184"/>
      <c r="C88" s="113">
        <f ca="1">TblProd[[#This Row],[Platinum]]</f>
        <v>561749</v>
      </c>
      <c r="D88" s="113">
        <f ca="1">TblProd[[#This Row],[Lumber]]</f>
        <v>63424</v>
      </c>
      <c r="E88" s="113">
        <f ca="1">TblProd[[#This Row],[Ore]]</f>
        <v>0</v>
      </c>
      <c r="F88" s="113">
        <f ca="1">TblProd[[#This Row],[Gems]]</f>
        <v>10000</v>
      </c>
      <c r="G88" s="200"/>
      <c r="H88" s="113">
        <f ca="1">TblMili[[#This Row],[Draftees]]</f>
        <v>646</v>
      </c>
      <c r="I88" s="234">
        <f ca="1">TblPop[[#This Row],[Employment]]</f>
        <v>1</v>
      </c>
      <c r="J88" s="234">
        <f ca="1">TblPop[[#This Row],[Total]]/TblPop[[#This Row],[Net max]]</f>
        <v>1</v>
      </c>
      <c r="K88" s="373">
        <f>TblRezone[[#This Row],[Hour]]</f>
        <v>85</v>
      </c>
      <c r="L88" s="374">
        <f ca="1">TblImps[[#This Row],[Real time]]</f>
        <v>44346.499999999796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44346.499999999796</v>
      </c>
      <c r="BZ88" s="387">
        <f ca="1">OFFSET(TblImps[[#This Row],[Servertime]],-1,0)+1/24</f>
        <v>44346.499999999796</v>
      </c>
      <c r="CA88" s="141"/>
      <c r="CB88" s="385"/>
      <c r="CC88" s="385"/>
    </row>
    <row r="89" spans="1:84" x14ac:dyDescent="0.2">
      <c r="A89" s="280">
        <f ca="1">TblConstr[[#This Row],[Land]]</f>
        <v>250</v>
      </c>
      <c r="B89" s="184"/>
      <c r="C89" s="113">
        <f ca="1">TblProd[[#This Row],[Platinum]]</f>
        <v>567248</v>
      </c>
      <c r="D89" s="113">
        <f ca="1">TblProd[[#This Row],[Lumber]]</f>
        <v>63790</v>
      </c>
      <c r="E89" s="113">
        <f ca="1">TblProd[[#This Row],[Ore]]</f>
        <v>0</v>
      </c>
      <c r="F89" s="113">
        <f ca="1">TblProd[[#This Row],[Gems]]</f>
        <v>10000</v>
      </c>
      <c r="G89" s="200"/>
      <c r="H89" s="113">
        <f ca="1">TblMili[[#This Row],[Draftees]]</f>
        <v>646</v>
      </c>
      <c r="I89" s="234">
        <f ca="1">TblPop[[#This Row],[Employment]]</f>
        <v>1</v>
      </c>
      <c r="J89" s="234">
        <f ca="1">TblPop[[#This Row],[Total]]/TblPop[[#This Row],[Net max]]</f>
        <v>1</v>
      </c>
      <c r="K89" s="373">
        <f>TblRezone[[#This Row],[Hour]]</f>
        <v>86</v>
      </c>
      <c r="L89" s="374">
        <f ca="1">TblImps[[#This Row],[Real time]]</f>
        <v>44346.541666666461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44346.541666666461</v>
      </c>
      <c r="BZ89" s="387">
        <f ca="1">OFFSET(TblImps[[#This Row],[Servertime]],-1,0)+1/24</f>
        <v>44346.541666666461</v>
      </c>
      <c r="CA89" s="141"/>
      <c r="CB89" s="385"/>
      <c r="CC89" s="385"/>
      <c r="CD89" s="205"/>
    </row>
    <row r="90" spans="1:84" x14ac:dyDescent="0.2">
      <c r="A90" s="280">
        <f ca="1">TblConstr[[#This Row],[Land]]</f>
        <v>250</v>
      </c>
      <c r="B90" s="184"/>
      <c r="C90" s="113">
        <f ca="1">TblProd[[#This Row],[Platinum]]</f>
        <v>572747</v>
      </c>
      <c r="D90" s="113">
        <f ca="1">TblProd[[#This Row],[Lumber]]</f>
        <v>64152</v>
      </c>
      <c r="E90" s="113">
        <f ca="1">TblProd[[#This Row],[Ore]]</f>
        <v>0</v>
      </c>
      <c r="F90" s="113">
        <f ca="1">TblProd[[#This Row],[Gems]]</f>
        <v>10000</v>
      </c>
      <c r="G90" s="200"/>
      <c r="H90" s="113">
        <f ca="1">TblMili[[#This Row],[Draftees]]</f>
        <v>646</v>
      </c>
      <c r="I90" s="234">
        <f ca="1">TblPop[[#This Row],[Employment]]</f>
        <v>1</v>
      </c>
      <c r="J90" s="234">
        <f ca="1">TblPop[[#This Row],[Total]]/TblPop[[#This Row],[Net max]]</f>
        <v>1</v>
      </c>
      <c r="K90" s="373">
        <f>TblRezone[[#This Row],[Hour]]</f>
        <v>87</v>
      </c>
      <c r="L90" s="374">
        <f ca="1">TblImps[[#This Row],[Real time]]</f>
        <v>44346.583333333125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44346.583333333125</v>
      </c>
      <c r="BZ90" s="387">
        <f ca="1">OFFSET(TblImps[[#This Row],[Servertime]],-1,0)+1/24</f>
        <v>44346.583333333125</v>
      </c>
      <c r="CA90" s="390"/>
      <c r="CB90" s="385"/>
      <c r="CC90" s="385"/>
      <c r="CF90" s="388"/>
    </row>
    <row r="91" spans="1:84" x14ac:dyDescent="0.2">
      <c r="A91" s="280">
        <f ca="1">TblConstr[[#This Row],[Land]]</f>
        <v>250</v>
      </c>
      <c r="B91" s="184"/>
      <c r="C91" s="113">
        <f ca="1">TblProd[[#This Row],[Platinum]]</f>
        <v>578246</v>
      </c>
      <c r="D91" s="113">
        <f ca="1">TblProd[[#This Row],[Lumber]]</f>
        <v>64510</v>
      </c>
      <c r="E91" s="113">
        <f ca="1">TblProd[[#This Row],[Ore]]</f>
        <v>0</v>
      </c>
      <c r="F91" s="113">
        <f ca="1">TblProd[[#This Row],[Gems]]</f>
        <v>10000</v>
      </c>
      <c r="G91" s="200"/>
      <c r="H91" s="113">
        <f ca="1">TblMili[[#This Row],[Draftees]]</f>
        <v>646</v>
      </c>
      <c r="I91" s="234">
        <f ca="1">TblPop[[#This Row],[Employment]]</f>
        <v>1</v>
      </c>
      <c r="J91" s="234">
        <f ca="1">TblPop[[#This Row],[Total]]/TblPop[[#This Row],[Net max]]</f>
        <v>1</v>
      </c>
      <c r="K91" s="373">
        <f>TblRezone[[#This Row],[Hour]]</f>
        <v>88</v>
      </c>
      <c r="L91" s="374">
        <f ca="1">TblImps[[#This Row],[Real time]]</f>
        <v>44346.624999999789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44346.624999999789</v>
      </c>
      <c r="BZ91" s="387">
        <f ca="1">OFFSET(TblImps[[#This Row],[Servertime]],-1,0)+1/24</f>
        <v>44346.624999999789</v>
      </c>
      <c r="CA91" s="141"/>
      <c r="CB91" s="385"/>
      <c r="CC91" s="385"/>
      <c r="CF91" s="389"/>
    </row>
    <row r="92" spans="1:84" x14ac:dyDescent="0.2">
      <c r="A92" s="280">
        <f ca="1">TblConstr[[#This Row],[Land]]</f>
        <v>250</v>
      </c>
      <c r="B92" s="184"/>
      <c r="C92" s="113">
        <f ca="1">TblProd[[#This Row],[Platinum]]</f>
        <v>583745</v>
      </c>
      <c r="D92" s="113">
        <f ca="1">TblProd[[#This Row],[Lumber]]</f>
        <v>64865</v>
      </c>
      <c r="E92" s="113">
        <f ca="1">TblProd[[#This Row],[Ore]]</f>
        <v>0</v>
      </c>
      <c r="F92" s="113">
        <f ca="1">TblProd[[#This Row],[Gems]]</f>
        <v>10000</v>
      </c>
      <c r="G92" s="200"/>
      <c r="H92" s="113">
        <f ca="1">TblMili[[#This Row],[Draftees]]</f>
        <v>646</v>
      </c>
      <c r="I92" s="234">
        <f ca="1">TblPop[[#This Row],[Employment]]</f>
        <v>1</v>
      </c>
      <c r="J92" s="234">
        <f ca="1">TblPop[[#This Row],[Total]]/TblPop[[#This Row],[Net max]]</f>
        <v>1</v>
      </c>
      <c r="K92" s="373">
        <f>TblRezone[[#This Row],[Hour]]</f>
        <v>89</v>
      </c>
      <c r="L92" s="374">
        <f ca="1">TblImps[[#This Row],[Real time]]</f>
        <v>44346.666666666453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44346.666666666453</v>
      </c>
      <c r="BZ92" s="387">
        <f ca="1">OFFSET(TblImps[[#This Row],[Servertime]],-1,0)+1/24</f>
        <v>44346.666666666453</v>
      </c>
      <c r="CA92" s="141"/>
      <c r="CB92" s="385"/>
      <c r="CC92" s="385"/>
      <c r="CF92" s="388"/>
    </row>
    <row r="93" spans="1:84" x14ac:dyDescent="0.2">
      <c r="A93" s="280">
        <f ca="1">TblConstr[[#This Row],[Land]]</f>
        <v>250</v>
      </c>
      <c r="B93" s="184"/>
      <c r="C93" s="113">
        <f ca="1">TblProd[[#This Row],[Platinum]]</f>
        <v>589244</v>
      </c>
      <c r="D93" s="113">
        <f ca="1">TblProd[[#This Row],[Lumber]]</f>
        <v>65216</v>
      </c>
      <c r="E93" s="113">
        <f ca="1">TblProd[[#This Row],[Ore]]</f>
        <v>0</v>
      </c>
      <c r="F93" s="113">
        <f ca="1">TblProd[[#This Row],[Gems]]</f>
        <v>10000</v>
      </c>
      <c r="G93" s="200"/>
      <c r="H93" s="113">
        <f ca="1">TblMili[[#This Row],[Draftees]]</f>
        <v>646</v>
      </c>
      <c r="I93" s="234">
        <f ca="1">TblPop[[#This Row],[Employment]]</f>
        <v>1</v>
      </c>
      <c r="J93" s="234">
        <f ca="1">TblPop[[#This Row],[Total]]/TblPop[[#This Row],[Net max]]</f>
        <v>1</v>
      </c>
      <c r="K93" s="373">
        <f>TblRezone[[#This Row],[Hour]]</f>
        <v>90</v>
      </c>
      <c r="L93" s="374">
        <f ca="1">TblImps[[#This Row],[Real time]]</f>
        <v>44346.708333333117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44346.708333333117</v>
      </c>
      <c r="BZ93" s="387">
        <f ca="1">OFFSET(TblImps[[#This Row],[Servertime]],-1,0)+1/24</f>
        <v>44346.708333333117</v>
      </c>
      <c r="CA93" s="141"/>
      <c r="CB93" s="385"/>
      <c r="CC93" s="385"/>
      <c r="CF93" s="388"/>
    </row>
    <row r="94" spans="1:84" x14ac:dyDescent="0.2">
      <c r="A94" s="280">
        <f ca="1">TblConstr[[#This Row],[Land]]</f>
        <v>250</v>
      </c>
      <c r="B94" s="184"/>
      <c r="C94" s="113">
        <f ca="1">TblProd[[#This Row],[Platinum]]</f>
        <v>594743</v>
      </c>
      <c r="D94" s="113">
        <f ca="1">TblProd[[#This Row],[Lumber]]</f>
        <v>65564</v>
      </c>
      <c r="E94" s="113">
        <f ca="1">TblProd[[#This Row],[Ore]]</f>
        <v>0</v>
      </c>
      <c r="F94" s="113">
        <f ca="1">TblProd[[#This Row],[Gems]]</f>
        <v>10000</v>
      </c>
      <c r="G94" s="200"/>
      <c r="H94" s="113">
        <f ca="1">TblMili[[#This Row],[Draftees]]</f>
        <v>646</v>
      </c>
      <c r="I94" s="234">
        <f ca="1">TblPop[[#This Row],[Employment]]</f>
        <v>1</v>
      </c>
      <c r="J94" s="234">
        <f ca="1">TblPop[[#This Row],[Total]]/TblPop[[#This Row],[Net max]]</f>
        <v>1</v>
      </c>
      <c r="K94" s="373">
        <f>TblRezone[[#This Row],[Hour]]</f>
        <v>91</v>
      </c>
      <c r="L94" s="374">
        <f ca="1">TblImps[[#This Row],[Real time]]</f>
        <v>44346.749999999782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44346.749999999782</v>
      </c>
      <c r="BZ94" s="387">
        <f ca="1">OFFSET(TblImps[[#This Row],[Servertime]],-1,0)+1/24</f>
        <v>44346.749999999782</v>
      </c>
      <c r="CA94" s="141"/>
      <c r="CB94" s="385"/>
      <c r="CC94" s="385"/>
    </row>
    <row r="95" spans="1:84" x14ac:dyDescent="0.2">
      <c r="A95" s="280">
        <f ca="1">TblConstr[[#This Row],[Land]]</f>
        <v>250</v>
      </c>
      <c r="B95" s="184"/>
      <c r="C95" s="113">
        <f ca="1">TblProd[[#This Row],[Platinum]]</f>
        <v>600242</v>
      </c>
      <c r="D95" s="113">
        <f ca="1">TblProd[[#This Row],[Lumber]]</f>
        <v>65908</v>
      </c>
      <c r="E95" s="113">
        <f ca="1">TblProd[[#This Row],[Ore]]</f>
        <v>0</v>
      </c>
      <c r="F95" s="113">
        <f ca="1">TblProd[[#This Row],[Gems]]</f>
        <v>10000</v>
      </c>
      <c r="G95" s="200"/>
      <c r="H95" s="113">
        <f ca="1">TblMili[[#This Row],[Draftees]]</f>
        <v>646</v>
      </c>
      <c r="I95" s="234">
        <f ca="1">TblPop[[#This Row],[Employment]]</f>
        <v>1</v>
      </c>
      <c r="J95" s="234">
        <f ca="1">TblPop[[#This Row],[Total]]/TblPop[[#This Row],[Net max]]</f>
        <v>1</v>
      </c>
      <c r="K95" s="373">
        <f>TblRezone[[#This Row],[Hour]]</f>
        <v>92</v>
      </c>
      <c r="L95" s="374">
        <f ca="1">TblImps[[#This Row],[Real time]]</f>
        <v>44346.791666666446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44346.791666666446</v>
      </c>
      <c r="BZ95" s="387">
        <f ca="1">OFFSET(TblImps[[#This Row],[Servertime]],-1,0)+1/24</f>
        <v>44346.791666666446</v>
      </c>
      <c r="CA95" s="141"/>
      <c r="CB95" s="385"/>
      <c r="CC95" s="385"/>
    </row>
    <row r="96" spans="1:84" x14ac:dyDescent="0.2">
      <c r="A96" s="280">
        <f ca="1">TblConstr[[#This Row],[Land]]</f>
        <v>250</v>
      </c>
      <c r="B96" s="184"/>
      <c r="C96" s="113">
        <f ca="1">TblProd[[#This Row],[Platinum]]</f>
        <v>605741</v>
      </c>
      <c r="D96" s="113">
        <f ca="1">TblProd[[#This Row],[Lumber]]</f>
        <v>66249</v>
      </c>
      <c r="E96" s="113">
        <f ca="1">TblProd[[#This Row],[Ore]]</f>
        <v>0</v>
      </c>
      <c r="F96" s="113">
        <f ca="1">TblProd[[#This Row],[Gems]]</f>
        <v>10000</v>
      </c>
      <c r="G96" s="200"/>
      <c r="H96" s="113">
        <f ca="1">TblMili[[#This Row],[Draftees]]</f>
        <v>646</v>
      </c>
      <c r="I96" s="234">
        <f ca="1">TblPop[[#This Row],[Employment]]</f>
        <v>1</v>
      </c>
      <c r="J96" s="234">
        <f ca="1">TblPop[[#This Row],[Total]]/TblPop[[#This Row],[Net max]]</f>
        <v>1</v>
      </c>
      <c r="K96" s="373">
        <f>TblRezone[[#This Row],[Hour]]</f>
        <v>93</v>
      </c>
      <c r="L96" s="374">
        <f ca="1">TblImps[[#This Row],[Real time]]</f>
        <v>44346.83333333311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44346.83333333311</v>
      </c>
      <c r="BZ96" s="387">
        <f ca="1">OFFSET(TblImps[[#This Row],[Servertime]],-1,0)+1/24</f>
        <v>44346.83333333311</v>
      </c>
      <c r="CA96" s="141"/>
      <c r="CB96" s="385"/>
      <c r="CC96" s="385"/>
    </row>
    <row r="97" spans="1:82" x14ac:dyDescent="0.2">
      <c r="A97" s="280">
        <f ca="1">TblConstr[[#This Row],[Land]]</f>
        <v>250</v>
      </c>
      <c r="B97" s="184"/>
      <c r="C97" s="113">
        <f ca="1">TblProd[[#This Row],[Platinum]]</f>
        <v>611240</v>
      </c>
      <c r="D97" s="113">
        <f ca="1">TblProd[[#This Row],[Lumber]]</f>
        <v>66587</v>
      </c>
      <c r="E97" s="113">
        <f ca="1">TblProd[[#This Row],[Ore]]</f>
        <v>0</v>
      </c>
      <c r="F97" s="113">
        <f ca="1">TblProd[[#This Row],[Gems]]</f>
        <v>10000</v>
      </c>
      <c r="G97" s="200"/>
      <c r="H97" s="113">
        <f ca="1">TblMili[[#This Row],[Draftees]]</f>
        <v>646</v>
      </c>
      <c r="I97" s="234">
        <f ca="1">TblPop[[#This Row],[Employment]]</f>
        <v>1</v>
      </c>
      <c r="J97" s="234">
        <f ca="1">TblPop[[#This Row],[Total]]/TblPop[[#This Row],[Net max]]</f>
        <v>1</v>
      </c>
      <c r="K97" s="373">
        <f>TblRezone[[#This Row],[Hour]]</f>
        <v>94</v>
      </c>
      <c r="L97" s="374">
        <f ca="1">TblImps[[#This Row],[Real time]]</f>
        <v>44346.874999999774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44346.874999999774</v>
      </c>
      <c r="BZ97" s="387">
        <f ca="1">OFFSET(TblImps[[#This Row],[Servertime]],-1,0)+1/24</f>
        <v>44346.874999999774</v>
      </c>
      <c r="CA97" s="141"/>
      <c r="CB97" s="385"/>
      <c r="CC97" s="385"/>
    </row>
    <row r="98" spans="1:82" x14ac:dyDescent="0.2">
      <c r="A98" s="280">
        <f ca="1">TblConstr[[#This Row],[Land]]</f>
        <v>250</v>
      </c>
      <c r="B98" s="184"/>
      <c r="C98" s="113">
        <f ca="1">TblProd[[#This Row],[Platinum]]</f>
        <v>616739</v>
      </c>
      <c r="D98" s="113">
        <f ca="1">TblProd[[#This Row],[Lumber]]</f>
        <v>66921</v>
      </c>
      <c r="E98" s="113">
        <f ca="1">TblProd[[#This Row],[Ore]]</f>
        <v>0</v>
      </c>
      <c r="F98" s="113">
        <f ca="1">TblProd[[#This Row],[Gems]]</f>
        <v>10000</v>
      </c>
      <c r="G98" s="200"/>
      <c r="H98" s="113">
        <f ca="1">TblMili[[#This Row],[Draftees]]</f>
        <v>646</v>
      </c>
      <c r="I98" s="234">
        <f ca="1">TblPop[[#This Row],[Employment]]</f>
        <v>1</v>
      </c>
      <c r="J98" s="234">
        <f ca="1">TblPop[[#This Row],[Total]]/TblPop[[#This Row],[Net max]]</f>
        <v>1</v>
      </c>
      <c r="K98" s="373">
        <f>TblRezone[[#This Row],[Hour]]</f>
        <v>95</v>
      </c>
      <c r="L98" s="374">
        <f ca="1">TblImps[[#This Row],[Real time]]</f>
        <v>44346.916666666439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44346.916666666439</v>
      </c>
      <c r="BZ98" s="387">
        <f ca="1">OFFSET(TblImps[[#This Row],[Servertime]],-1,0)+1/24</f>
        <v>44346.916666666439</v>
      </c>
      <c r="CA98" s="141"/>
      <c r="CB98" s="385"/>
      <c r="CC98" s="385"/>
    </row>
    <row r="99" spans="1:82" x14ac:dyDescent="0.2">
      <c r="A99" s="280">
        <f ca="1">TblConstr[[#This Row],[Land]]</f>
        <v>250</v>
      </c>
      <c r="B99" s="184"/>
      <c r="C99" s="113">
        <f ca="1">TblProd[[#This Row],[Platinum]]</f>
        <v>622238</v>
      </c>
      <c r="D99" s="113">
        <f ca="1">TblProd[[#This Row],[Lumber]]</f>
        <v>67252</v>
      </c>
      <c r="E99" s="113">
        <f ca="1">TblProd[[#This Row],[Ore]]</f>
        <v>0</v>
      </c>
      <c r="F99" s="113">
        <f ca="1">TblProd[[#This Row],[Gems]]</f>
        <v>10000</v>
      </c>
      <c r="G99" s="200"/>
      <c r="H99" s="113">
        <f ca="1">TblMili[[#This Row],[Draftees]]</f>
        <v>646</v>
      </c>
      <c r="I99" s="234">
        <f ca="1">TblPop[[#This Row],[Employment]]</f>
        <v>1</v>
      </c>
      <c r="J99" s="234">
        <f ca="1">TblPop[[#This Row],[Total]]/TblPop[[#This Row],[Net max]]</f>
        <v>1</v>
      </c>
      <c r="K99" s="373">
        <f>TblRezone[[#This Row],[Hour]]</f>
        <v>96</v>
      </c>
      <c r="L99" s="374">
        <f ca="1">TblImps[[#This Row],[Real time]]</f>
        <v>44346.958333333103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44346.958333333103</v>
      </c>
      <c r="BZ99" s="387">
        <f ca="1">OFFSET(TblImps[[#This Row],[Servertime]],-1,0)+1/24</f>
        <v>44346.958333333103</v>
      </c>
      <c r="CA99" s="141"/>
      <c r="CB99" s="385"/>
      <c r="CC99" s="385"/>
    </row>
    <row r="100" spans="1:82" x14ac:dyDescent="0.2">
      <c r="A100" s="280">
        <f ca="1">TblConstr[[#This Row],[Land]]</f>
        <v>250</v>
      </c>
      <c r="B100" s="184"/>
      <c r="C100" s="113">
        <f ca="1">TblProd[[#This Row],[Platinum]]</f>
        <v>627737</v>
      </c>
      <c r="D100" s="113">
        <f ca="1">TblProd[[#This Row],[Lumber]]</f>
        <v>67579</v>
      </c>
      <c r="E100" s="113">
        <f ca="1">TblProd[[#This Row],[Ore]]</f>
        <v>0</v>
      </c>
      <c r="F100" s="113">
        <f ca="1">TblProd[[#This Row],[Gems]]</f>
        <v>10000</v>
      </c>
      <c r="G100" s="200"/>
      <c r="H100" s="113">
        <f ca="1">TblMili[[#This Row],[Draftees]]</f>
        <v>646</v>
      </c>
      <c r="I100" s="234">
        <f ca="1">TblPop[[#This Row],[Employment]]</f>
        <v>1</v>
      </c>
      <c r="J100" s="234">
        <f ca="1">TblPop[[#This Row],[Total]]/TblPop[[#This Row],[Net max]]</f>
        <v>1</v>
      </c>
      <c r="K100" s="373">
        <f>TblRezone[[#This Row],[Hour]]</f>
        <v>97</v>
      </c>
      <c r="L100" s="374">
        <f ca="1">TblImps[[#This Row],[Real time]]</f>
        <v>44346.999999999767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44346.999999999767</v>
      </c>
      <c r="BZ100" s="387">
        <f ca="1">OFFSET(TblImps[[#This Row],[Servertime]],-1,0)+1/24</f>
        <v>44346.999999999767</v>
      </c>
      <c r="CA100" s="141"/>
      <c r="CB100" s="385"/>
      <c r="CC100" s="385"/>
    </row>
    <row r="101" spans="1:82" x14ac:dyDescent="0.2">
      <c r="A101" s="280">
        <f ca="1">TblConstr[[#This Row],[Land]]</f>
        <v>250</v>
      </c>
      <c r="B101" s="184"/>
      <c r="C101" s="113">
        <f ca="1">TblProd[[#This Row],[Platinum]]</f>
        <v>633236</v>
      </c>
      <c r="D101" s="113">
        <f ca="1">TblProd[[#This Row],[Lumber]]</f>
        <v>67903</v>
      </c>
      <c r="E101" s="113">
        <f ca="1">TblProd[[#This Row],[Ore]]</f>
        <v>0</v>
      </c>
      <c r="F101" s="113">
        <f ca="1">TblProd[[#This Row],[Gems]]</f>
        <v>10000</v>
      </c>
      <c r="G101" s="200"/>
      <c r="H101" s="113">
        <f ca="1">TblMili[[#This Row],[Draftees]]</f>
        <v>646</v>
      </c>
      <c r="I101" s="234">
        <f ca="1">TblPop[[#This Row],[Employment]]</f>
        <v>1</v>
      </c>
      <c r="J101" s="234">
        <f ca="1">TblPop[[#This Row],[Total]]/TblPop[[#This Row],[Net max]]</f>
        <v>1</v>
      </c>
      <c r="K101" s="373">
        <f>TblRezone[[#This Row],[Hour]]</f>
        <v>98</v>
      </c>
      <c r="L101" s="374">
        <f ca="1">TblImps[[#This Row],[Real time]]</f>
        <v>44347.041666666431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44347.041666666431</v>
      </c>
      <c r="BZ101" s="387">
        <f ca="1">OFFSET(TblImps[[#This Row],[Servertime]],-1,0)+1/24</f>
        <v>44347.041666666431</v>
      </c>
      <c r="CA101" s="141"/>
      <c r="CB101" s="385"/>
      <c r="CC101" s="385"/>
    </row>
    <row r="102" spans="1:82" x14ac:dyDescent="0.2">
      <c r="A102" s="280">
        <f ca="1">TblConstr[[#This Row],[Land]]</f>
        <v>250</v>
      </c>
      <c r="B102" s="184"/>
      <c r="C102" s="113">
        <f ca="1">TblProd[[#This Row],[Platinum]]</f>
        <v>638735</v>
      </c>
      <c r="D102" s="113">
        <f ca="1">TblProd[[#This Row],[Lumber]]</f>
        <v>68224</v>
      </c>
      <c r="E102" s="113">
        <f ca="1">TblProd[[#This Row],[Ore]]</f>
        <v>0</v>
      </c>
      <c r="F102" s="113">
        <f ca="1">TblProd[[#This Row],[Gems]]</f>
        <v>10000</v>
      </c>
      <c r="G102" s="200"/>
      <c r="H102" s="113">
        <f ca="1">TblMili[[#This Row],[Draftees]]</f>
        <v>646</v>
      </c>
      <c r="I102" s="234">
        <f ca="1">TblPop[[#This Row],[Employment]]</f>
        <v>1</v>
      </c>
      <c r="J102" s="234">
        <f ca="1">TblPop[[#This Row],[Total]]/TblPop[[#This Row],[Net max]]</f>
        <v>1</v>
      </c>
      <c r="K102" s="373">
        <f>TblRezone[[#This Row],[Hour]]</f>
        <v>99</v>
      </c>
      <c r="L102" s="374">
        <f ca="1">TblImps[[#This Row],[Real time]]</f>
        <v>44347.083333333096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44347.083333333096</v>
      </c>
      <c r="BZ102" s="387">
        <f ca="1">OFFSET(TblImps[[#This Row],[Servertime]],-1,0)+1/24</f>
        <v>44347.083333333096</v>
      </c>
      <c r="CA102" s="141"/>
      <c r="CB102" s="385"/>
      <c r="CC102" s="385"/>
      <c r="CD102" s="59" t="s">
        <v>4</v>
      </c>
    </row>
    <row r="103" spans="1:82" x14ac:dyDescent="0.2">
      <c r="A103" s="280">
        <f ca="1">TblConstr[[#This Row],[Land]]</f>
        <v>250</v>
      </c>
      <c r="B103" s="184"/>
      <c r="C103" s="113">
        <f ca="1">TblProd[[#This Row],[Platinum]]</f>
        <v>644234</v>
      </c>
      <c r="D103" s="113">
        <f ca="1">TblProd[[#This Row],[Lumber]]</f>
        <v>68542</v>
      </c>
      <c r="E103" s="113">
        <f ca="1">TblProd[[#This Row],[Ore]]</f>
        <v>0</v>
      </c>
      <c r="F103" s="113">
        <f ca="1">TblProd[[#This Row],[Gems]]</f>
        <v>10000</v>
      </c>
      <c r="G103" s="200"/>
      <c r="H103" s="113">
        <f ca="1">TblMili[[#This Row],[Draftees]]</f>
        <v>646</v>
      </c>
      <c r="I103" s="234">
        <f ca="1">TblPop[[#This Row],[Employment]]</f>
        <v>1</v>
      </c>
      <c r="J103" s="234">
        <f ca="1">TblPop[[#This Row],[Total]]/TblPop[[#This Row],[Net max]]</f>
        <v>1</v>
      </c>
      <c r="K103" s="373">
        <f>TblRezone[[#This Row],[Hour]]</f>
        <v>100</v>
      </c>
      <c r="L103" s="374">
        <f ca="1">TblImps[[#This Row],[Real time]]</f>
        <v>44347.12499999976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44347.12499999976</v>
      </c>
      <c r="BZ103" s="387">
        <f ca="1">OFFSET(TblImps[[#This Row],[Servertime]],-1,0)+1/24</f>
        <v>44347.12499999976</v>
      </c>
      <c r="CA103" s="141"/>
      <c r="CB103" s="385"/>
      <c r="CC103" s="385"/>
      <c r="CD103" s="59" t="s">
        <v>7</v>
      </c>
    </row>
    <row r="104" spans="1:82" x14ac:dyDescent="0.2">
      <c r="A104" s="280">
        <f ca="1">TblConstr[[#This Row],[Land]]</f>
        <v>250</v>
      </c>
      <c r="B104" s="184"/>
      <c r="C104" s="113">
        <f ca="1">TblProd[[#This Row],[Platinum]]</f>
        <v>649733</v>
      </c>
      <c r="D104" s="113">
        <f ca="1">TblProd[[#This Row],[Lumber]]</f>
        <v>68857</v>
      </c>
      <c r="E104" s="113">
        <f ca="1">TblProd[[#This Row],[Ore]]</f>
        <v>0</v>
      </c>
      <c r="F104" s="113">
        <f ca="1">TblProd[[#This Row],[Gems]]</f>
        <v>10000</v>
      </c>
      <c r="G104" s="200"/>
      <c r="H104" s="113">
        <f ca="1">TblMili[[#This Row],[Draftees]]</f>
        <v>646</v>
      </c>
      <c r="I104" s="234">
        <f ca="1">TblPop[[#This Row],[Employment]]</f>
        <v>1</v>
      </c>
      <c r="J104" s="234">
        <f ca="1">TblPop[[#This Row],[Total]]/TblPop[[#This Row],[Net max]]</f>
        <v>1</v>
      </c>
      <c r="K104" s="373">
        <f>TblRezone[[#This Row],[Hour]]</f>
        <v>101</v>
      </c>
      <c r="L104" s="374">
        <f ca="1">TblImps[[#This Row],[Real time]]</f>
        <v>44347.166666666424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44347.166666666424</v>
      </c>
      <c r="BZ104" s="387">
        <f ca="1">OFFSET(TblImps[[#This Row],[Servertime]],-1,0)+1/24</f>
        <v>44347.166666666424</v>
      </c>
      <c r="CA104" s="141"/>
      <c r="CB104" s="385"/>
      <c r="CC104" s="385"/>
      <c r="CD104" s="59" t="s">
        <v>3</v>
      </c>
    </row>
    <row r="105" spans="1:82" x14ac:dyDescent="0.2">
      <c r="A105" s="280">
        <f ca="1">TblConstr[[#This Row],[Land]]</f>
        <v>250</v>
      </c>
      <c r="B105" s="184"/>
      <c r="C105" s="113">
        <f ca="1">TblProd[[#This Row],[Platinum]]</f>
        <v>655232</v>
      </c>
      <c r="D105" s="113">
        <f ca="1">TblProd[[#This Row],[Lumber]]</f>
        <v>69168</v>
      </c>
      <c r="E105" s="113">
        <f ca="1">TblProd[[#This Row],[Ore]]</f>
        <v>0</v>
      </c>
      <c r="F105" s="113">
        <f ca="1">TblProd[[#This Row],[Gems]]</f>
        <v>10000</v>
      </c>
      <c r="G105" s="200"/>
      <c r="H105" s="113">
        <f ca="1">TblMili[[#This Row],[Draftees]]</f>
        <v>646</v>
      </c>
      <c r="I105" s="234">
        <f ca="1">TblPop[[#This Row],[Employment]]</f>
        <v>1</v>
      </c>
      <c r="J105" s="234">
        <f ca="1">TblPop[[#This Row],[Total]]/TblPop[[#This Row],[Net max]]</f>
        <v>1</v>
      </c>
      <c r="K105" s="373">
        <f>TblRezone[[#This Row],[Hour]]</f>
        <v>102</v>
      </c>
      <c r="L105" s="374">
        <f ca="1">TblImps[[#This Row],[Real time]]</f>
        <v>44347.208333333088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44347.208333333088</v>
      </c>
      <c r="BZ105" s="387">
        <f ca="1">OFFSET(TblImps[[#This Row],[Servertime]],-1,0)+1/24</f>
        <v>44347.208333333088</v>
      </c>
      <c r="CA105" s="141"/>
      <c r="CB105" s="385"/>
      <c r="CC105" s="385"/>
      <c r="CD105" s="59" t="s">
        <v>2</v>
      </c>
    </row>
    <row r="106" spans="1:82" x14ac:dyDescent="0.2">
      <c r="A106" s="280">
        <f ca="1">TblConstr[[#This Row],[Land]]</f>
        <v>250</v>
      </c>
      <c r="B106" s="184"/>
      <c r="C106" s="113">
        <f ca="1">TblProd[[#This Row],[Platinum]]</f>
        <v>660731</v>
      </c>
      <c r="D106" s="113">
        <f ca="1">TblProd[[#This Row],[Lumber]]</f>
        <v>69476</v>
      </c>
      <c r="E106" s="113">
        <f ca="1">TblProd[[#This Row],[Ore]]</f>
        <v>0</v>
      </c>
      <c r="F106" s="113">
        <f ca="1">TblProd[[#This Row],[Gems]]</f>
        <v>10000</v>
      </c>
      <c r="G106" s="200"/>
      <c r="H106" s="113">
        <f ca="1">TblMili[[#This Row],[Draftees]]</f>
        <v>646</v>
      </c>
      <c r="I106" s="234">
        <f ca="1">TblPop[[#This Row],[Employment]]</f>
        <v>1</v>
      </c>
      <c r="J106" s="234">
        <f ca="1">TblPop[[#This Row],[Total]]/TblPop[[#This Row],[Net max]]</f>
        <v>1</v>
      </c>
      <c r="K106" s="373">
        <f>TblRezone[[#This Row],[Hour]]</f>
        <v>103</v>
      </c>
      <c r="L106" s="374">
        <f ca="1">TblImps[[#This Row],[Real time]]</f>
        <v>44347.249999999753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44347.249999999753</v>
      </c>
      <c r="BZ106" s="387">
        <f ca="1">OFFSET(TblImps[[#This Row],[Servertime]],-1,0)+1/24</f>
        <v>44347.249999999753</v>
      </c>
      <c r="CA106" s="141"/>
      <c r="CB106" s="385"/>
      <c r="CC106" s="385"/>
    </row>
    <row r="107" spans="1:82" x14ac:dyDescent="0.2">
      <c r="A107" s="280">
        <f ca="1">TblConstr[[#This Row],[Land]]</f>
        <v>250</v>
      </c>
      <c r="B107" s="184"/>
      <c r="C107" s="113">
        <f ca="1">TblProd[[#This Row],[Platinum]]</f>
        <v>666230</v>
      </c>
      <c r="D107" s="113">
        <f ca="1">TblProd[[#This Row],[Lumber]]</f>
        <v>69781</v>
      </c>
      <c r="E107" s="113">
        <f ca="1">TblProd[[#This Row],[Ore]]</f>
        <v>0</v>
      </c>
      <c r="F107" s="113">
        <f ca="1">TblProd[[#This Row],[Gems]]</f>
        <v>10000</v>
      </c>
      <c r="G107" s="200"/>
      <c r="H107" s="113">
        <f ca="1">TblMili[[#This Row],[Draftees]]</f>
        <v>646</v>
      </c>
      <c r="I107" s="234">
        <f ca="1">TblPop[[#This Row],[Employment]]</f>
        <v>1</v>
      </c>
      <c r="J107" s="234">
        <f ca="1">TblPop[[#This Row],[Total]]/TblPop[[#This Row],[Net max]]</f>
        <v>1</v>
      </c>
      <c r="K107" s="373">
        <f>TblRezone[[#This Row],[Hour]]</f>
        <v>104</v>
      </c>
      <c r="L107" s="374">
        <f ca="1">TblImps[[#This Row],[Real time]]</f>
        <v>44347.291666666417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44347.291666666417</v>
      </c>
      <c r="BZ107" s="387">
        <f ca="1">OFFSET(TblImps[[#This Row],[Servertime]],-1,0)+1/24</f>
        <v>44347.291666666417</v>
      </c>
      <c r="CA107" s="141"/>
      <c r="CB107" s="385"/>
      <c r="CC107" s="385"/>
      <c r="CD107" s="59" t="s">
        <v>220</v>
      </c>
    </row>
    <row r="108" spans="1:82" x14ac:dyDescent="0.2">
      <c r="A108" s="280">
        <f ca="1">TblConstr[[#This Row],[Land]]</f>
        <v>250</v>
      </c>
      <c r="B108" s="184"/>
      <c r="C108" s="113">
        <f ca="1">TblProd[[#This Row],[Platinum]]</f>
        <v>671729</v>
      </c>
      <c r="D108" s="113">
        <f ca="1">TblProd[[#This Row],[Lumber]]</f>
        <v>70083</v>
      </c>
      <c r="E108" s="113">
        <f ca="1">TblProd[[#This Row],[Ore]]</f>
        <v>0</v>
      </c>
      <c r="F108" s="113">
        <f ca="1">TblProd[[#This Row],[Gems]]</f>
        <v>10000</v>
      </c>
      <c r="G108" s="200"/>
      <c r="H108" s="113">
        <f ca="1">TblMili[[#This Row],[Draftees]]</f>
        <v>646</v>
      </c>
      <c r="I108" s="234">
        <f ca="1">TblPop[[#This Row],[Employment]]</f>
        <v>1</v>
      </c>
      <c r="J108" s="234">
        <f ca="1">TblPop[[#This Row],[Total]]/TblPop[[#This Row],[Net max]]</f>
        <v>1</v>
      </c>
      <c r="K108" s="373">
        <f>TblRezone[[#This Row],[Hour]]</f>
        <v>105</v>
      </c>
      <c r="L108" s="374">
        <f ca="1">TblImps[[#This Row],[Real time]]</f>
        <v>44347.333333333081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44347.333333333081</v>
      </c>
      <c r="BZ108" s="387">
        <f ca="1">OFFSET(TblImps[[#This Row],[Servertime]],-1,0)+1/24</f>
        <v>44347.333333333081</v>
      </c>
      <c r="CA108" s="141"/>
      <c r="CB108" s="385"/>
      <c r="CC108" s="385"/>
      <c r="CD108" s="59" t="s">
        <v>222</v>
      </c>
    </row>
    <row r="109" spans="1:82" x14ac:dyDescent="0.2">
      <c r="A109" s="280">
        <f ca="1">TblConstr[[#This Row],[Land]]</f>
        <v>250</v>
      </c>
      <c r="B109" s="184"/>
      <c r="C109" s="113">
        <f ca="1">TblProd[[#This Row],[Platinum]]</f>
        <v>677228</v>
      </c>
      <c r="D109" s="113">
        <f ca="1">TblProd[[#This Row],[Lumber]]</f>
        <v>70382</v>
      </c>
      <c r="E109" s="113">
        <f ca="1">TblProd[[#This Row],[Ore]]</f>
        <v>0</v>
      </c>
      <c r="F109" s="113">
        <f ca="1">TblProd[[#This Row],[Gems]]</f>
        <v>10000</v>
      </c>
      <c r="G109" s="200"/>
      <c r="H109" s="113">
        <f ca="1">TblMili[[#This Row],[Draftees]]</f>
        <v>646</v>
      </c>
      <c r="I109" s="234">
        <f ca="1">TblPop[[#This Row],[Employment]]</f>
        <v>1</v>
      </c>
      <c r="J109" s="234">
        <f ca="1">TblPop[[#This Row],[Total]]/TblPop[[#This Row],[Net max]]</f>
        <v>1</v>
      </c>
      <c r="K109" s="373">
        <f>TblRezone[[#This Row],[Hour]]</f>
        <v>106</v>
      </c>
      <c r="L109" s="374">
        <f ca="1">TblImps[[#This Row],[Real time]]</f>
        <v>44347.374999999745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44347.374999999745</v>
      </c>
      <c r="BZ109" s="387">
        <f ca="1">OFFSET(TblImps[[#This Row],[Servertime]],-1,0)+1/24</f>
        <v>44347.374999999745</v>
      </c>
      <c r="CA109" s="141"/>
      <c r="CB109" s="385"/>
      <c r="CC109" s="385"/>
      <c r="CD109" s="59" t="s">
        <v>223</v>
      </c>
    </row>
    <row r="110" spans="1:82" x14ac:dyDescent="0.2">
      <c r="A110" s="280">
        <f ca="1">TblConstr[[#This Row],[Land]]</f>
        <v>250</v>
      </c>
      <c r="B110" s="184"/>
      <c r="C110" s="113">
        <f ca="1">TblProd[[#This Row],[Platinum]]</f>
        <v>682727</v>
      </c>
      <c r="D110" s="113">
        <f ca="1">TblProd[[#This Row],[Lumber]]</f>
        <v>70678</v>
      </c>
      <c r="E110" s="113">
        <f ca="1">TblProd[[#This Row],[Ore]]</f>
        <v>0</v>
      </c>
      <c r="F110" s="113">
        <f ca="1">TblProd[[#This Row],[Gems]]</f>
        <v>10000</v>
      </c>
      <c r="G110" s="200"/>
      <c r="H110" s="113">
        <f ca="1">TblMili[[#This Row],[Draftees]]</f>
        <v>646</v>
      </c>
      <c r="I110" s="234">
        <f ca="1">TblPop[[#This Row],[Employment]]</f>
        <v>1</v>
      </c>
      <c r="J110" s="234">
        <f ca="1">TblPop[[#This Row],[Total]]/TblPop[[#This Row],[Net max]]</f>
        <v>1</v>
      </c>
      <c r="K110" s="373">
        <f>TblRezone[[#This Row],[Hour]]</f>
        <v>107</v>
      </c>
      <c r="L110" s="374">
        <f ca="1">TblImps[[#This Row],[Real time]]</f>
        <v>44347.41666666641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44347.41666666641</v>
      </c>
      <c r="BZ110" s="387">
        <f ca="1">OFFSET(TblImps[[#This Row],[Servertime]],-1,0)+1/24</f>
        <v>44347.41666666641</v>
      </c>
      <c r="CA110" s="141"/>
      <c r="CB110" s="385"/>
      <c r="CC110" s="385"/>
      <c r="CD110" s="59" t="s">
        <v>224</v>
      </c>
    </row>
    <row r="111" spans="1:82" x14ac:dyDescent="0.2">
      <c r="A111" s="280">
        <f ca="1">TblConstr[[#This Row],[Land]]</f>
        <v>250</v>
      </c>
      <c r="B111" s="184"/>
      <c r="C111" s="113">
        <f ca="1">TblProd[[#This Row],[Platinum]]</f>
        <v>688226</v>
      </c>
      <c r="D111" s="113">
        <f ca="1">TblProd[[#This Row],[Lumber]]</f>
        <v>70971</v>
      </c>
      <c r="E111" s="113">
        <f ca="1">TblProd[[#This Row],[Ore]]</f>
        <v>0</v>
      </c>
      <c r="F111" s="113">
        <f ca="1">TblProd[[#This Row],[Gems]]</f>
        <v>10000</v>
      </c>
      <c r="G111" s="200"/>
      <c r="H111" s="113">
        <f ca="1">TblMili[[#This Row],[Draftees]]</f>
        <v>646</v>
      </c>
      <c r="I111" s="234">
        <f ca="1">TblPop[[#This Row],[Employment]]</f>
        <v>1</v>
      </c>
      <c r="J111" s="234">
        <f ca="1">TblPop[[#This Row],[Total]]/TblPop[[#This Row],[Net max]]</f>
        <v>1</v>
      </c>
      <c r="K111" s="373">
        <f>TblRezone[[#This Row],[Hour]]</f>
        <v>108</v>
      </c>
      <c r="L111" s="374">
        <f ca="1">TblImps[[#This Row],[Real time]]</f>
        <v>44347.458333333074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44347.458333333074</v>
      </c>
      <c r="BZ111" s="387">
        <f ca="1">OFFSET(TblImps[[#This Row],[Servertime]],-1,0)+1/24</f>
        <v>44347.458333333074</v>
      </c>
      <c r="CA111" s="141"/>
      <c r="CB111" s="385"/>
      <c r="CC111" s="385"/>
      <c r="CD111" s="49" t="s">
        <v>225</v>
      </c>
    </row>
    <row r="112" spans="1:82" x14ac:dyDescent="0.2">
      <c r="A112" s="280">
        <f ca="1">TblConstr[[#This Row],[Land]]</f>
        <v>250</v>
      </c>
      <c r="B112" s="184"/>
      <c r="C112" s="113">
        <f ca="1">TblProd[[#This Row],[Platinum]]</f>
        <v>693725</v>
      </c>
      <c r="D112" s="113">
        <f ca="1">TblProd[[#This Row],[Lumber]]</f>
        <v>71261</v>
      </c>
      <c r="E112" s="113">
        <f ca="1">TblProd[[#This Row],[Ore]]</f>
        <v>0</v>
      </c>
      <c r="F112" s="113">
        <f ca="1">TblProd[[#This Row],[Gems]]</f>
        <v>10000</v>
      </c>
      <c r="G112" s="200"/>
      <c r="H112" s="113">
        <f ca="1">TblMili[[#This Row],[Draftees]]</f>
        <v>646</v>
      </c>
      <c r="I112" s="234">
        <f ca="1">TblPop[[#This Row],[Employment]]</f>
        <v>1</v>
      </c>
      <c r="J112" s="234">
        <f ca="1">TblPop[[#This Row],[Total]]/TblPop[[#This Row],[Net max]]</f>
        <v>1</v>
      </c>
      <c r="K112" s="373">
        <f>TblRezone[[#This Row],[Hour]]</f>
        <v>109</v>
      </c>
      <c r="L112" s="374">
        <f ca="1">TblImps[[#This Row],[Real time]]</f>
        <v>44347.499999999738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44347.499999999738</v>
      </c>
      <c r="BZ112" s="387">
        <f ca="1">OFFSET(TblImps[[#This Row],[Servertime]],-1,0)+1/24</f>
        <v>44347.499999999738</v>
      </c>
      <c r="CA112" s="141"/>
      <c r="CB112" s="385"/>
      <c r="CC112" s="385"/>
      <c r="CD112" s="49" t="s">
        <v>226</v>
      </c>
    </row>
    <row r="113" spans="1:81" x14ac:dyDescent="0.2">
      <c r="A113" s="280">
        <f ca="1">TblConstr[[#This Row],[Land]]</f>
        <v>250</v>
      </c>
      <c r="B113" s="184"/>
      <c r="C113" s="113">
        <f ca="1">TblProd[[#This Row],[Platinum]]</f>
        <v>699224</v>
      </c>
      <c r="D113" s="113">
        <f ca="1">TblProd[[#This Row],[Lumber]]</f>
        <v>71548</v>
      </c>
      <c r="E113" s="113">
        <f ca="1">TblProd[[#This Row],[Ore]]</f>
        <v>0</v>
      </c>
      <c r="F113" s="113">
        <f ca="1">TblProd[[#This Row],[Gems]]</f>
        <v>10000</v>
      </c>
      <c r="G113" s="200"/>
      <c r="H113" s="113">
        <f ca="1">TblMili[[#This Row],[Draftees]]</f>
        <v>646</v>
      </c>
      <c r="I113" s="234">
        <f ca="1">TblPop[[#This Row],[Employment]]</f>
        <v>1</v>
      </c>
      <c r="J113" s="234">
        <f ca="1">TblPop[[#This Row],[Total]]/TblPop[[#This Row],[Net max]]</f>
        <v>1</v>
      </c>
      <c r="K113" s="373">
        <f>TblRezone[[#This Row],[Hour]]</f>
        <v>110</v>
      </c>
      <c r="L113" s="374">
        <f ca="1">TblImps[[#This Row],[Real time]]</f>
        <v>44347.541666666402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44347.541666666402</v>
      </c>
      <c r="BZ113" s="387">
        <f ca="1">OFFSET(TblImps[[#This Row],[Servertime]],-1,0)+1/24</f>
        <v>44347.541666666402</v>
      </c>
      <c r="CA113" s="141"/>
      <c r="CB113" s="385"/>
      <c r="CC113" s="385"/>
    </row>
    <row r="114" spans="1:81" x14ac:dyDescent="0.2">
      <c r="A114" s="280">
        <f ca="1">TblConstr[[#This Row],[Land]]</f>
        <v>250</v>
      </c>
      <c r="B114" s="184"/>
      <c r="C114" s="113">
        <f ca="1">TblProd[[#This Row],[Platinum]]</f>
        <v>704723</v>
      </c>
      <c r="D114" s="113">
        <f ca="1">TblProd[[#This Row],[Lumber]]</f>
        <v>71833</v>
      </c>
      <c r="E114" s="113">
        <f ca="1">TblProd[[#This Row],[Ore]]</f>
        <v>0</v>
      </c>
      <c r="F114" s="113">
        <f ca="1">TblProd[[#This Row],[Gems]]</f>
        <v>10000</v>
      </c>
      <c r="G114" s="200"/>
      <c r="H114" s="113">
        <f ca="1">TblMili[[#This Row],[Draftees]]</f>
        <v>646</v>
      </c>
      <c r="I114" s="234">
        <f ca="1">TblPop[[#This Row],[Employment]]</f>
        <v>1</v>
      </c>
      <c r="J114" s="234">
        <f ca="1">TblPop[[#This Row],[Total]]/TblPop[[#This Row],[Net max]]</f>
        <v>1</v>
      </c>
      <c r="K114" s="373">
        <f>TblRezone[[#This Row],[Hour]]</f>
        <v>111</v>
      </c>
      <c r="L114" s="374">
        <f ca="1">TblImps[[#This Row],[Real time]]</f>
        <v>44347.583333333067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44347.583333333067</v>
      </c>
      <c r="BZ114" s="387">
        <f ca="1">OFFSET(TblImps[[#This Row],[Servertime]],-1,0)+1/24</f>
        <v>44347.583333333067</v>
      </c>
      <c r="CA114" s="390"/>
      <c r="CB114" s="385"/>
      <c r="CC114" s="385"/>
    </row>
    <row r="115" spans="1:81" x14ac:dyDescent="0.2">
      <c r="A115" s="280">
        <f ca="1">TblConstr[[#This Row],[Land]]</f>
        <v>250</v>
      </c>
      <c r="B115" s="184"/>
      <c r="C115" s="113">
        <f ca="1">TblProd[[#This Row],[Platinum]]</f>
        <v>710222</v>
      </c>
      <c r="D115" s="113">
        <f ca="1">TblProd[[#This Row],[Lumber]]</f>
        <v>72115</v>
      </c>
      <c r="E115" s="113">
        <f ca="1">TblProd[[#This Row],[Ore]]</f>
        <v>0</v>
      </c>
      <c r="F115" s="113">
        <f ca="1">TblProd[[#This Row],[Gems]]</f>
        <v>10000</v>
      </c>
      <c r="G115" s="200"/>
      <c r="H115" s="113">
        <f ca="1">TblMili[[#This Row],[Draftees]]</f>
        <v>646</v>
      </c>
      <c r="I115" s="234">
        <f ca="1">TblPop[[#This Row],[Employment]]</f>
        <v>1</v>
      </c>
      <c r="J115" s="234">
        <f ca="1">TblPop[[#This Row],[Total]]/TblPop[[#This Row],[Net max]]</f>
        <v>1</v>
      </c>
      <c r="K115" s="373">
        <f>TblRezone[[#This Row],[Hour]]</f>
        <v>112</v>
      </c>
      <c r="L115" s="374">
        <f ca="1">TblImps[[#This Row],[Real time]]</f>
        <v>44347.624999999731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44347.624999999731</v>
      </c>
      <c r="BZ115" s="387">
        <f ca="1">OFFSET(TblImps[[#This Row],[Servertime]],-1,0)+1/24</f>
        <v>44347.624999999731</v>
      </c>
      <c r="CA115" s="141"/>
      <c r="CB115" s="385"/>
      <c r="CC115" s="385"/>
    </row>
    <row r="116" spans="1:81" x14ac:dyDescent="0.2">
      <c r="A116" s="280">
        <f ca="1">TblConstr[[#This Row],[Land]]</f>
        <v>250</v>
      </c>
      <c r="B116" s="184"/>
      <c r="C116" s="113">
        <f ca="1">TblProd[[#This Row],[Platinum]]</f>
        <v>715721</v>
      </c>
      <c r="D116" s="113">
        <f ca="1">TblProd[[#This Row],[Lumber]]</f>
        <v>72394</v>
      </c>
      <c r="E116" s="113">
        <f ca="1">TblProd[[#This Row],[Ore]]</f>
        <v>0</v>
      </c>
      <c r="F116" s="113">
        <f ca="1">TblProd[[#This Row],[Gems]]</f>
        <v>10000</v>
      </c>
      <c r="G116" s="200"/>
      <c r="H116" s="113">
        <f ca="1">TblMili[[#This Row],[Draftees]]</f>
        <v>646</v>
      </c>
      <c r="I116" s="234">
        <f ca="1">TblPop[[#This Row],[Employment]]</f>
        <v>1</v>
      </c>
      <c r="J116" s="234">
        <f ca="1">TblPop[[#This Row],[Total]]/TblPop[[#This Row],[Net max]]</f>
        <v>1</v>
      </c>
      <c r="K116" s="373">
        <f>TblRezone[[#This Row],[Hour]]</f>
        <v>113</v>
      </c>
      <c r="L116" s="374">
        <f ca="1">TblImps[[#This Row],[Real time]]</f>
        <v>44347.666666666395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44347.666666666395</v>
      </c>
      <c r="BZ116" s="387">
        <f ca="1">OFFSET(TblImps[[#This Row],[Servertime]],-1,0)+1/24</f>
        <v>44347.666666666395</v>
      </c>
      <c r="CA116" s="141"/>
      <c r="CB116" s="385"/>
      <c r="CC116" s="385"/>
    </row>
    <row r="117" spans="1:81" x14ac:dyDescent="0.2">
      <c r="A117" s="280">
        <f ca="1">TblConstr[[#This Row],[Land]]</f>
        <v>250</v>
      </c>
      <c r="B117" s="184"/>
      <c r="C117" s="113">
        <f ca="1">TblProd[[#This Row],[Platinum]]</f>
        <v>721220</v>
      </c>
      <c r="D117" s="113">
        <f ca="1">TblProd[[#This Row],[Lumber]]</f>
        <v>72670</v>
      </c>
      <c r="E117" s="113">
        <f ca="1">TblProd[[#This Row],[Ore]]</f>
        <v>0</v>
      </c>
      <c r="F117" s="113">
        <f ca="1">TblProd[[#This Row],[Gems]]</f>
        <v>10000</v>
      </c>
      <c r="G117" s="200"/>
      <c r="H117" s="113">
        <f ca="1">TblMili[[#This Row],[Draftees]]</f>
        <v>646</v>
      </c>
      <c r="I117" s="234">
        <f ca="1">TblPop[[#This Row],[Employment]]</f>
        <v>1</v>
      </c>
      <c r="J117" s="234">
        <f ca="1">TblPop[[#This Row],[Total]]/TblPop[[#This Row],[Net max]]</f>
        <v>1</v>
      </c>
      <c r="K117" s="373">
        <f>TblRezone[[#This Row],[Hour]]</f>
        <v>114</v>
      </c>
      <c r="L117" s="374">
        <f ca="1">TblImps[[#This Row],[Real time]]</f>
        <v>44347.708333333059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44347.708333333059</v>
      </c>
      <c r="BZ117" s="387">
        <f ca="1">OFFSET(TblImps[[#This Row],[Servertime]],-1,0)+1/24</f>
        <v>44347.708333333059</v>
      </c>
      <c r="CA117" s="141"/>
      <c r="CB117" s="385"/>
      <c r="CC117" s="385"/>
    </row>
    <row r="118" spans="1:81" x14ac:dyDescent="0.2">
      <c r="A118" s="280">
        <f ca="1">TblConstr[[#This Row],[Land]]</f>
        <v>250</v>
      </c>
      <c r="B118" s="184"/>
      <c r="C118" s="113">
        <f ca="1">TblProd[[#This Row],[Platinum]]</f>
        <v>726719</v>
      </c>
      <c r="D118" s="113">
        <f ca="1">TblProd[[#This Row],[Lumber]]</f>
        <v>72943</v>
      </c>
      <c r="E118" s="113">
        <f ca="1">TblProd[[#This Row],[Ore]]</f>
        <v>0</v>
      </c>
      <c r="F118" s="113">
        <f ca="1">TblProd[[#This Row],[Gems]]</f>
        <v>10000</v>
      </c>
      <c r="G118" s="200"/>
      <c r="H118" s="113">
        <f ca="1">TblMili[[#This Row],[Draftees]]</f>
        <v>646</v>
      </c>
      <c r="I118" s="234">
        <f ca="1">TblPop[[#This Row],[Employment]]</f>
        <v>1</v>
      </c>
      <c r="J118" s="234">
        <f ca="1">TblPop[[#This Row],[Total]]/TblPop[[#This Row],[Net max]]</f>
        <v>1</v>
      </c>
      <c r="K118" s="373">
        <f>TblRezone[[#This Row],[Hour]]</f>
        <v>115</v>
      </c>
      <c r="L118" s="374">
        <f ca="1">TblImps[[#This Row],[Real time]]</f>
        <v>44347.749999999724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44347.749999999724</v>
      </c>
      <c r="BZ118" s="387">
        <f ca="1">OFFSET(TblImps[[#This Row],[Servertime]],-1,0)+1/24</f>
        <v>44347.749999999724</v>
      </c>
      <c r="CA118" s="141"/>
      <c r="CB118" s="385"/>
      <c r="CC118" s="385"/>
    </row>
    <row r="119" spans="1:81" x14ac:dyDescent="0.2">
      <c r="A119" s="280">
        <f ca="1">TblConstr[[#This Row],[Land]]</f>
        <v>250</v>
      </c>
      <c r="B119" s="184"/>
      <c r="C119" s="113">
        <f ca="1">TblProd[[#This Row],[Platinum]]</f>
        <v>732218</v>
      </c>
      <c r="D119" s="113">
        <f ca="1">TblProd[[#This Row],[Lumber]]</f>
        <v>73214</v>
      </c>
      <c r="E119" s="113">
        <f ca="1">TblProd[[#This Row],[Ore]]</f>
        <v>0</v>
      </c>
      <c r="F119" s="113">
        <f ca="1">TblProd[[#This Row],[Gems]]</f>
        <v>10000</v>
      </c>
      <c r="G119" s="200"/>
      <c r="H119" s="113">
        <f ca="1">TblMili[[#This Row],[Draftees]]</f>
        <v>646</v>
      </c>
      <c r="I119" s="234">
        <f ca="1">TblPop[[#This Row],[Employment]]</f>
        <v>1</v>
      </c>
      <c r="J119" s="234">
        <f ca="1">TblPop[[#This Row],[Total]]/TblPop[[#This Row],[Net max]]</f>
        <v>1</v>
      </c>
      <c r="K119" s="373">
        <f>TblRezone[[#This Row],[Hour]]</f>
        <v>116</v>
      </c>
      <c r="L119" s="374">
        <f ca="1">TblImps[[#This Row],[Real time]]</f>
        <v>44347.791666666388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44347.791666666388</v>
      </c>
      <c r="BZ119" s="387">
        <f ca="1">OFFSET(TblImps[[#This Row],[Servertime]],-1,0)+1/24</f>
        <v>44347.791666666388</v>
      </c>
      <c r="CA119" s="141"/>
      <c r="CB119" s="385"/>
      <c r="CC119" s="385"/>
    </row>
    <row r="120" spans="1:81" x14ac:dyDescent="0.2">
      <c r="A120" s="280">
        <f ca="1">TblConstr[[#This Row],[Land]]</f>
        <v>250</v>
      </c>
      <c r="B120" s="184"/>
      <c r="C120" s="113">
        <f ca="1">TblProd[[#This Row],[Platinum]]</f>
        <v>737717</v>
      </c>
      <c r="D120" s="113">
        <f ca="1">TblProd[[#This Row],[Lumber]]</f>
        <v>73482</v>
      </c>
      <c r="E120" s="113">
        <f ca="1">TblProd[[#This Row],[Ore]]</f>
        <v>0</v>
      </c>
      <c r="F120" s="113">
        <f ca="1">TblProd[[#This Row],[Gems]]</f>
        <v>10000</v>
      </c>
      <c r="G120" s="200"/>
      <c r="H120" s="113">
        <f ca="1">TblMili[[#This Row],[Draftees]]</f>
        <v>646</v>
      </c>
      <c r="I120" s="234">
        <f ca="1">TblPop[[#This Row],[Employment]]</f>
        <v>1</v>
      </c>
      <c r="J120" s="234">
        <f ca="1">TblPop[[#This Row],[Total]]/TblPop[[#This Row],[Net max]]</f>
        <v>1</v>
      </c>
      <c r="K120" s="373">
        <f>TblRezone[[#This Row],[Hour]]</f>
        <v>117</v>
      </c>
      <c r="L120" s="374">
        <f ca="1">TblImps[[#This Row],[Real time]]</f>
        <v>44347.833333333052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44347.833333333052</v>
      </c>
      <c r="BZ120" s="387">
        <f ca="1">OFFSET(TblImps[[#This Row],[Servertime]],-1,0)+1/24</f>
        <v>44347.833333333052</v>
      </c>
      <c r="CA120" s="141"/>
      <c r="CB120" s="385"/>
      <c r="CC120" s="385"/>
    </row>
    <row r="121" spans="1:81" x14ac:dyDescent="0.2">
      <c r="A121" s="280">
        <f ca="1">TblConstr[[#This Row],[Land]]</f>
        <v>250</v>
      </c>
      <c r="B121" s="184"/>
      <c r="C121" s="113">
        <f ca="1">TblProd[[#This Row],[Platinum]]</f>
        <v>743216</v>
      </c>
      <c r="D121" s="113">
        <f ca="1">TblProd[[#This Row],[Lumber]]</f>
        <v>73747</v>
      </c>
      <c r="E121" s="113">
        <f ca="1">TblProd[[#This Row],[Ore]]</f>
        <v>0</v>
      </c>
      <c r="F121" s="113">
        <f ca="1">TblProd[[#This Row],[Gems]]</f>
        <v>10000</v>
      </c>
      <c r="G121" s="200"/>
      <c r="H121" s="113">
        <f ca="1">TblMili[[#This Row],[Draftees]]</f>
        <v>646</v>
      </c>
      <c r="I121" s="234">
        <f ca="1">TblPop[[#This Row],[Employment]]</f>
        <v>1</v>
      </c>
      <c r="J121" s="234">
        <f ca="1">TblPop[[#This Row],[Total]]/TblPop[[#This Row],[Net max]]</f>
        <v>1</v>
      </c>
      <c r="K121" s="373">
        <f>TblRezone[[#This Row],[Hour]]</f>
        <v>118</v>
      </c>
      <c r="L121" s="374">
        <f ca="1">TblImps[[#This Row],[Real time]]</f>
        <v>44347.874999999716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44347.874999999716</v>
      </c>
      <c r="BZ121" s="387">
        <f ca="1">OFFSET(TblImps[[#This Row],[Servertime]],-1,0)+1/24</f>
        <v>44347.874999999716</v>
      </c>
      <c r="CA121" s="141"/>
      <c r="CB121" s="385"/>
      <c r="CC121" s="385"/>
    </row>
    <row r="122" spans="1:81" x14ac:dyDescent="0.2">
      <c r="A122" s="280">
        <f ca="1">TblConstr[[#This Row],[Land]]</f>
        <v>250</v>
      </c>
      <c r="B122" s="184"/>
      <c r="C122" s="113">
        <f ca="1">TblProd[[#This Row],[Platinum]]</f>
        <v>748715</v>
      </c>
      <c r="D122" s="113">
        <f ca="1">TblProd[[#This Row],[Lumber]]</f>
        <v>74010</v>
      </c>
      <c r="E122" s="113">
        <f ca="1">TblProd[[#This Row],[Ore]]</f>
        <v>0</v>
      </c>
      <c r="F122" s="113">
        <f ca="1">TblProd[[#This Row],[Gems]]</f>
        <v>10000</v>
      </c>
      <c r="G122" s="200"/>
      <c r="H122" s="113">
        <f ca="1">TblMili[[#This Row],[Draftees]]</f>
        <v>646</v>
      </c>
      <c r="I122" s="234">
        <f ca="1">TblPop[[#This Row],[Employment]]</f>
        <v>1</v>
      </c>
      <c r="J122" s="234">
        <f ca="1">TblPop[[#This Row],[Total]]/TblPop[[#This Row],[Net max]]</f>
        <v>1</v>
      </c>
      <c r="K122" s="373">
        <f>TblRezone[[#This Row],[Hour]]</f>
        <v>119</v>
      </c>
      <c r="L122" s="374">
        <f ca="1">TblImps[[#This Row],[Real time]]</f>
        <v>44347.91666666638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44347.91666666638</v>
      </c>
      <c r="BZ122" s="387">
        <f ca="1">OFFSET(TblImps[[#This Row],[Servertime]],-1,0)+1/24</f>
        <v>44347.91666666638</v>
      </c>
      <c r="CA122" s="141"/>
      <c r="CB122" s="385"/>
      <c r="CC122" s="385"/>
    </row>
    <row r="123" spans="1:81" x14ac:dyDescent="0.2">
      <c r="A123" s="280">
        <f ca="1">TblConstr[[#This Row],[Land]]</f>
        <v>250</v>
      </c>
      <c r="B123" s="184"/>
      <c r="C123" s="113">
        <f ca="1">TblProd[[#This Row],[Platinum]]</f>
        <v>754214</v>
      </c>
      <c r="D123" s="113">
        <f ca="1">TblProd[[#This Row],[Lumber]]</f>
        <v>74270</v>
      </c>
      <c r="E123" s="113">
        <f ca="1">TblProd[[#This Row],[Ore]]</f>
        <v>0</v>
      </c>
      <c r="F123" s="113">
        <f ca="1">TblProd[[#This Row],[Gems]]</f>
        <v>10000</v>
      </c>
      <c r="G123" s="200"/>
      <c r="H123" s="113">
        <f ca="1">TblMili[[#This Row],[Draftees]]</f>
        <v>646</v>
      </c>
      <c r="I123" s="234">
        <f ca="1">TblPop[[#This Row],[Employment]]</f>
        <v>1</v>
      </c>
      <c r="J123" s="234">
        <f ca="1">TblPop[[#This Row],[Total]]/TblPop[[#This Row],[Net max]]</f>
        <v>1</v>
      </c>
      <c r="K123" s="373">
        <f>TblRezone[[#This Row],[Hour]]</f>
        <v>120</v>
      </c>
      <c r="L123" s="374">
        <f ca="1">TblImps[[#This Row],[Real time]]</f>
        <v>44347.958333333045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44347.958333333045</v>
      </c>
      <c r="BZ123" s="387">
        <f ca="1">OFFSET(TblImps[[#This Row],[Servertime]],-1,0)+1/24</f>
        <v>44347.958333333045</v>
      </c>
      <c r="CA123" s="141"/>
      <c r="CB123" s="385"/>
      <c r="CC123" s="385"/>
    </row>
    <row r="124" spans="1:81" x14ac:dyDescent="0.2">
      <c r="A124" s="280">
        <f ca="1">TblConstr[[#This Row],[Land]]</f>
        <v>250</v>
      </c>
      <c r="B124" s="184"/>
      <c r="C124" s="113">
        <f ca="1">TblProd[[#This Row],[Platinum]]</f>
        <v>759713</v>
      </c>
      <c r="D124" s="113">
        <f ca="1">TblProd[[#This Row],[Lumber]]</f>
        <v>74527</v>
      </c>
      <c r="E124" s="113">
        <f ca="1">TblProd[[#This Row],[Ore]]</f>
        <v>0</v>
      </c>
      <c r="F124" s="113">
        <f ca="1">TblProd[[#This Row],[Gems]]</f>
        <v>10000</v>
      </c>
      <c r="G124" s="200"/>
      <c r="H124" s="113">
        <f ca="1">TblMili[[#This Row],[Draftees]]</f>
        <v>646</v>
      </c>
      <c r="I124" s="234">
        <f ca="1">TblPop[[#This Row],[Employment]]</f>
        <v>1</v>
      </c>
      <c r="J124" s="234">
        <f ca="1">TblPop[[#This Row],[Total]]/TblPop[[#This Row],[Net max]]</f>
        <v>1</v>
      </c>
      <c r="K124" s="373">
        <f>TblRezone[[#This Row],[Hour]]</f>
        <v>121</v>
      </c>
      <c r="L124" s="374">
        <f ca="1">TblImps[[#This Row],[Real time]]</f>
        <v>44347.999999999709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44347.999999999709</v>
      </c>
      <c r="BZ124" s="387">
        <f ca="1">OFFSET(TblImps[[#This Row],[Servertime]],-1,0)+1/24</f>
        <v>44347.999999999709</v>
      </c>
      <c r="CA124" s="141"/>
      <c r="CB124" s="385"/>
      <c r="CC124" s="385"/>
    </row>
    <row r="125" spans="1:81" x14ac:dyDescent="0.2">
      <c r="A125" s="280">
        <f ca="1">TblConstr[[#This Row],[Land]]</f>
        <v>250</v>
      </c>
      <c r="B125" s="184"/>
      <c r="C125" s="113">
        <f ca="1">TblProd[[#This Row],[Platinum]]</f>
        <v>765212</v>
      </c>
      <c r="D125" s="113">
        <f ca="1">TblProd[[#This Row],[Lumber]]</f>
        <v>74782</v>
      </c>
      <c r="E125" s="113">
        <f ca="1">TblProd[[#This Row],[Ore]]</f>
        <v>0</v>
      </c>
      <c r="F125" s="113">
        <f ca="1">TblProd[[#This Row],[Gems]]</f>
        <v>10000</v>
      </c>
      <c r="G125" s="200"/>
      <c r="H125" s="113">
        <f ca="1">TblMili[[#This Row],[Draftees]]</f>
        <v>646</v>
      </c>
      <c r="I125" s="234">
        <f ca="1">TblPop[[#This Row],[Employment]]</f>
        <v>1</v>
      </c>
      <c r="J125" s="234">
        <f ca="1">TblPop[[#This Row],[Total]]/TblPop[[#This Row],[Net max]]</f>
        <v>1</v>
      </c>
      <c r="K125" s="373">
        <f>TblRezone[[#This Row],[Hour]]</f>
        <v>122</v>
      </c>
      <c r="L125" s="374">
        <f ca="1">TblImps[[#This Row],[Real time]]</f>
        <v>44348.041666666373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44348.041666666373</v>
      </c>
      <c r="BZ125" s="387">
        <f ca="1">OFFSET(TblImps[[#This Row],[Servertime]],-1,0)+1/24</f>
        <v>44348.041666666373</v>
      </c>
      <c r="CA125" s="141"/>
      <c r="CB125" s="385"/>
      <c r="CC125" s="385"/>
    </row>
    <row r="126" spans="1:81" x14ac:dyDescent="0.2">
      <c r="A126" s="280">
        <f ca="1">TblConstr[[#This Row],[Land]]</f>
        <v>250</v>
      </c>
      <c r="B126" s="184"/>
      <c r="C126" s="113">
        <f ca="1">TblProd[[#This Row],[Platinum]]</f>
        <v>770711</v>
      </c>
      <c r="D126" s="113">
        <f ca="1">TblProd[[#This Row],[Lumber]]</f>
        <v>75034</v>
      </c>
      <c r="E126" s="113">
        <f ca="1">TblProd[[#This Row],[Ore]]</f>
        <v>0</v>
      </c>
      <c r="F126" s="113">
        <f ca="1">TblProd[[#This Row],[Gems]]</f>
        <v>10000</v>
      </c>
      <c r="G126" s="200"/>
      <c r="H126" s="113">
        <f ca="1">TblMili[[#This Row],[Draftees]]</f>
        <v>646</v>
      </c>
      <c r="I126" s="234">
        <f ca="1">TblPop[[#This Row],[Employment]]</f>
        <v>1</v>
      </c>
      <c r="J126" s="234">
        <f ca="1">TblPop[[#This Row],[Total]]/TblPop[[#This Row],[Net max]]</f>
        <v>1</v>
      </c>
      <c r="K126" s="373">
        <f>TblRezone[[#This Row],[Hour]]</f>
        <v>123</v>
      </c>
      <c r="L126" s="374">
        <f ca="1">TblImps[[#This Row],[Real time]]</f>
        <v>44348.083333333037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44348.083333333037</v>
      </c>
      <c r="BZ126" s="387">
        <f ca="1">OFFSET(TblImps[[#This Row],[Servertime]],-1,0)+1/24</f>
        <v>44348.083333333037</v>
      </c>
      <c r="CA126" s="141"/>
      <c r="CB126" s="385"/>
      <c r="CC126" s="385"/>
    </row>
    <row r="127" spans="1:81" x14ac:dyDescent="0.2">
      <c r="A127" s="280">
        <f ca="1">TblConstr[[#This Row],[Land]]</f>
        <v>250</v>
      </c>
      <c r="B127" s="184"/>
      <c r="C127" s="113">
        <f ca="1">TblProd[[#This Row],[Platinum]]</f>
        <v>776210</v>
      </c>
      <c r="D127" s="113">
        <f ca="1">TblProd[[#This Row],[Lumber]]</f>
        <v>75284</v>
      </c>
      <c r="E127" s="113">
        <f ca="1">TblProd[[#This Row],[Ore]]</f>
        <v>0</v>
      </c>
      <c r="F127" s="113">
        <f ca="1">TblProd[[#This Row],[Gems]]</f>
        <v>10000</v>
      </c>
      <c r="G127" s="200"/>
      <c r="H127" s="113">
        <f ca="1">TblMili[[#This Row],[Draftees]]</f>
        <v>646</v>
      </c>
      <c r="I127" s="234">
        <f ca="1">TblPop[[#This Row],[Employment]]</f>
        <v>1</v>
      </c>
      <c r="J127" s="234">
        <f ca="1">TblPop[[#This Row],[Total]]/TblPop[[#This Row],[Net max]]</f>
        <v>1</v>
      </c>
      <c r="K127" s="373">
        <f>TblRezone[[#This Row],[Hour]]</f>
        <v>124</v>
      </c>
      <c r="L127" s="374">
        <f ca="1">TblImps[[#This Row],[Real time]]</f>
        <v>44348.124999999702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44348.124999999702</v>
      </c>
      <c r="BZ127" s="387">
        <f ca="1">OFFSET(TblImps[[#This Row],[Servertime]],-1,0)+1/24</f>
        <v>44348.124999999702</v>
      </c>
      <c r="CA127" s="141"/>
      <c r="CB127" s="385"/>
      <c r="CC127" s="385"/>
    </row>
    <row r="128" spans="1:81" x14ac:dyDescent="0.2">
      <c r="A128" s="280">
        <f ca="1">TblConstr[[#This Row],[Land]]</f>
        <v>250</v>
      </c>
      <c r="B128" s="184"/>
      <c r="C128" s="113">
        <f ca="1">TblProd[[#This Row],[Platinum]]</f>
        <v>781709</v>
      </c>
      <c r="D128" s="113">
        <f ca="1">TblProd[[#This Row],[Lumber]]</f>
        <v>75531</v>
      </c>
      <c r="E128" s="113">
        <f ca="1">TblProd[[#This Row],[Ore]]</f>
        <v>0</v>
      </c>
      <c r="F128" s="113">
        <f ca="1">TblProd[[#This Row],[Gems]]</f>
        <v>10000</v>
      </c>
      <c r="G128" s="200"/>
      <c r="H128" s="113">
        <f ca="1">TblMili[[#This Row],[Draftees]]</f>
        <v>646</v>
      </c>
      <c r="I128" s="234">
        <f ca="1">TblPop[[#This Row],[Employment]]</f>
        <v>1</v>
      </c>
      <c r="J128" s="234">
        <f ca="1">TblPop[[#This Row],[Total]]/TblPop[[#This Row],[Net max]]</f>
        <v>1</v>
      </c>
      <c r="K128" s="373">
        <f>TblRezone[[#This Row],[Hour]]</f>
        <v>125</v>
      </c>
      <c r="L128" s="374">
        <f ca="1">TblImps[[#This Row],[Real time]]</f>
        <v>44348.166666666366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44348.166666666366</v>
      </c>
      <c r="BZ128" s="387">
        <f ca="1">OFFSET(TblImps[[#This Row],[Servertime]],-1,0)+1/24</f>
        <v>44348.166666666366</v>
      </c>
      <c r="CA128" s="141"/>
      <c r="CB128" s="385"/>
      <c r="CC128" s="385"/>
    </row>
    <row r="129" spans="1:81" x14ac:dyDescent="0.2">
      <c r="A129" s="280">
        <f ca="1">TblConstr[[#This Row],[Land]]</f>
        <v>250</v>
      </c>
      <c r="B129" s="184"/>
      <c r="C129" s="113">
        <f ca="1">TblProd[[#This Row],[Platinum]]</f>
        <v>787208</v>
      </c>
      <c r="D129" s="113">
        <f ca="1">TblProd[[#This Row],[Lumber]]</f>
        <v>75776</v>
      </c>
      <c r="E129" s="113">
        <f ca="1">TblProd[[#This Row],[Ore]]</f>
        <v>0</v>
      </c>
      <c r="F129" s="113">
        <f ca="1">TblProd[[#This Row],[Gems]]</f>
        <v>10000</v>
      </c>
      <c r="G129" s="200"/>
      <c r="H129" s="113">
        <f ca="1">TblMili[[#This Row],[Draftees]]</f>
        <v>646</v>
      </c>
      <c r="I129" s="234">
        <f ca="1">TblPop[[#This Row],[Employment]]</f>
        <v>1</v>
      </c>
      <c r="J129" s="234">
        <f ca="1">TblPop[[#This Row],[Total]]/TblPop[[#This Row],[Net max]]</f>
        <v>1</v>
      </c>
      <c r="K129" s="373">
        <f>TblRezone[[#This Row],[Hour]]</f>
        <v>126</v>
      </c>
      <c r="L129" s="374">
        <f ca="1">TblImps[[#This Row],[Real time]]</f>
        <v>44348.20833333303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44348.20833333303</v>
      </c>
      <c r="BZ129" s="387">
        <f ca="1">OFFSET(TblImps[[#This Row],[Servertime]],-1,0)+1/24</f>
        <v>44348.20833333303</v>
      </c>
      <c r="CA129" s="141"/>
      <c r="CB129" s="385"/>
      <c r="CC129" s="385"/>
    </row>
    <row r="130" spans="1:81" x14ac:dyDescent="0.2">
      <c r="A130" s="280">
        <f ca="1">TblConstr[[#This Row],[Land]]</f>
        <v>250</v>
      </c>
      <c r="B130" s="184"/>
      <c r="C130" s="113">
        <f ca="1">TblProd[[#This Row],[Platinum]]</f>
        <v>792707</v>
      </c>
      <c r="D130" s="113">
        <f ca="1">TblProd[[#This Row],[Lumber]]</f>
        <v>76018</v>
      </c>
      <c r="E130" s="113">
        <f ca="1">TblProd[[#This Row],[Ore]]</f>
        <v>0</v>
      </c>
      <c r="F130" s="113">
        <f ca="1">TblProd[[#This Row],[Gems]]</f>
        <v>10000</v>
      </c>
      <c r="G130" s="200"/>
      <c r="H130" s="113">
        <f ca="1">TblMili[[#This Row],[Draftees]]</f>
        <v>646</v>
      </c>
      <c r="I130" s="234">
        <f ca="1">TblPop[[#This Row],[Employment]]</f>
        <v>1</v>
      </c>
      <c r="J130" s="234">
        <f ca="1">TblPop[[#This Row],[Total]]/TblPop[[#This Row],[Net max]]</f>
        <v>1</v>
      </c>
      <c r="K130" s="373">
        <f>TblRezone[[#This Row],[Hour]]</f>
        <v>127</v>
      </c>
      <c r="L130" s="374">
        <f ca="1">TblImps[[#This Row],[Real time]]</f>
        <v>44348.249999999694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44348.249999999694</v>
      </c>
      <c r="BZ130" s="387">
        <f ca="1">OFFSET(TblImps[[#This Row],[Servertime]],-1,0)+1/24</f>
        <v>44348.249999999694</v>
      </c>
      <c r="CA130" s="141"/>
      <c r="CB130" s="385"/>
      <c r="CC130" s="385"/>
    </row>
    <row r="131" spans="1:81" x14ac:dyDescent="0.2">
      <c r="A131" s="280">
        <f ca="1">TblConstr[[#This Row],[Land]]</f>
        <v>250</v>
      </c>
      <c r="B131" s="184"/>
      <c r="C131" s="113">
        <f ca="1">TblProd[[#This Row],[Platinum]]</f>
        <v>798206</v>
      </c>
      <c r="D131" s="113">
        <f ca="1">TblProd[[#This Row],[Lumber]]</f>
        <v>76258</v>
      </c>
      <c r="E131" s="113">
        <f ca="1">TblProd[[#This Row],[Ore]]</f>
        <v>0</v>
      </c>
      <c r="F131" s="113">
        <f ca="1">TblProd[[#This Row],[Gems]]</f>
        <v>10000</v>
      </c>
      <c r="G131" s="200"/>
      <c r="H131" s="113">
        <f ca="1">TblMili[[#This Row],[Draftees]]</f>
        <v>646</v>
      </c>
      <c r="I131" s="234">
        <f ca="1">TblPop[[#This Row],[Employment]]</f>
        <v>1</v>
      </c>
      <c r="J131" s="234">
        <f ca="1">TblPop[[#This Row],[Total]]/TblPop[[#This Row],[Net max]]</f>
        <v>1</v>
      </c>
      <c r="K131" s="373">
        <f>TblRezone[[#This Row],[Hour]]</f>
        <v>128</v>
      </c>
      <c r="L131" s="374">
        <f ca="1">TblImps[[#This Row],[Real time]]</f>
        <v>44348.291666666359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44348.291666666359</v>
      </c>
      <c r="BZ131" s="387">
        <f ca="1">OFFSET(TblImps[[#This Row],[Servertime]],-1,0)+1/24</f>
        <v>44348.291666666359</v>
      </c>
      <c r="CA131" s="141"/>
      <c r="CB131" s="385"/>
      <c r="CC131" s="385"/>
    </row>
    <row r="132" spans="1:81" x14ac:dyDescent="0.2">
      <c r="A132" s="280">
        <f ca="1">TblConstr[[#This Row],[Land]]</f>
        <v>250</v>
      </c>
      <c r="B132" s="184"/>
      <c r="C132" s="113">
        <f ca="1">TblProd[[#This Row],[Platinum]]</f>
        <v>803705</v>
      </c>
      <c r="D132" s="113">
        <f ca="1">TblProd[[#This Row],[Lumber]]</f>
        <v>76495</v>
      </c>
      <c r="E132" s="113">
        <f ca="1">TblProd[[#This Row],[Ore]]</f>
        <v>0</v>
      </c>
      <c r="F132" s="113">
        <f ca="1">TblProd[[#This Row],[Gems]]</f>
        <v>10000</v>
      </c>
      <c r="G132" s="200"/>
      <c r="H132" s="113">
        <f ca="1">TblMili[[#This Row],[Draftees]]</f>
        <v>646</v>
      </c>
      <c r="I132" s="234">
        <f ca="1">TblPop[[#This Row],[Employment]]</f>
        <v>1</v>
      </c>
      <c r="J132" s="234">
        <f ca="1">TblPop[[#This Row],[Total]]/TblPop[[#This Row],[Net max]]</f>
        <v>1</v>
      </c>
      <c r="K132" s="373">
        <f>TblRezone[[#This Row],[Hour]]</f>
        <v>129</v>
      </c>
      <c r="L132" s="374">
        <f ca="1">TblImps[[#This Row],[Real time]]</f>
        <v>44348.333333333023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44348.333333333023</v>
      </c>
      <c r="BZ132" s="387">
        <f ca="1">OFFSET(TblImps[[#This Row],[Servertime]],-1,0)+1/24</f>
        <v>44348.333333333023</v>
      </c>
      <c r="CA132" s="141"/>
      <c r="CB132" s="385"/>
      <c r="CC132" s="385"/>
    </row>
    <row r="133" spans="1:81" x14ac:dyDescent="0.2">
      <c r="A133" s="280">
        <f ca="1">TblConstr[[#This Row],[Land]]</f>
        <v>250</v>
      </c>
      <c r="B133" s="184"/>
      <c r="C133" s="113">
        <f ca="1">TblProd[[#This Row],[Platinum]]</f>
        <v>809204</v>
      </c>
      <c r="D133" s="113">
        <f ca="1">TblProd[[#This Row],[Lumber]]</f>
        <v>76730</v>
      </c>
      <c r="E133" s="113">
        <f ca="1">TblProd[[#This Row],[Ore]]</f>
        <v>0</v>
      </c>
      <c r="F133" s="113">
        <f ca="1">TblProd[[#This Row],[Gems]]</f>
        <v>10000</v>
      </c>
      <c r="G133" s="200"/>
      <c r="H133" s="113">
        <f ca="1">TblMili[[#This Row],[Draftees]]</f>
        <v>646</v>
      </c>
      <c r="I133" s="234">
        <f ca="1">TblPop[[#This Row],[Employment]]</f>
        <v>1</v>
      </c>
      <c r="J133" s="234">
        <f ca="1">TblPop[[#This Row],[Total]]/TblPop[[#This Row],[Net max]]</f>
        <v>1</v>
      </c>
      <c r="K133" s="373">
        <f>TblRezone[[#This Row],[Hour]]</f>
        <v>130</v>
      </c>
      <c r="L133" s="374">
        <f ca="1">TblImps[[#This Row],[Real time]]</f>
        <v>44348.374999999687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44348.374999999687</v>
      </c>
      <c r="BZ133" s="387">
        <f ca="1">OFFSET(TblImps[[#This Row],[Servertime]],-1,0)+1/24</f>
        <v>44348.374999999687</v>
      </c>
      <c r="CA133" s="141"/>
      <c r="CB133" s="385"/>
      <c r="CC133" s="385"/>
    </row>
    <row r="134" spans="1:81" x14ac:dyDescent="0.2">
      <c r="A134" s="280">
        <f ca="1">TblConstr[[#This Row],[Land]]</f>
        <v>250</v>
      </c>
      <c r="B134" s="184"/>
      <c r="C134" s="113">
        <f ca="1">TblProd[[#This Row],[Platinum]]</f>
        <v>814703</v>
      </c>
      <c r="D134" s="113">
        <f ca="1">TblProd[[#This Row],[Lumber]]</f>
        <v>76963</v>
      </c>
      <c r="E134" s="113">
        <f ca="1">TblProd[[#This Row],[Ore]]</f>
        <v>0</v>
      </c>
      <c r="F134" s="113">
        <f ca="1">TblProd[[#This Row],[Gems]]</f>
        <v>10000</v>
      </c>
      <c r="G134" s="200"/>
      <c r="H134" s="113">
        <f ca="1">TblMili[[#This Row],[Draftees]]</f>
        <v>646</v>
      </c>
      <c r="I134" s="234">
        <f ca="1">TblPop[[#This Row],[Employment]]</f>
        <v>1</v>
      </c>
      <c r="J134" s="234">
        <f ca="1">TblPop[[#This Row],[Total]]/TblPop[[#This Row],[Net max]]</f>
        <v>1</v>
      </c>
      <c r="K134" s="373">
        <f>TblRezone[[#This Row],[Hour]]</f>
        <v>131</v>
      </c>
      <c r="L134" s="374">
        <f ca="1">TblImps[[#This Row],[Real time]]</f>
        <v>44348.416666666351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44348.416666666351</v>
      </c>
      <c r="BZ134" s="387">
        <f ca="1">OFFSET(TblImps[[#This Row],[Servertime]],-1,0)+1/24</f>
        <v>44348.416666666351</v>
      </c>
      <c r="CA134" s="141"/>
      <c r="CB134" s="385"/>
      <c r="CC134" s="385"/>
    </row>
    <row r="135" spans="1:81" x14ac:dyDescent="0.2">
      <c r="A135" s="280">
        <f ca="1">TblConstr[[#This Row],[Land]]</f>
        <v>250</v>
      </c>
      <c r="B135" s="184"/>
      <c r="C135" s="113">
        <f ca="1">TblProd[[#This Row],[Platinum]]</f>
        <v>820202</v>
      </c>
      <c r="D135" s="113">
        <f ca="1">TblProd[[#This Row],[Lumber]]</f>
        <v>77193</v>
      </c>
      <c r="E135" s="113">
        <f ca="1">TblProd[[#This Row],[Ore]]</f>
        <v>0</v>
      </c>
      <c r="F135" s="113">
        <f ca="1">TblProd[[#This Row],[Gems]]</f>
        <v>10000</v>
      </c>
      <c r="G135" s="200"/>
      <c r="H135" s="113">
        <f ca="1">TblMili[[#This Row],[Draftees]]</f>
        <v>646</v>
      </c>
      <c r="I135" s="234">
        <f ca="1">TblPop[[#This Row],[Employment]]</f>
        <v>1</v>
      </c>
      <c r="J135" s="234">
        <f ca="1">TblPop[[#This Row],[Total]]/TblPop[[#This Row],[Net max]]</f>
        <v>1</v>
      </c>
      <c r="K135" s="373">
        <f>TblRezone[[#This Row],[Hour]]</f>
        <v>132</v>
      </c>
      <c r="L135" s="374">
        <f ca="1">TblImps[[#This Row],[Real time]]</f>
        <v>44348.458333333016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44348.458333333016</v>
      </c>
      <c r="BZ135" s="387">
        <f ca="1">OFFSET(TblImps[[#This Row],[Servertime]],-1,0)+1/24</f>
        <v>44348.458333333016</v>
      </c>
      <c r="CA135" s="141"/>
      <c r="CB135" s="385"/>
      <c r="CC135" s="385"/>
    </row>
    <row r="136" spans="1:81" x14ac:dyDescent="0.2">
      <c r="A136" s="280">
        <f ca="1">TblConstr[[#This Row],[Land]]</f>
        <v>250</v>
      </c>
      <c r="B136" s="184"/>
      <c r="C136" s="113">
        <f ca="1">TblProd[[#This Row],[Platinum]]</f>
        <v>825701</v>
      </c>
      <c r="D136" s="113">
        <f ca="1">TblProd[[#This Row],[Lumber]]</f>
        <v>77421</v>
      </c>
      <c r="E136" s="113">
        <f ca="1">TblProd[[#This Row],[Ore]]</f>
        <v>0</v>
      </c>
      <c r="F136" s="113">
        <f ca="1">TblProd[[#This Row],[Gems]]</f>
        <v>10000</v>
      </c>
      <c r="G136" s="200"/>
      <c r="H136" s="113">
        <f ca="1">TblMili[[#This Row],[Draftees]]</f>
        <v>646</v>
      </c>
      <c r="I136" s="234">
        <f ca="1">TblPop[[#This Row],[Employment]]</f>
        <v>0</v>
      </c>
      <c r="J136" s="234">
        <f ca="1">TblPop[[#This Row],[Total]]/TblPop[[#This Row],[Net max]]</f>
        <v>1</v>
      </c>
      <c r="K136" s="373">
        <f>TblRezone[[#This Row],[Hour]]</f>
        <v>133</v>
      </c>
      <c r="L136" s="374">
        <f ca="1">TblImps[[#This Row],[Real time]]</f>
        <v>44348.49999999968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44348.49999999968</v>
      </c>
      <c r="BZ136" s="387">
        <f ca="1">OFFSET(TblImps[[#This Row],[Servertime]],-1,0)+1/24</f>
        <v>44348.49999999968</v>
      </c>
      <c r="CA136" s="141"/>
      <c r="CB136" s="385"/>
      <c r="CC136" s="385"/>
    </row>
    <row r="1269" spans="2:23" x14ac:dyDescent="0.2">
      <c r="B1269" s="584" t="s">
        <v>327</v>
      </c>
      <c r="C1269" s="535"/>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2" priority="8" stopIfTrue="1">
      <formula>ROW()-2=#REF!</formula>
    </cfRule>
  </conditionalFormatting>
  <conditionalFormatting sqref="A1269:CC1269">
    <cfRule type="expression" dxfId="131" priority="9" stopIfTrue="1">
      <formula>$B$1270&gt;84</formula>
    </cfRule>
  </conditionalFormatting>
  <conditionalFormatting sqref="A1269:XFD1270">
    <cfRule type="expression" dxfId="130" priority="10" stopIfTrue="1">
      <formula>$B$1270&gt;144</formula>
    </cfRule>
  </conditionalFormatting>
  <conditionalFormatting sqref="BV76">
    <cfRule type="expression" dxfId="129" priority="20" stopIfTrue="1">
      <formula>ISERROR(BV76)</formula>
    </cfRule>
  </conditionalFormatting>
  <conditionalFormatting sqref="A4:BZ136">
    <cfRule type="expression" dxfId="128" priority="1" stopIfTrue="1">
      <formula>ROW()-3=$B$1270</formula>
    </cfRule>
    <cfRule type="expression" dxfId="127" priority="2" stopIfTrue="1">
      <formula>OR(ROW()-3=$B$1270,A4&lt;0)</formula>
    </cfRule>
    <cfRule type="expression" dxfId="126" priority="7">
      <formula>$K4=73</formula>
    </cfRule>
    <cfRule type="expression" dxfId="125" priority="12">
      <formula>ROUND(($K4-1)/12,0)=INT($K4-1)/12</formula>
    </cfRule>
  </conditionalFormatting>
  <conditionalFormatting sqref="BV4:BV136">
    <cfRule type="expression" dxfId="124" priority="15" stopIfTrue="1">
      <formula>AND(ROW()-3=$B$1270,ISERROR(BV4))</formula>
    </cfRule>
    <cfRule type="expression" dxfId="123" priority="17" stopIfTrue="1">
      <formula>ISERROR(BV4)</formula>
    </cfRule>
  </conditionalFormatting>
  <conditionalFormatting sqref="A1:XFD3">
    <cfRule type="expression" dxfId="12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7"/>
  <sheetViews>
    <sheetView topLeftCell="A16"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4</v>
      </c>
      <c r="C15" s="97" t="s">
        <v>498</v>
      </c>
      <c r="D15" s="406">
        <v>0.4</v>
      </c>
      <c r="E15" s="97" t="s">
        <v>449</v>
      </c>
      <c r="F15" s="403"/>
    </row>
    <row r="16" spans="1:6" x14ac:dyDescent="0.2">
      <c r="A16" s="401" t="s">
        <v>491</v>
      </c>
      <c r="B16" s="404">
        <v>2.5</v>
      </c>
      <c r="C16" s="97" t="s">
        <v>500</v>
      </c>
      <c r="D16" s="406">
        <v>0.25</v>
      </c>
      <c r="E16" s="97" t="s">
        <v>449</v>
      </c>
      <c r="F16" s="403"/>
    </row>
    <row r="17" spans="1:19" x14ac:dyDescent="0.2">
      <c r="B17" s="404">
        <v>4</v>
      </c>
      <c r="C17" s="97" t="s">
        <v>499</v>
      </c>
      <c r="D17" s="406">
        <v>0.4</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0" t="s">
        <v>80</v>
      </c>
    </row>
    <row r="23" spans="1:19" s="49" customFormat="1" x14ac:dyDescent="0.2">
      <c r="A23" s="408" t="s">
        <v>72</v>
      </c>
      <c r="B23" s="408" t="s">
        <v>71</v>
      </c>
      <c r="C23" s="408" t="s">
        <v>70</v>
      </c>
      <c r="D23" s="408" t="s">
        <v>69</v>
      </c>
      <c r="E23" s="408" t="s">
        <v>68</v>
      </c>
      <c r="F23" s="409" t="s">
        <v>63</v>
      </c>
      <c r="G23" s="409" t="s">
        <v>359</v>
      </c>
      <c r="H23" s="410" t="s">
        <v>64</v>
      </c>
      <c r="I23" s="410" t="s">
        <v>65</v>
      </c>
      <c r="J23" s="411" t="s">
        <v>66</v>
      </c>
      <c r="K23" s="411" t="s">
        <v>67</v>
      </c>
      <c r="L23" s="411" t="s">
        <v>361</v>
      </c>
      <c r="M23" s="412" t="s">
        <v>364</v>
      </c>
      <c r="N23" s="413" t="s">
        <v>74</v>
      </c>
      <c r="O23" s="413" t="s">
        <v>362</v>
      </c>
      <c r="P23" s="413" t="s">
        <v>524</v>
      </c>
      <c r="Q23" s="414" t="s">
        <v>75</v>
      </c>
      <c r="R23" s="414" t="s">
        <v>382</v>
      </c>
      <c r="S23" s="415" t="s">
        <v>76</v>
      </c>
    </row>
    <row r="24" spans="1:19" x14ac:dyDescent="0.2">
      <c r="A24" s="401">
        <v>10</v>
      </c>
      <c r="B24" s="97">
        <v>30</v>
      </c>
      <c r="C24" s="97">
        <v>30</v>
      </c>
      <c r="D24" s="97">
        <v>0</v>
      </c>
      <c r="E24" s="97">
        <v>0</v>
      </c>
      <c r="F24" s="97">
        <v>20</v>
      </c>
      <c r="G24" s="97">
        <v>0</v>
      </c>
      <c r="H24" s="97">
        <v>0</v>
      </c>
      <c r="I24" s="97">
        <v>0</v>
      </c>
      <c r="J24" s="97">
        <v>0</v>
      </c>
      <c r="K24" s="97">
        <v>0</v>
      </c>
      <c r="L24" s="97">
        <v>0</v>
      </c>
      <c r="M24" s="97">
        <v>0</v>
      </c>
      <c r="N24" s="97">
        <v>0</v>
      </c>
      <c r="O24" s="97">
        <v>0</v>
      </c>
      <c r="P24" s="97">
        <v>0</v>
      </c>
      <c r="Q24" s="97">
        <v>0</v>
      </c>
      <c r="R24" s="97">
        <v>0</v>
      </c>
      <c r="S24" s="97">
        <v>0</v>
      </c>
    </row>
    <row r="26" spans="1:19" x14ac:dyDescent="0.2">
      <c r="A26" s="400" t="s">
        <v>79</v>
      </c>
    </row>
    <row r="27" spans="1:19" x14ac:dyDescent="0.2">
      <c r="A27" s="416" t="s">
        <v>55</v>
      </c>
      <c r="B27" s="417" t="s">
        <v>58</v>
      </c>
      <c r="C27" s="418" t="s">
        <v>188</v>
      </c>
      <c r="D27" s="419" t="s">
        <v>59</v>
      </c>
      <c r="E27" s="420" t="s">
        <v>60</v>
      </c>
      <c r="F27" s="421" t="s">
        <v>61</v>
      </c>
      <c r="G27" s="422" t="s">
        <v>62</v>
      </c>
    </row>
    <row r="28" spans="1:19" s="6" customFormat="1" x14ac:dyDescent="0.2">
      <c r="A28" s="401">
        <v>40</v>
      </c>
      <c r="B28" s="97">
        <v>20</v>
      </c>
      <c r="C28" s="97">
        <v>20</v>
      </c>
      <c r="D28" s="97">
        <v>20</v>
      </c>
      <c r="E28" s="97">
        <v>20</v>
      </c>
      <c r="F28" s="97">
        <v>20</v>
      </c>
      <c r="G28" s="97">
        <v>20</v>
      </c>
      <c r="H28" s="97"/>
      <c r="I28" s="97"/>
      <c r="J28" s="97"/>
      <c r="K28" s="97"/>
      <c r="L28" s="97"/>
      <c r="M28" s="97"/>
      <c r="N28" s="97"/>
      <c r="O28" s="97"/>
      <c r="P28" s="97"/>
      <c r="Q28" s="97"/>
      <c r="R28" s="97"/>
      <c r="S28" s="97"/>
    </row>
    <row r="30" spans="1:19" x14ac:dyDescent="0.2">
      <c r="A30" s="400" t="s">
        <v>83</v>
      </c>
      <c r="B30" s="6"/>
      <c r="C30" s="6"/>
      <c r="D30" s="6" t="s">
        <v>245</v>
      </c>
      <c r="E30" s="6"/>
      <c r="F30" s="6"/>
      <c r="G30" s="6"/>
      <c r="H30" s="6"/>
      <c r="I30" s="6"/>
      <c r="J30" s="6"/>
      <c r="K30" s="6"/>
      <c r="L30" s="6" t="s">
        <v>407</v>
      </c>
      <c r="M30" s="6"/>
      <c r="N30" s="6"/>
      <c r="O30" s="6"/>
      <c r="P30" s="6"/>
      <c r="Q30" s="6"/>
      <c r="R30" s="6"/>
      <c r="S30" s="6"/>
    </row>
    <row r="31" spans="1:19" x14ac:dyDescent="0.2">
      <c r="A31" s="401" t="s">
        <v>21</v>
      </c>
      <c r="B31" s="97">
        <f>HLOOKUP(1,E31:J35,2)</f>
        <v>1300</v>
      </c>
      <c r="D31" s="97" t="s">
        <v>448</v>
      </c>
      <c r="E31" s="97">
        <v>1</v>
      </c>
      <c r="F31" s="97">
        <v>2</v>
      </c>
      <c r="G31" s="97">
        <v>3</v>
      </c>
      <c r="H31" s="97">
        <v>4</v>
      </c>
      <c r="I31" s="97">
        <v>5</v>
      </c>
      <c r="J31" s="97">
        <v>6</v>
      </c>
      <c r="L31" s="97" t="s">
        <v>397</v>
      </c>
      <c r="M31" s="403">
        <v>0.1</v>
      </c>
      <c r="N31" s="97" t="s">
        <v>408</v>
      </c>
    </row>
    <row r="32" spans="1:19" x14ac:dyDescent="0.2">
      <c r="A32" s="401" t="s">
        <v>24</v>
      </c>
      <c r="B32" s="97">
        <v>100</v>
      </c>
      <c r="D32" s="97" t="s">
        <v>21</v>
      </c>
      <c r="E32" s="154">
        <v>1300</v>
      </c>
      <c r="F32" s="154">
        <v>1390</v>
      </c>
      <c r="G32" s="154">
        <v>1480</v>
      </c>
      <c r="H32" s="154">
        <v>1570</v>
      </c>
      <c r="I32" s="154">
        <v>1660</v>
      </c>
      <c r="J32" s="154">
        <v>1750</v>
      </c>
      <c r="K32" s="154"/>
      <c r="M32" s="403">
        <v>0.05</v>
      </c>
      <c r="N32" s="97" t="s">
        <v>409</v>
      </c>
    </row>
    <row r="33" spans="1:16" x14ac:dyDescent="0.2">
      <c r="A33" s="401" t="str">
        <f>Overview!$A22</f>
        <v>Spearman</v>
      </c>
      <c r="B33" s="97">
        <v>0</v>
      </c>
      <c r="D33" s="97" t="s">
        <v>2</v>
      </c>
      <c r="E33" s="154">
        <v>100000</v>
      </c>
      <c r="F33" s="154">
        <v>110000</v>
      </c>
      <c r="G33" s="154">
        <v>120000</v>
      </c>
      <c r="H33" s="154">
        <v>130000</v>
      </c>
      <c r="I33" s="154">
        <v>140000</v>
      </c>
      <c r="J33" s="154">
        <v>150000</v>
      </c>
      <c r="M33" s="403">
        <v>0.05</v>
      </c>
      <c r="N33" s="97" t="s">
        <v>410</v>
      </c>
    </row>
    <row r="34" spans="1:16" x14ac:dyDescent="0.2">
      <c r="A34" s="401" t="str">
        <f>Overview!$A23</f>
        <v>Archer</v>
      </c>
      <c r="B34" s="97">
        <v>150</v>
      </c>
      <c r="D34" s="97" t="s">
        <v>5</v>
      </c>
      <c r="E34" s="154">
        <v>15000</v>
      </c>
      <c r="F34" s="154">
        <v>16000</v>
      </c>
      <c r="G34" s="154">
        <v>17000</v>
      </c>
      <c r="H34" s="154">
        <v>18000</v>
      </c>
      <c r="I34" s="154">
        <v>19000</v>
      </c>
      <c r="J34" s="154">
        <v>20000</v>
      </c>
      <c r="L34" s="97" t="s">
        <v>187</v>
      </c>
      <c r="M34" s="403">
        <v>-0.05</v>
      </c>
      <c r="N34" s="97" t="s">
        <v>411</v>
      </c>
    </row>
    <row r="35" spans="1:16" x14ac:dyDescent="0.2">
      <c r="A35" s="401" t="str">
        <f>Overview!$A24</f>
        <v>Knight</v>
      </c>
      <c r="B35" s="97">
        <v>0</v>
      </c>
      <c r="D35" s="97" t="s">
        <v>7</v>
      </c>
      <c r="E35" s="154">
        <v>15000</v>
      </c>
      <c r="F35" s="154">
        <v>15450</v>
      </c>
      <c r="G35" s="154">
        <v>15900</v>
      </c>
      <c r="H35" s="154">
        <v>16350</v>
      </c>
      <c r="I35" s="154">
        <v>16800</v>
      </c>
      <c r="J35" s="154">
        <v>17250</v>
      </c>
      <c r="M35" s="97">
        <v>-1</v>
      </c>
      <c r="N35" s="97" t="s">
        <v>412</v>
      </c>
    </row>
    <row r="36" spans="1:16" x14ac:dyDescent="0.2">
      <c r="A36" s="401" t="str">
        <f>Overview!$A25</f>
        <v>Cavalry</v>
      </c>
      <c r="B36" s="97">
        <v>0</v>
      </c>
      <c r="M36" s="403">
        <v>-0.1</v>
      </c>
      <c r="N36" s="97" t="s">
        <v>411</v>
      </c>
      <c r="O36" s="97">
        <v>-2</v>
      </c>
      <c r="P36" s="97" t="s">
        <v>412</v>
      </c>
    </row>
    <row r="37" spans="1:16" x14ac:dyDescent="0.2">
      <c r="A37" s="401" t="s">
        <v>25</v>
      </c>
      <c r="B37" s="97">
        <v>25</v>
      </c>
      <c r="D37" s="97" t="s">
        <v>381</v>
      </c>
      <c r="E37" s="154">
        <v>1</v>
      </c>
      <c r="F37" s="97">
        <v>2</v>
      </c>
      <c r="G37" s="97">
        <v>3</v>
      </c>
      <c r="H37" s="97">
        <v>4</v>
      </c>
      <c r="I37" s="97">
        <v>5</v>
      </c>
      <c r="J37" s="97">
        <v>6</v>
      </c>
      <c r="L37" s="97" t="s">
        <v>290</v>
      </c>
      <c r="M37" s="403">
        <v>-0.1</v>
      </c>
      <c r="N37" s="97" t="s">
        <v>413</v>
      </c>
    </row>
    <row r="38" spans="1:16" x14ac:dyDescent="0.2">
      <c r="A38" s="401" t="s">
        <v>26</v>
      </c>
      <c r="B38" s="97">
        <v>25</v>
      </c>
      <c r="D38" s="97" t="s">
        <v>21</v>
      </c>
      <c r="E38" s="97">
        <v>1200</v>
      </c>
      <c r="F38" s="97">
        <v>1325</v>
      </c>
      <c r="G38" s="97">
        <v>1450</v>
      </c>
      <c r="H38" s="97">
        <v>1575</v>
      </c>
      <c r="I38" s="97">
        <v>1700</v>
      </c>
      <c r="J38" s="97">
        <v>1825</v>
      </c>
      <c r="M38" s="403">
        <v>-0.1</v>
      </c>
      <c r="N38" s="97" t="s">
        <v>414</v>
      </c>
    </row>
    <row r="39" spans="1:16" x14ac:dyDescent="0.2">
      <c r="A39" s="401" t="s">
        <v>27</v>
      </c>
      <c r="B39" s="97">
        <v>0</v>
      </c>
      <c r="D39" s="97" t="s">
        <v>2</v>
      </c>
      <c r="E39" s="97">
        <v>100000</v>
      </c>
      <c r="F39" s="97">
        <v>104750</v>
      </c>
      <c r="G39" s="97">
        <v>109500</v>
      </c>
      <c r="H39" s="97">
        <v>114250</v>
      </c>
      <c r="I39" s="97">
        <v>119000</v>
      </c>
      <c r="J39" s="97">
        <v>123750</v>
      </c>
      <c r="M39" s="403">
        <v>0.02</v>
      </c>
      <c r="N39" s="97" t="s">
        <v>415</v>
      </c>
    </row>
    <row r="40" spans="1:16" x14ac:dyDescent="0.2">
      <c r="D40" s="97" t="s">
        <v>5</v>
      </c>
      <c r="E40" s="97">
        <v>15000</v>
      </c>
      <c r="F40" s="97">
        <v>16000</v>
      </c>
      <c r="G40" s="97">
        <v>17000</v>
      </c>
      <c r="H40" s="97">
        <v>18000</v>
      </c>
      <c r="I40" s="97">
        <v>19000</v>
      </c>
      <c r="J40" s="97">
        <v>20000</v>
      </c>
      <c r="L40" s="97" t="s">
        <v>22</v>
      </c>
      <c r="M40" s="403">
        <v>-0.1</v>
      </c>
      <c r="N40" s="97" t="s">
        <v>416</v>
      </c>
    </row>
    <row r="41" spans="1:16" x14ac:dyDescent="0.2">
      <c r="A41" s="400" t="s">
        <v>78</v>
      </c>
      <c r="D41" s="97" t="s">
        <v>7</v>
      </c>
      <c r="E41" s="97">
        <v>15000</v>
      </c>
      <c r="F41" s="97">
        <v>15450</v>
      </c>
      <c r="G41" s="97">
        <v>15900</v>
      </c>
      <c r="H41" s="97">
        <v>16350</v>
      </c>
      <c r="I41" s="97">
        <v>16800</v>
      </c>
      <c r="J41" s="97">
        <v>17250</v>
      </c>
      <c r="M41" s="403">
        <v>-0.1</v>
      </c>
      <c r="N41" s="97" t="s">
        <v>417</v>
      </c>
    </row>
    <row r="42" spans="1:16" x14ac:dyDescent="0.2">
      <c r="A42" s="401" t="s">
        <v>2</v>
      </c>
      <c r="B42" s="154">
        <f>HLOOKUP(1,E31:J35,3)</f>
        <v>100000</v>
      </c>
      <c r="C42" s="154"/>
      <c r="M42" s="403">
        <v>0.05</v>
      </c>
      <c r="N42" s="97" t="s">
        <v>305</v>
      </c>
    </row>
    <row r="43" spans="1:16" x14ac:dyDescent="0.2">
      <c r="A43" s="401" t="s">
        <v>5</v>
      </c>
      <c r="B43" s="154">
        <f>HLOOKUP(1,E31:J35,4)</f>
        <v>15000</v>
      </c>
      <c r="C43" s="154"/>
      <c r="D43" s="97" t="s">
        <v>453</v>
      </c>
      <c r="L43" s="97" t="s">
        <v>73</v>
      </c>
      <c r="M43" s="403">
        <v>-0.1</v>
      </c>
      <c r="N43" s="97" t="s">
        <v>418</v>
      </c>
    </row>
    <row r="44" spans="1:16" x14ac:dyDescent="0.2">
      <c r="A44" s="401" t="s">
        <v>81</v>
      </c>
      <c r="B44" s="154">
        <f>HLOOKUP(1,E31:J35,5)</f>
        <v>15000</v>
      </c>
      <c r="C44" s="154"/>
      <c r="D44" s="97" t="s">
        <v>21</v>
      </c>
      <c r="E44" s="97">
        <v>100</v>
      </c>
      <c r="M44" s="403">
        <v>-0.2</v>
      </c>
      <c r="N44" s="97" t="s">
        <v>419</v>
      </c>
    </row>
    <row r="45" spans="1:16" x14ac:dyDescent="0.2">
      <c r="A45" s="401" t="s">
        <v>12</v>
      </c>
      <c r="B45" s="154">
        <v>0</v>
      </c>
      <c r="C45" s="154"/>
      <c r="D45" s="97" t="s">
        <v>2</v>
      </c>
      <c r="E45" s="97">
        <v>5000</v>
      </c>
      <c r="M45" s="97">
        <v>1</v>
      </c>
      <c r="N45" s="97" t="s">
        <v>420</v>
      </c>
    </row>
    <row r="46" spans="1:16" x14ac:dyDescent="0.2">
      <c r="A46" s="401" t="s">
        <v>3</v>
      </c>
      <c r="B46" s="154">
        <v>0</v>
      </c>
      <c r="C46" s="154"/>
      <c r="D46" s="97" t="s">
        <v>5</v>
      </c>
      <c r="E46" s="97">
        <v>1500</v>
      </c>
      <c r="L46" s="97" t="s">
        <v>193</v>
      </c>
      <c r="M46" s="403">
        <v>-0.1</v>
      </c>
      <c r="N46" s="97" t="s">
        <v>421</v>
      </c>
    </row>
    <row r="47" spans="1:16" x14ac:dyDescent="0.2">
      <c r="A47" s="401" t="s">
        <v>4</v>
      </c>
      <c r="B47" s="154">
        <v>10000</v>
      </c>
      <c r="C47" s="154"/>
      <c r="D47" s="97" t="s">
        <v>7</v>
      </c>
      <c r="E47" s="97">
        <v>2500</v>
      </c>
      <c r="M47" s="403">
        <v>-0.2</v>
      </c>
      <c r="N47" s="97" t="s">
        <v>422</v>
      </c>
    </row>
    <row r="48" spans="1:16" x14ac:dyDescent="0.2">
      <c r="A48" s="401" t="s">
        <v>82</v>
      </c>
      <c r="B48" s="154">
        <v>0</v>
      </c>
      <c r="C48" s="154"/>
      <c r="D48" s="97" t="s">
        <v>3</v>
      </c>
      <c r="E48" s="97">
        <v>2500</v>
      </c>
      <c r="M48" s="97">
        <v>1</v>
      </c>
      <c r="N48" s="97" t="s">
        <v>423</v>
      </c>
    </row>
    <row r="49" spans="1:21" x14ac:dyDescent="0.2">
      <c r="D49" s="97" t="s">
        <v>12</v>
      </c>
      <c r="E49" s="97">
        <v>1000</v>
      </c>
      <c r="L49" s="97" t="s">
        <v>398</v>
      </c>
      <c r="M49" s="403">
        <v>-0.1</v>
      </c>
      <c r="N49" s="97" t="s">
        <v>424</v>
      </c>
    </row>
    <row r="50" spans="1:21" x14ac:dyDescent="0.2">
      <c r="A50" s="400" t="s">
        <v>86</v>
      </c>
      <c r="D50" s="97" t="s">
        <v>454</v>
      </c>
      <c r="E50" s="97">
        <v>30</v>
      </c>
      <c r="L50" s="97" t="s">
        <v>399</v>
      </c>
      <c r="M50" s="403">
        <v>0.2</v>
      </c>
      <c r="N50" s="97" t="s">
        <v>425</v>
      </c>
      <c r="O50" s="403">
        <v>0.1</v>
      </c>
      <c r="P50" s="97" t="s">
        <v>409</v>
      </c>
    </row>
    <row r="51" spans="1:21" x14ac:dyDescent="0.2">
      <c r="A51" s="401" t="s">
        <v>21</v>
      </c>
      <c r="B51" s="423">
        <v>0.03</v>
      </c>
      <c r="D51" s="97" t="s">
        <v>455</v>
      </c>
      <c r="E51" s="97">
        <v>30</v>
      </c>
      <c r="L51" s="97" t="s">
        <v>400</v>
      </c>
      <c r="M51" s="424">
        <v>0.06</v>
      </c>
      <c r="N51" s="97" t="s">
        <v>415</v>
      </c>
    </row>
    <row r="52" spans="1:21" x14ac:dyDescent="0.2">
      <c r="A52" s="401" t="s">
        <v>24</v>
      </c>
      <c r="B52" s="423">
        <v>0.01</v>
      </c>
      <c r="L52" s="97" t="s">
        <v>401</v>
      </c>
      <c r="M52" s="425">
        <v>0.125</v>
      </c>
      <c r="N52" s="97" t="s">
        <v>410</v>
      </c>
    </row>
    <row r="53" spans="1:21" x14ac:dyDescent="0.2">
      <c r="A53" s="401" t="s">
        <v>14</v>
      </c>
      <c r="B53" s="423">
        <v>0.01</v>
      </c>
      <c r="L53" s="97" t="s">
        <v>402</v>
      </c>
      <c r="M53" s="403">
        <v>-0.3</v>
      </c>
      <c r="N53" s="97" t="s">
        <v>426</v>
      </c>
    </row>
    <row r="54" spans="1:21" x14ac:dyDescent="0.2">
      <c r="A54" s="401" t="s">
        <v>16</v>
      </c>
      <c r="B54" s="423">
        <v>0.01</v>
      </c>
      <c r="L54" s="97" t="s">
        <v>403</v>
      </c>
      <c r="M54" s="403">
        <v>-0.2</v>
      </c>
      <c r="N54" s="97" t="s">
        <v>411</v>
      </c>
      <c r="O54" s="403">
        <v>0.15</v>
      </c>
      <c r="P54" s="97" t="s">
        <v>427</v>
      </c>
    </row>
    <row r="55" spans="1:21" x14ac:dyDescent="0.2">
      <c r="A55" s="401" t="s">
        <v>15</v>
      </c>
      <c r="B55" s="423">
        <v>0.02</v>
      </c>
      <c r="L55" s="97" t="s">
        <v>404</v>
      </c>
      <c r="M55" s="403">
        <v>-0.25</v>
      </c>
      <c r="N55" s="97" t="s">
        <v>428</v>
      </c>
    </row>
    <row r="56" spans="1:21" x14ac:dyDescent="0.2">
      <c r="L56" s="97" t="s">
        <v>405</v>
      </c>
      <c r="M56" s="403">
        <v>0.1</v>
      </c>
      <c r="N56" s="97" t="s">
        <v>305</v>
      </c>
      <c r="O56" s="403">
        <v>0.15</v>
      </c>
      <c r="P56" s="97" t="s">
        <v>429</v>
      </c>
    </row>
    <row r="57" spans="1:21" x14ac:dyDescent="0.2">
      <c r="L57" s="97" t="s">
        <v>406</v>
      </c>
      <c r="M57" s="97">
        <v>3</v>
      </c>
      <c r="N57" s="97" t="s">
        <v>430</v>
      </c>
    </row>
    <row r="58" spans="1:21" x14ac:dyDescent="0.2">
      <c r="A58" s="401" t="s">
        <v>87</v>
      </c>
      <c r="B58" s="97">
        <v>0.25</v>
      </c>
      <c r="C58" s="97" t="s">
        <v>88</v>
      </c>
      <c r="U58" s="424"/>
    </row>
    <row r="59" spans="1:21" x14ac:dyDescent="0.2">
      <c r="A59" s="401" t="s">
        <v>177</v>
      </c>
      <c r="B59" s="97">
        <v>2.7</v>
      </c>
      <c r="C59" s="97" t="s">
        <v>178</v>
      </c>
      <c r="T59" s="426"/>
      <c r="U59" s="424"/>
    </row>
    <row r="60" spans="1:21" x14ac:dyDescent="0.2">
      <c r="L60" s="97" t="s">
        <v>33</v>
      </c>
      <c r="M60" s="97">
        <v>6.4</v>
      </c>
      <c r="N60" s="97" t="s">
        <v>484</v>
      </c>
      <c r="U60" s="424"/>
    </row>
    <row r="61" spans="1:21" x14ac:dyDescent="0.2">
      <c r="A61" s="400" t="s">
        <v>180</v>
      </c>
    </row>
    <row r="62" spans="1:21" x14ac:dyDescent="0.2">
      <c r="A62" s="401" t="s">
        <v>356</v>
      </c>
      <c r="B62" s="97">
        <v>36</v>
      </c>
      <c r="C62" s="97" t="s">
        <v>357</v>
      </c>
      <c r="D62" s="97" t="s">
        <v>358</v>
      </c>
      <c r="L62" s="97" t="s">
        <v>483</v>
      </c>
      <c r="M62" s="97">
        <v>3780</v>
      </c>
      <c r="U62" s="403"/>
    </row>
    <row r="63" spans="1:21" x14ac:dyDescent="0.2">
      <c r="A63" s="401" t="s">
        <v>182</v>
      </c>
      <c r="B63" s="97">
        <v>30</v>
      </c>
      <c r="C63" s="97" t="s">
        <v>281</v>
      </c>
    </row>
    <row r="64" spans="1:21" x14ac:dyDescent="0.2">
      <c r="A64" s="401" t="s">
        <v>490</v>
      </c>
      <c r="B64" s="97">
        <v>15</v>
      </c>
      <c r="C64" s="97" t="s">
        <v>281</v>
      </c>
      <c r="L64" s="6" t="s">
        <v>650</v>
      </c>
      <c r="U64" s="403"/>
    </row>
    <row r="65" spans="1:21" x14ac:dyDescent="0.2">
      <c r="A65" s="401" t="s">
        <v>360</v>
      </c>
      <c r="B65" s="97">
        <v>15</v>
      </c>
      <c r="C65" s="97" t="s">
        <v>281</v>
      </c>
      <c r="L65" s="426" t="s">
        <v>555</v>
      </c>
      <c r="M65" s="531">
        <v>2.5000000000000001E-2</v>
      </c>
      <c r="N65" s="97" t="s">
        <v>655</v>
      </c>
      <c r="U65" s="403"/>
    </row>
    <row r="66" spans="1:21" x14ac:dyDescent="0.2">
      <c r="A66" s="401" t="s">
        <v>181</v>
      </c>
      <c r="B66" s="97">
        <v>15</v>
      </c>
      <c r="C66" s="97" t="str">
        <f>C63</f>
        <v>peasants</v>
      </c>
      <c r="L66" s="426" t="s">
        <v>557</v>
      </c>
      <c r="M66" s="531">
        <v>7.4999999999999997E-2</v>
      </c>
      <c r="N66" s="97" t="s">
        <v>656</v>
      </c>
    </row>
    <row r="67" spans="1:21" x14ac:dyDescent="0.2">
      <c r="A67" s="401" t="s">
        <v>282</v>
      </c>
      <c r="B67" s="97">
        <f>IF(OR(Overview!$B$14="Halfling",Overview!$B$14="Dwarf",Overview!$B$14="Gnome"),10,5)</f>
        <v>5</v>
      </c>
      <c r="L67" s="97" t="s">
        <v>559</v>
      </c>
      <c r="M67" s="2">
        <v>0.05</v>
      </c>
      <c r="N67" s="97" t="s">
        <v>657</v>
      </c>
    </row>
    <row r="68" spans="1:21" x14ac:dyDescent="0.2">
      <c r="L68" s="97" t="s">
        <v>561</v>
      </c>
      <c r="M68" s="531">
        <v>7.4999999999999997E-2</v>
      </c>
      <c r="N68" s="97" t="s">
        <v>655</v>
      </c>
      <c r="T68" s="426"/>
      <c r="U68" s="424"/>
    </row>
    <row r="69" spans="1:21" x14ac:dyDescent="0.2">
      <c r="A69" s="427" t="s">
        <v>283</v>
      </c>
      <c r="L69" s="97" t="s">
        <v>563</v>
      </c>
      <c r="M69" s="531">
        <v>2.5000000000000001E-2</v>
      </c>
      <c r="N69" s="97" t="s">
        <v>658</v>
      </c>
      <c r="T69" s="91"/>
      <c r="U69" s="424"/>
    </row>
    <row r="70" spans="1:21" x14ac:dyDescent="0.2">
      <c r="A70" s="401" t="str">
        <f>CONCATENATE("Your race is ",Overview!B14)</f>
        <v>Your race is Human</v>
      </c>
      <c r="L70" s="97" t="s">
        <v>565</v>
      </c>
      <c r="M70" s="2">
        <v>0.05</v>
      </c>
      <c r="N70" s="97" t="s">
        <v>694</v>
      </c>
      <c r="S70" s="428"/>
      <c r="T70" s="428"/>
      <c r="U70" s="403"/>
    </row>
    <row r="71" spans="1:21" x14ac:dyDescent="0.2">
      <c r="L71" s="97" t="s">
        <v>566</v>
      </c>
      <c r="M71" s="2">
        <v>0.1</v>
      </c>
      <c r="N71" s="97" t="s">
        <v>779</v>
      </c>
      <c r="S71" s="428"/>
      <c r="T71" s="428"/>
      <c r="U71" s="403"/>
    </row>
    <row r="72" spans="1:21" x14ac:dyDescent="0.2">
      <c r="A72" s="400" t="s">
        <v>213</v>
      </c>
      <c r="B72" s="97" t="s">
        <v>284</v>
      </c>
      <c r="F72" s="97" t="s">
        <v>218</v>
      </c>
      <c r="L72" s="97" t="s">
        <v>567</v>
      </c>
      <c r="M72" s="2">
        <v>-0.1</v>
      </c>
      <c r="N72" s="97" t="s">
        <v>692</v>
      </c>
      <c r="O72" s="97" t="s">
        <v>661</v>
      </c>
      <c r="S72" s="426"/>
      <c r="T72" s="428"/>
      <c r="U72" s="403"/>
    </row>
    <row r="73" spans="1:21" x14ac:dyDescent="0.2">
      <c r="A73" s="401" t="s">
        <v>208</v>
      </c>
      <c r="B73" s="97">
        <v>2</v>
      </c>
      <c r="C73" s="97" t="s">
        <v>214</v>
      </c>
      <c r="D73" s="423"/>
      <c r="F73" s="423">
        <v>0.1</v>
      </c>
      <c r="G73" s="97" t="s">
        <v>107</v>
      </c>
      <c r="L73" s="97" t="s">
        <v>568</v>
      </c>
      <c r="M73" s="2">
        <v>-0.05</v>
      </c>
      <c r="N73" s="97" t="s">
        <v>699</v>
      </c>
      <c r="O73" s="403">
        <v>-0.15</v>
      </c>
      <c r="P73" s="97" t="s">
        <v>676</v>
      </c>
      <c r="S73" s="428"/>
      <c r="T73" s="428"/>
      <c r="U73" s="424"/>
    </row>
    <row r="74" spans="1:21" x14ac:dyDescent="0.2">
      <c r="A74" s="401" t="s">
        <v>209</v>
      </c>
      <c r="B74" s="97">
        <v>2</v>
      </c>
      <c r="C74" s="97" t="s">
        <v>214</v>
      </c>
      <c r="D74" s="423"/>
      <c r="F74" s="423">
        <v>0.1</v>
      </c>
      <c r="G74" s="97" t="s">
        <v>110</v>
      </c>
      <c r="L74" s="97" t="s">
        <v>570</v>
      </c>
      <c r="M74" s="531">
        <v>-2.5000000000000001E-2</v>
      </c>
      <c r="N74" s="97" t="s">
        <v>662</v>
      </c>
      <c r="S74" s="428"/>
      <c r="T74" s="428"/>
      <c r="U74" s="403"/>
    </row>
    <row r="75" spans="1:21" x14ac:dyDescent="0.2">
      <c r="A75" s="401" t="s">
        <v>215</v>
      </c>
      <c r="B75" s="97">
        <v>2.5</v>
      </c>
      <c r="C75" s="97" t="s">
        <v>214</v>
      </c>
      <c r="D75" s="423"/>
      <c r="F75" s="423">
        <v>0.1</v>
      </c>
      <c r="G75" s="97" t="s">
        <v>32</v>
      </c>
      <c r="L75" s="97" t="s">
        <v>572</v>
      </c>
      <c r="M75" s="2">
        <v>-0.1</v>
      </c>
      <c r="N75" s="97" t="s">
        <v>780</v>
      </c>
      <c r="S75" s="428"/>
      <c r="T75" s="428"/>
    </row>
    <row r="76" spans="1:21" x14ac:dyDescent="0.2">
      <c r="A76" s="401" t="s">
        <v>212</v>
      </c>
      <c r="B76" s="97">
        <v>2.5</v>
      </c>
      <c r="C76" s="97" t="s">
        <v>214</v>
      </c>
      <c r="D76" s="423"/>
      <c r="F76" s="423">
        <v>0.5</v>
      </c>
      <c r="G76" s="97" t="s">
        <v>219</v>
      </c>
      <c r="M76"/>
      <c r="S76" s="426"/>
      <c r="T76" s="428"/>
    </row>
    <row r="77" spans="1:21" x14ac:dyDescent="0.2">
      <c r="A77" s="401" t="s">
        <v>216</v>
      </c>
      <c r="B77" s="97">
        <v>2.5</v>
      </c>
      <c r="C77" s="97" t="s">
        <v>214</v>
      </c>
      <c r="D77" s="423"/>
      <c r="F77" s="423">
        <v>0.1</v>
      </c>
      <c r="G77" s="97" t="s">
        <v>106</v>
      </c>
      <c r="L77" s="97" t="s">
        <v>573</v>
      </c>
      <c r="M77" s="531">
        <v>-0.1</v>
      </c>
      <c r="N77" s="97" t="s">
        <v>664</v>
      </c>
      <c r="S77" s="426"/>
      <c r="T77" s="428"/>
      <c r="U77" s="424"/>
    </row>
    <row r="78" spans="1:21" x14ac:dyDescent="0.2">
      <c r="A78" s="401" t="s">
        <v>545</v>
      </c>
      <c r="B78" s="97">
        <v>5</v>
      </c>
      <c r="C78" s="97" t="s">
        <v>214</v>
      </c>
      <c r="D78" s="423"/>
      <c r="F78" s="423">
        <v>0.2</v>
      </c>
      <c r="G78" s="97" t="s">
        <v>110</v>
      </c>
      <c r="H78" s="97" t="s">
        <v>258</v>
      </c>
      <c r="L78" s="97" t="s">
        <v>574</v>
      </c>
      <c r="M78" s="2">
        <v>0.15</v>
      </c>
      <c r="N78" s="97" t="s">
        <v>665</v>
      </c>
      <c r="S78" s="426"/>
      <c r="T78" s="428"/>
      <c r="U78" s="403"/>
    </row>
    <row r="79" spans="1:21" x14ac:dyDescent="0.2">
      <c r="A79" s="401" t="s">
        <v>546</v>
      </c>
      <c r="B79" s="97">
        <v>5</v>
      </c>
      <c r="C79" s="97" t="s">
        <v>214</v>
      </c>
      <c r="D79" s="423"/>
      <c r="F79" s="423">
        <v>0.3</v>
      </c>
      <c r="G79" s="97" t="s">
        <v>547</v>
      </c>
      <c r="L79" s="97" t="s">
        <v>575</v>
      </c>
      <c r="M79" s="2">
        <v>-0.05</v>
      </c>
      <c r="N79" s="97" t="s">
        <v>666</v>
      </c>
      <c r="S79" s="426"/>
      <c r="T79" s="428"/>
      <c r="U79" s="403"/>
    </row>
    <row r="80" spans="1:21" x14ac:dyDescent="0.2">
      <c r="A80" s="401" t="s">
        <v>273</v>
      </c>
      <c r="B80" s="97">
        <f>B78</f>
        <v>5</v>
      </c>
      <c r="C80" s="97" t="str">
        <f>C78</f>
        <v>* Landsize</v>
      </c>
      <c r="D80" s="403"/>
      <c r="F80" s="423">
        <v>0.2</v>
      </c>
      <c r="G80" s="97" t="s">
        <v>32</v>
      </c>
      <c r="H80" s="97" t="s">
        <v>270</v>
      </c>
      <c r="L80" s="97" t="s">
        <v>577</v>
      </c>
      <c r="M80" s="2">
        <v>-0.2</v>
      </c>
      <c r="N80" s="97" t="s">
        <v>667</v>
      </c>
      <c r="S80" s="426"/>
      <c r="T80" s="428"/>
      <c r="U80" s="403"/>
    </row>
    <row r="81" spans="1:23" x14ac:dyDescent="0.2">
      <c r="A81" s="401" t="s">
        <v>272</v>
      </c>
      <c r="B81" s="97">
        <f>B78</f>
        <v>5</v>
      </c>
      <c r="C81" s="97" t="str">
        <f>C78</f>
        <v>* Landsize</v>
      </c>
      <c r="D81" s="403"/>
      <c r="F81" s="423">
        <v>0.1</v>
      </c>
      <c r="G81" s="97" t="s">
        <v>31</v>
      </c>
      <c r="L81" s="97" t="s">
        <v>579</v>
      </c>
      <c r="M81" s="2">
        <v>0.01</v>
      </c>
      <c r="N81" s="97" t="s">
        <v>668</v>
      </c>
      <c r="O81" s="97" t="s">
        <v>661</v>
      </c>
      <c r="S81" s="426"/>
      <c r="T81" s="428"/>
      <c r="U81" s="403"/>
    </row>
    <row r="82" spans="1:23" x14ac:dyDescent="0.2">
      <c r="A82" s="401" t="s">
        <v>310</v>
      </c>
      <c r="B82" s="97">
        <v>5</v>
      </c>
      <c r="C82" s="97" t="str">
        <f>C81</f>
        <v>* Landsize</v>
      </c>
      <c r="D82" s="403"/>
      <c r="F82" s="403">
        <v>0.2</v>
      </c>
      <c r="G82" s="173" t="s">
        <v>107</v>
      </c>
      <c r="H82" s="403">
        <v>0.1</v>
      </c>
      <c r="I82" s="97" t="s">
        <v>108</v>
      </c>
      <c r="L82" s="97" t="s">
        <v>580</v>
      </c>
      <c r="M82" s="532">
        <v>-2.5000000000000001E-2</v>
      </c>
      <c r="N82" s="97" t="s">
        <v>660</v>
      </c>
      <c r="O82" s="424">
        <v>-2.5000000000000001E-2</v>
      </c>
      <c r="P82" s="97" t="s">
        <v>781</v>
      </c>
      <c r="S82" s="428"/>
      <c r="T82" s="428"/>
    </row>
    <row r="83" spans="1:23" x14ac:dyDescent="0.2">
      <c r="A83" s="401" t="s">
        <v>347</v>
      </c>
      <c r="B83" s="97">
        <f>B82</f>
        <v>5</v>
      </c>
      <c r="C83" s="97" t="str">
        <f>C82</f>
        <v>* Landsize</v>
      </c>
      <c r="D83" s="403"/>
      <c r="F83" s="403">
        <v>0.1</v>
      </c>
      <c r="G83" s="173" t="s">
        <v>31</v>
      </c>
      <c r="H83" s="403">
        <v>0.1</v>
      </c>
      <c r="I83" s="97" t="s">
        <v>32</v>
      </c>
      <c r="L83" s="97" t="s">
        <v>582</v>
      </c>
      <c r="M83">
        <v>1.25</v>
      </c>
      <c r="N83" s="97" t="s">
        <v>696</v>
      </c>
      <c r="S83" s="428"/>
      <c r="T83" s="428"/>
      <c r="U83" s="424"/>
    </row>
    <row r="84" spans="1:23" x14ac:dyDescent="0.2">
      <c r="A84" s="401" t="s">
        <v>346</v>
      </c>
      <c r="B84" s="97">
        <f>B83</f>
        <v>5</v>
      </c>
      <c r="C84" s="97" t="str">
        <f>C83</f>
        <v>* Landsize</v>
      </c>
      <c r="D84" s="403"/>
      <c r="F84" s="403">
        <v>0.15</v>
      </c>
      <c r="G84" s="173" t="s">
        <v>32</v>
      </c>
      <c r="H84" s="403" t="s">
        <v>348</v>
      </c>
      <c r="L84" s="97" t="s">
        <v>584</v>
      </c>
      <c r="M84" s="2">
        <v>-0.15</v>
      </c>
      <c r="N84" s="97" t="s">
        <v>664</v>
      </c>
      <c r="S84" s="428"/>
      <c r="T84" s="428"/>
      <c r="U84" s="403"/>
    </row>
    <row r="85" spans="1:23" x14ac:dyDescent="0.2">
      <c r="A85" s="401" t="s">
        <v>353</v>
      </c>
      <c r="B85" s="97">
        <v>5</v>
      </c>
      <c r="C85" s="429" t="str">
        <f>C84</f>
        <v>* Landsize</v>
      </c>
      <c r="D85" s="403"/>
      <c r="F85" s="430">
        <v>15</v>
      </c>
      <c r="G85" s="173" t="s">
        <v>354</v>
      </c>
      <c r="H85" s="403"/>
      <c r="L85" s="97" t="s">
        <v>585</v>
      </c>
      <c r="M85" s="531">
        <v>-2.5000000000000001E-2</v>
      </c>
      <c r="N85" s="97" t="s">
        <v>660</v>
      </c>
      <c r="O85" s="97">
        <v>-1</v>
      </c>
      <c r="P85" s="97" t="s">
        <v>693</v>
      </c>
      <c r="S85" s="428"/>
      <c r="T85" s="428"/>
      <c r="U85" s="403"/>
    </row>
    <row r="86" spans="1:23" x14ac:dyDescent="0.2">
      <c r="A86" s="401" t="s">
        <v>438</v>
      </c>
      <c r="B86" s="97">
        <v>5</v>
      </c>
      <c r="C86" s="97" t="str">
        <f>C85</f>
        <v>* Landsize</v>
      </c>
      <c r="D86" s="403"/>
      <c r="F86" s="403">
        <v>0.05</v>
      </c>
      <c r="G86" s="173" t="s">
        <v>31</v>
      </c>
      <c r="L86" s="97" t="s">
        <v>586</v>
      </c>
      <c r="M86" s="531">
        <v>-2.5000000000000001E-2</v>
      </c>
      <c r="N86" s="97" t="s">
        <v>666</v>
      </c>
      <c r="S86" s="426"/>
      <c r="T86" s="428"/>
      <c r="U86" s="424"/>
    </row>
    <row r="87" spans="1:23" x14ac:dyDescent="0.2">
      <c r="M87"/>
      <c r="S87" s="426"/>
      <c r="T87" s="428"/>
    </row>
    <row r="88" spans="1:23" x14ac:dyDescent="0.2">
      <c r="A88" s="400" t="s">
        <v>82</v>
      </c>
      <c r="L88" s="97" t="s">
        <v>588</v>
      </c>
      <c r="M88" s="2">
        <v>0.05</v>
      </c>
      <c r="N88" s="97" t="s">
        <v>669</v>
      </c>
      <c r="S88" s="426"/>
      <c r="T88" s="428"/>
    </row>
    <row r="89" spans="1:23" x14ac:dyDescent="0.2">
      <c r="A89" s="401" t="s">
        <v>280</v>
      </c>
      <c r="B89" s="97">
        <f>IF(Overview!$B$14="Kobold",40,30)</f>
        <v>30</v>
      </c>
      <c r="C89" s="97" t="s">
        <v>251</v>
      </c>
      <c r="L89" s="97" t="s">
        <v>590</v>
      </c>
      <c r="M89" s="531">
        <v>2.5000000000000001E-2</v>
      </c>
      <c r="N89" s="97" t="s">
        <v>671</v>
      </c>
      <c r="S89" s="426"/>
      <c r="T89" s="428"/>
      <c r="U89" s="424"/>
    </row>
    <row r="90" spans="1:23" x14ac:dyDescent="0.2">
      <c r="L90" s="97" t="s">
        <v>592</v>
      </c>
      <c r="M90" s="531">
        <v>7.4999999999999997E-2</v>
      </c>
      <c r="N90" s="97" t="s">
        <v>672</v>
      </c>
      <c r="O90" s="425">
        <v>7.4999999999999997E-2</v>
      </c>
      <c r="P90" s="97" t="s">
        <v>673</v>
      </c>
      <c r="S90" s="426"/>
      <c r="T90" s="428"/>
      <c r="U90" s="424"/>
      <c r="W90" s="403"/>
    </row>
    <row r="91" spans="1:23" x14ac:dyDescent="0.2">
      <c r="A91" s="400" t="s">
        <v>363</v>
      </c>
      <c r="L91" s="97" t="s">
        <v>593</v>
      </c>
      <c r="M91" s="531">
        <v>7.4999999999999997E-2</v>
      </c>
      <c r="N91" s="97" t="s">
        <v>656</v>
      </c>
      <c r="O91" s="403">
        <v>0.05</v>
      </c>
      <c r="P91" s="97" t="s">
        <v>674</v>
      </c>
      <c r="S91" s="426"/>
      <c r="T91" s="428"/>
      <c r="U91" s="424"/>
      <c r="W91" s="403"/>
    </row>
    <row r="92" spans="1:23" x14ac:dyDescent="0.2">
      <c r="A92" s="401" t="s">
        <v>519</v>
      </c>
      <c r="B92" s="97">
        <v>250</v>
      </c>
      <c r="L92" s="97" t="s">
        <v>595</v>
      </c>
      <c r="M92" s="531">
        <v>-1.7500000000000002E-2</v>
      </c>
      <c r="N92" s="97" t="s">
        <v>659</v>
      </c>
      <c r="S92" s="428"/>
      <c r="T92" s="428"/>
    </row>
    <row r="93" spans="1:23" x14ac:dyDescent="0.2">
      <c r="A93" s="401" t="s">
        <v>520</v>
      </c>
      <c r="B93" s="403">
        <v>0.01</v>
      </c>
      <c r="L93" s="97" t="s">
        <v>596</v>
      </c>
      <c r="M93" s="531">
        <v>1.4999999999999999E-2</v>
      </c>
      <c r="N93" s="97" t="s">
        <v>670</v>
      </c>
      <c r="S93" s="428"/>
      <c r="T93" s="428"/>
      <c r="U93" s="403"/>
    </row>
    <row r="94" spans="1:23" x14ac:dyDescent="0.2">
      <c r="A94" s="401" t="s">
        <v>521</v>
      </c>
      <c r="B94" s="403">
        <v>0.01</v>
      </c>
      <c r="L94" s="97" t="s">
        <v>597</v>
      </c>
      <c r="M94" s="531">
        <v>-7.4999999999999997E-2</v>
      </c>
      <c r="N94" s="97" t="s">
        <v>660</v>
      </c>
      <c r="O94" s="97">
        <v>-2</v>
      </c>
      <c r="P94" s="97" t="s">
        <v>693</v>
      </c>
      <c r="S94" s="428"/>
      <c r="T94" s="428"/>
      <c r="U94" s="424"/>
    </row>
    <row r="95" spans="1:23" x14ac:dyDescent="0.2">
      <c r="A95" s="401" t="s">
        <v>522</v>
      </c>
      <c r="B95" s="403">
        <v>0.01</v>
      </c>
      <c r="L95" s="97" t="s">
        <v>598</v>
      </c>
      <c r="M95" s="2">
        <v>-0.5</v>
      </c>
      <c r="N95" s="97" t="s">
        <v>675</v>
      </c>
      <c r="S95" s="426"/>
      <c r="T95" s="428"/>
      <c r="U95" s="403"/>
    </row>
    <row r="96" spans="1:23" x14ac:dyDescent="0.2">
      <c r="L96" s="97" t="s">
        <v>600</v>
      </c>
      <c r="M96" s="2">
        <v>-0.1</v>
      </c>
      <c r="N96" s="97" t="s">
        <v>663</v>
      </c>
      <c r="S96" s="428"/>
      <c r="T96" s="428"/>
      <c r="U96" s="403"/>
      <c r="W96" s="403"/>
    </row>
    <row r="97" spans="1:23" x14ac:dyDescent="0.2">
      <c r="A97" s="400" t="s">
        <v>469</v>
      </c>
      <c r="M97"/>
      <c r="S97" s="426"/>
      <c r="T97" s="428"/>
    </row>
    <row r="98" spans="1:23" x14ac:dyDescent="0.2">
      <c r="L98" s="97" t="s">
        <v>602</v>
      </c>
      <c r="M98" s="531">
        <v>0.125</v>
      </c>
      <c r="N98" s="97" t="s">
        <v>677</v>
      </c>
      <c r="S98" s="428"/>
      <c r="T98" s="428"/>
      <c r="U98" s="424"/>
    </row>
    <row r="99" spans="1:23" x14ac:dyDescent="0.2">
      <c r="A99" s="401" t="s">
        <v>470</v>
      </c>
      <c r="B99" s="97" t="s">
        <v>222</v>
      </c>
      <c r="D99" s="423">
        <v>0.3</v>
      </c>
      <c r="E99" s="97" t="s">
        <v>449</v>
      </c>
      <c r="L99" s="97" t="s">
        <v>603</v>
      </c>
      <c r="M99"/>
      <c r="N99" s="97" t="s">
        <v>651</v>
      </c>
      <c r="S99" s="426"/>
      <c r="T99" s="428"/>
    </row>
    <row r="100" spans="1:23" x14ac:dyDescent="0.2">
      <c r="B100" s="97" t="s">
        <v>220</v>
      </c>
      <c r="D100" s="423">
        <v>0.2</v>
      </c>
      <c r="E100" s="97" t="s">
        <v>449</v>
      </c>
      <c r="L100" s="97" t="s">
        <v>604</v>
      </c>
      <c r="M100" s="531">
        <v>2.5000000000000001E-2</v>
      </c>
      <c r="N100" s="97" t="s">
        <v>671</v>
      </c>
      <c r="O100" s="424">
        <v>7.4999999999999997E-2</v>
      </c>
      <c r="P100" s="97" t="s">
        <v>669</v>
      </c>
      <c r="S100" s="426"/>
      <c r="T100" s="428"/>
      <c r="U100" s="424"/>
      <c r="W100" s="424"/>
    </row>
    <row r="101" spans="1:23" x14ac:dyDescent="0.2">
      <c r="B101" s="97" t="s">
        <v>471</v>
      </c>
      <c r="D101" s="423">
        <v>0.3</v>
      </c>
      <c r="E101" s="97" t="s">
        <v>449</v>
      </c>
      <c r="L101" s="97" t="s">
        <v>605</v>
      </c>
      <c r="M101" s="2">
        <v>0.05</v>
      </c>
      <c r="N101" s="97" t="s">
        <v>658</v>
      </c>
      <c r="S101" s="426"/>
      <c r="T101" s="428"/>
      <c r="U101" s="403"/>
    </row>
    <row r="102" spans="1:23" x14ac:dyDescent="0.2">
      <c r="B102" s="97" t="s">
        <v>472</v>
      </c>
      <c r="D102" s="423">
        <v>0.6</v>
      </c>
      <c r="E102" s="97" t="s">
        <v>449</v>
      </c>
      <c r="L102" s="97" t="s">
        <v>606</v>
      </c>
      <c r="M102">
        <v>1</v>
      </c>
      <c r="N102" s="97" t="s">
        <v>1109</v>
      </c>
      <c r="S102" s="428"/>
      <c r="T102" s="428"/>
      <c r="U102" s="403"/>
    </row>
    <row r="103" spans="1:23" x14ac:dyDescent="0.2">
      <c r="L103" s="97" t="s">
        <v>607</v>
      </c>
      <c r="M103" s="531">
        <v>-7.4999999999999997E-2</v>
      </c>
      <c r="N103" s="97" t="s">
        <v>666</v>
      </c>
      <c r="S103" s="428"/>
      <c r="T103" s="428"/>
      <c r="U103" s="403"/>
    </row>
    <row r="104" spans="1:23" x14ac:dyDescent="0.2">
      <c r="A104" s="401" t="s">
        <v>473</v>
      </c>
      <c r="B104" s="97" t="s">
        <v>222</v>
      </c>
      <c r="D104" s="97">
        <v>4000</v>
      </c>
      <c r="E104" s="97" t="s">
        <v>523</v>
      </c>
      <c r="L104" s="97" t="s">
        <v>609</v>
      </c>
      <c r="M104">
        <v>-1</v>
      </c>
      <c r="N104" s="97" t="s">
        <v>782</v>
      </c>
      <c r="S104" s="428"/>
      <c r="T104" s="428"/>
      <c r="U104" s="424"/>
    </row>
    <row r="105" spans="1:23" x14ac:dyDescent="0.2">
      <c r="B105" s="97" t="s">
        <v>220</v>
      </c>
      <c r="D105" s="97">
        <v>4000</v>
      </c>
      <c r="E105" s="97" t="s">
        <v>523</v>
      </c>
      <c r="L105" s="97" t="s">
        <v>611</v>
      </c>
      <c r="M105" s="2">
        <v>-0.2</v>
      </c>
      <c r="N105" s="97" t="s">
        <v>678</v>
      </c>
      <c r="S105" s="428"/>
      <c r="T105" s="428"/>
    </row>
    <row r="106" spans="1:23" x14ac:dyDescent="0.2">
      <c r="B106" s="97" t="s">
        <v>471</v>
      </c>
      <c r="D106" s="97">
        <v>7500</v>
      </c>
      <c r="E106" s="97" t="s">
        <v>523</v>
      </c>
      <c r="M106"/>
      <c r="T106" s="91"/>
    </row>
    <row r="107" spans="1:23" x14ac:dyDescent="0.2">
      <c r="B107" s="97" t="s">
        <v>543</v>
      </c>
      <c r="D107" s="97">
        <v>5000</v>
      </c>
      <c r="E107" s="97" t="s">
        <v>523</v>
      </c>
      <c r="L107" s="97" t="s">
        <v>612</v>
      </c>
      <c r="M107" s="531">
        <v>2.5000000000000001E-2</v>
      </c>
      <c r="N107" s="97" t="s">
        <v>1110</v>
      </c>
      <c r="O107" s="97" t="s">
        <v>680</v>
      </c>
      <c r="S107" s="428"/>
      <c r="T107" s="428"/>
      <c r="U107" s="403"/>
      <c r="W107" s="403"/>
    </row>
    <row r="108" spans="1:23" x14ac:dyDescent="0.2">
      <c r="B108" s="97" t="s">
        <v>223</v>
      </c>
      <c r="D108" s="97">
        <v>5000</v>
      </c>
      <c r="E108" s="97" t="s">
        <v>523</v>
      </c>
      <c r="L108" s="97" t="s">
        <v>613</v>
      </c>
      <c r="M108" s="2">
        <v>-0.2</v>
      </c>
      <c r="N108" s="97" t="s">
        <v>697</v>
      </c>
      <c r="O108" s="403">
        <v>-0.1</v>
      </c>
      <c r="P108" s="97" t="s">
        <v>679</v>
      </c>
      <c r="S108" s="428"/>
      <c r="T108" s="428"/>
    </row>
    <row r="109" spans="1:23" x14ac:dyDescent="0.2">
      <c r="L109" s="97" t="s">
        <v>614</v>
      </c>
      <c r="M109" s="531">
        <v>-1.7500000000000002E-2</v>
      </c>
      <c r="N109" s="97" t="s">
        <v>659</v>
      </c>
      <c r="S109" s="428"/>
      <c r="T109" s="428"/>
      <c r="U109" s="403"/>
    </row>
    <row r="110" spans="1:23" x14ac:dyDescent="0.2">
      <c r="A110" s="400" t="s">
        <v>474</v>
      </c>
      <c r="F110" s="97" t="s">
        <v>476</v>
      </c>
      <c r="L110" s="97" t="s">
        <v>615</v>
      </c>
      <c r="M110" s="531">
        <v>2.5000000000000001E-2</v>
      </c>
      <c r="N110" s="97" t="s">
        <v>689</v>
      </c>
      <c r="O110" s="424">
        <v>7.4999999999999997E-2</v>
      </c>
      <c r="P110" s="97" t="s">
        <v>681</v>
      </c>
      <c r="S110" s="426"/>
      <c r="T110" s="428"/>
      <c r="U110" s="424"/>
      <c r="W110" s="424"/>
    </row>
    <row r="111" spans="1:23" x14ac:dyDescent="0.2">
      <c r="A111" s="401" t="s">
        <v>127</v>
      </c>
      <c r="B111" s="431"/>
      <c r="C111" s="432">
        <v>0.2</v>
      </c>
      <c r="D111" s="97" t="s">
        <v>481</v>
      </c>
      <c r="F111" s="271" t="s">
        <v>480</v>
      </c>
      <c r="L111" s="97" t="s">
        <v>616</v>
      </c>
      <c r="M111" s="531">
        <v>-1.7500000000000002E-2</v>
      </c>
      <c r="N111" s="97" t="s">
        <v>659</v>
      </c>
      <c r="S111" s="428"/>
      <c r="T111" s="428"/>
      <c r="U111" s="403"/>
    </row>
    <row r="112" spans="1:23" x14ac:dyDescent="0.2">
      <c r="A112" s="401" t="s">
        <v>128</v>
      </c>
      <c r="B112" s="433" t="s">
        <v>305</v>
      </c>
      <c r="C112" s="432">
        <v>0.2</v>
      </c>
      <c r="D112" s="97" t="s">
        <v>481</v>
      </c>
      <c r="F112" s="271" t="s">
        <v>480</v>
      </c>
      <c r="L112" s="97" t="s">
        <v>617</v>
      </c>
      <c r="M112">
        <v>1</v>
      </c>
      <c r="N112" s="97" t="s">
        <v>695</v>
      </c>
      <c r="S112" s="428"/>
      <c r="T112" s="428"/>
      <c r="U112" s="403"/>
      <c r="W112" s="403"/>
    </row>
    <row r="113" spans="1:23" x14ac:dyDescent="0.2">
      <c r="B113" s="97" t="s">
        <v>304</v>
      </c>
      <c r="C113" s="425">
        <v>0.2</v>
      </c>
      <c r="D113" s="97" t="s">
        <v>481</v>
      </c>
      <c r="F113" s="271" t="s">
        <v>480</v>
      </c>
      <c r="L113" s="97" t="s">
        <v>618</v>
      </c>
      <c r="M113" s="2">
        <v>-0.01</v>
      </c>
      <c r="N113" s="97" t="s">
        <v>683</v>
      </c>
      <c r="S113" s="426"/>
      <c r="T113" s="428"/>
      <c r="U113" s="403"/>
    </row>
    <row r="114" spans="1:23" x14ac:dyDescent="0.2">
      <c r="A114" s="401" t="s">
        <v>143</v>
      </c>
      <c r="B114" s="431"/>
      <c r="C114" s="432">
        <v>0.2</v>
      </c>
      <c r="D114" s="97" t="s">
        <v>481</v>
      </c>
      <c r="F114" s="271">
        <v>4</v>
      </c>
      <c r="M114"/>
      <c r="S114" s="426"/>
      <c r="T114" s="428"/>
    </row>
    <row r="115" spans="1:23" x14ac:dyDescent="0.2">
      <c r="A115" s="401" t="s">
        <v>135</v>
      </c>
      <c r="B115" s="431"/>
      <c r="C115" s="432">
        <v>0.2</v>
      </c>
      <c r="D115" s="97" t="s">
        <v>482</v>
      </c>
      <c r="F115" s="271">
        <v>2</v>
      </c>
      <c r="L115" s="97" t="s">
        <v>619</v>
      </c>
      <c r="M115" s="531">
        <v>1.4999999999999999E-2</v>
      </c>
      <c r="N115" s="97" t="s">
        <v>670</v>
      </c>
      <c r="S115" s="426"/>
      <c r="T115" s="428"/>
      <c r="U115" s="424"/>
    </row>
    <row r="116" spans="1:23" x14ac:dyDescent="0.2">
      <c r="A116" s="401" t="s">
        <v>151</v>
      </c>
      <c r="B116" s="433" t="s">
        <v>305</v>
      </c>
      <c r="C116" s="432">
        <v>0.09</v>
      </c>
      <c r="D116" s="97" t="s">
        <v>308</v>
      </c>
      <c r="F116" s="271">
        <v>4</v>
      </c>
      <c r="L116" s="97" t="s">
        <v>620</v>
      </c>
      <c r="M116" s="531">
        <v>2.5000000000000001E-2</v>
      </c>
      <c r="N116" s="97" t="s">
        <v>671</v>
      </c>
      <c r="O116" s="403">
        <v>-0.05</v>
      </c>
      <c r="P116" s="97" t="s">
        <v>684</v>
      </c>
      <c r="S116" s="426"/>
      <c r="T116" s="428"/>
      <c r="U116" s="424"/>
      <c r="W116" s="403"/>
    </row>
    <row r="117" spans="1:23" x14ac:dyDescent="0.2">
      <c r="B117" s="97" t="s">
        <v>304</v>
      </c>
      <c r="C117" s="434">
        <v>0.09</v>
      </c>
      <c r="D117" s="97" t="s">
        <v>308</v>
      </c>
      <c r="F117" s="271">
        <v>4</v>
      </c>
      <c r="L117" s="97" t="s">
        <v>622</v>
      </c>
      <c r="M117" s="2">
        <v>-0.05</v>
      </c>
      <c r="N117" s="97" t="s">
        <v>666</v>
      </c>
      <c r="O117" s="403">
        <v>-0.05</v>
      </c>
      <c r="P117" s="97" t="s">
        <v>679</v>
      </c>
      <c r="Q117" s="97">
        <v>5</v>
      </c>
      <c r="R117" s="97" t="s">
        <v>700</v>
      </c>
      <c r="S117" s="428"/>
      <c r="T117" s="428"/>
      <c r="U117" s="403"/>
      <c r="W117" s="403"/>
    </row>
    <row r="118" spans="1:23" x14ac:dyDescent="0.2">
      <c r="A118" s="401" t="s">
        <v>475</v>
      </c>
      <c r="B118" s="431"/>
      <c r="C118" s="432">
        <v>0.2</v>
      </c>
      <c r="D118" s="97" t="s">
        <v>482</v>
      </c>
      <c r="F118" s="271">
        <v>3</v>
      </c>
      <c r="L118" s="97" t="s">
        <v>623</v>
      </c>
      <c r="M118" s="531">
        <v>-0.125</v>
      </c>
      <c r="N118" s="97" t="s">
        <v>685</v>
      </c>
      <c r="S118" s="426"/>
      <c r="T118" s="428"/>
      <c r="U118" s="424"/>
    </row>
    <row r="119" spans="1:23" x14ac:dyDescent="0.2">
      <c r="A119" s="401" t="s">
        <v>345</v>
      </c>
      <c r="C119" s="271">
        <v>1</v>
      </c>
      <c r="D119" s="97" t="s">
        <v>477</v>
      </c>
      <c r="F119" s="271">
        <v>3</v>
      </c>
      <c r="L119" s="97" t="s">
        <v>625</v>
      </c>
      <c r="M119" s="2">
        <v>0.01</v>
      </c>
      <c r="N119" s="97" t="s">
        <v>670</v>
      </c>
      <c r="O119" s="403">
        <v>0.1</v>
      </c>
      <c r="P119" s="97" t="s">
        <v>682</v>
      </c>
      <c r="S119" s="428"/>
      <c r="T119" s="428"/>
      <c r="U119" s="403"/>
    </row>
    <row r="120" spans="1:23" x14ac:dyDescent="0.2">
      <c r="A120" s="401" t="s">
        <v>387</v>
      </c>
      <c r="B120" s="271" t="s">
        <v>479</v>
      </c>
      <c r="C120" s="433">
        <v>500</v>
      </c>
      <c r="D120" s="97" t="s">
        <v>478</v>
      </c>
      <c r="F120" s="271">
        <v>0</v>
      </c>
      <c r="L120" s="97" t="s">
        <v>626</v>
      </c>
      <c r="M120" s="532">
        <v>7.4999999999999997E-2</v>
      </c>
      <c r="N120" s="97" t="s">
        <v>698</v>
      </c>
      <c r="O120" s="403">
        <v>-0.05</v>
      </c>
      <c r="P120" s="97" t="s">
        <v>686</v>
      </c>
      <c r="S120" s="428"/>
      <c r="T120" s="428"/>
      <c r="U120" s="403"/>
      <c r="W120" s="403"/>
    </row>
    <row r="121" spans="1:23" x14ac:dyDescent="0.2">
      <c r="A121" s="401" t="s">
        <v>369</v>
      </c>
      <c r="B121" s="271" t="s">
        <v>479</v>
      </c>
      <c r="C121" s="435">
        <v>625</v>
      </c>
      <c r="D121" s="97" t="s">
        <v>478</v>
      </c>
      <c r="F121" s="271">
        <v>2</v>
      </c>
      <c r="M121"/>
      <c r="S121" s="426"/>
      <c r="T121" s="428"/>
    </row>
    <row r="122" spans="1:23" x14ac:dyDescent="0.2">
      <c r="A122" s="401" t="s">
        <v>436</v>
      </c>
      <c r="B122" s="431"/>
      <c r="C122" s="425">
        <v>0.12</v>
      </c>
      <c r="D122" s="97" t="s">
        <v>514</v>
      </c>
      <c r="F122" s="271">
        <v>3</v>
      </c>
      <c r="L122" s="97" t="s">
        <v>627</v>
      </c>
      <c r="M122" s="2">
        <v>0.3</v>
      </c>
      <c r="N122" s="97" t="s">
        <v>687</v>
      </c>
      <c r="S122" s="426"/>
      <c r="T122" s="428"/>
      <c r="U122" s="403"/>
    </row>
    <row r="123" spans="1:23" x14ac:dyDescent="0.2">
      <c r="L123" s="97" t="s">
        <v>629</v>
      </c>
      <c r="M123">
        <v>1.25</v>
      </c>
      <c r="N123" s="97" t="s">
        <v>702</v>
      </c>
      <c r="S123" s="428"/>
      <c r="T123" s="428"/>
      <c r="U123" s="403"/>
    </row>
    <row r="124" spans="1:23" x14ac:dyDescent="0.2">
      <c r="A124" s="400" t="s">
        <v>276</v>
      </c>
      <c r="L124" s="97" t="s">
        <v>631</v>
      </c>
      <c r="M124" s="531">
        <v>-7.4999999999999997E-2</v>
      </c>
      <c r="N124" s="97" t="s">
        <v>686</v>
      </c>
      <c r="O124" s="424">
        <v>7.4999999999999997E-3</v>
      </c>
      <c r="P124" s="97" t="s">
        <v>783</v>
      </c>
      <c r="S124" s="428"/>
      <c r="T124" s="428"/>
      <c r="U124" s="403"/>
    </row>
    <row r="125" spans="1:23" x14ac:dyDescent="0.2">
      <c r="A125" s="401" t="s">
        <v>493</v>
      </c>
      <c r="B125" s="97">
        <v>20</v>
      </c>
      <c r="L125" s="97" t="s">
        <v>632</v>
      </c>
      <c r="M125" s="531">
        <v>2.5000000000000001E-2</v>
      </c>
      <c r="N125" s="97" t="s">
        <v>689</v>
      </c>
      <c r="S125" s="426"/>
      <c r="T125" s="428"/>
      <c r="U125" s="424"/>
    </row>
    <row r="126" spans="1:23" x14ac:dyDescent="0.2">
      <c r="A126" s="401" t="s">
        <v>491</v>
      </c>
      <c r="B126" s="97">
        <v>0</v>
      </c>
      <c r="C126" s="97" t="s">
        <v>492</v>
      </c>
      <c r="L126" s="97" t="s">
        <v>633</v>
      </c>
      <c r="M126" s="531">
        <v>-2.5000000000000001E-2</v>
      </c>
      <c r="N126" s="97" t="s">
        <v>662</v>
      </c>
      <c r="O126" s="6">
        <v>2</v>
      </c>
      <c r="P126" s="6" t="s">
        <v>701</v>
      </c>
      <c r="S126" s="426"/>
      <c r="T126" s="428"/>
      <c r="U126" s="424"/>
    </row>
    <row r="127" spans="1:23" x14ac:dyDescent="0.2">
      <c r="M127"/>
      <c r="S127" s="426"/>
      <c r="T127" s="428"/>
    </row>
    <row r="128" spans="1:23" x14ac:dyDescent="0.2">
      <c r="A128" s="400" t="s">
        <v>785</v>
      </c>
      <c r="L128" s="97" t="s">
        <v>635</v>
      </c>
      <c r="M128" s="2">
        <v>0.6</v>
      </c>
      <c r="N128" s="97" t="s">
        <v>784</v>
      </c>
      <c r="S128" s="428"/>
      <c r="T128" s="428"/>
    </row>
    <row r="129" spans="1:23" x14ac:dyDescent="0.2">
      <c r="A129" s="401" t="s">
        <v>89</v>
      </c>
      <c r="B129" s="97" t="s">
        <v>3</v>
      </c>
      <c r="L129" s="97" t="s">
        <v>636</v>
      </c>
      <c r="M129" s="531">
        <v>-7.4999999999999997E-2</v>
      </c>
      <c r="N129" s="97" t="s">
        <v>686</v>
      </c>
      <c r="S129" s="426"/>
      <c r="T129" s="428"/>
      <c r="U129" s="424"/>
    </row>
    <row r="130" spans="1:23" x14ac:dyDescent="0.2">
      <c r="A130" s="401" t="s">
        <v>90</v>
      </c>
      <c r="B130" s="97" t="s">
        <v>3</v>
      </c>
      <c r="L130" s="97" t="s">
        <v>638</v>
      </c>
      <c r="M130">
        <v>2</v>
      </c>
      <c r="N130" s="97" t="s">
        <v>703</v>
      </c>
      <c r="S130" s="426"/>
      <c r="T130" s="428"/>
    </row>
    <row r="131" spans="1:23" x14ac:dyDescent="0.2">
      <c r="A131" s="401" t="s">
        <v>91</v>
      </c>
      <c r="B131" s="97" t="s">
        <v>3</v>
      </c>
      <c r="L131" s="97" t="s">
        <v>640</v>
      </c>
      <c r="M131" s="2">
        <v>0.3</v>
      </c>
      <c r="N131" s="97" t="s">
        <v>690</v>
      </c>
      <c r="S131" s="428"/>
      <c r="T131" s="428"/>
      <c r="U131" s="403"/>
    </row>
    <row r="132" spans="1:23" x14ac:dyDescent="0.2">
      <c r="A132" s="401" t="s">
        <v>92</v>
      </c>
      <c r="B132" s="97" t="s">
        <v>3</v>
      </c>
      <c r="M132"/>
      <c r="S132" s="426"/>
      <c r="T132" s="428"/>
    </row>
    <row r="133" spans="1:23" x14ac:dyDescent="0.2">
      <c r="A133" s="401" t="s">
        <v>93</v>
      </c>
      <c r="B133" s="97" t="s">
        <v>3</v>
      </c>
      <c r="L133" s="97" t="s">
        <v>641</v>
      </c>
      <c r="M133" s="2">
        <v>-0.15</v>
      </c>
      <c r="N133" s="97" t="s">
        <v>699</v>
      </c>
      <c r="O133" s="403">
        <v>-0.05</v>
      </c>
      <c r="P133" s="97" t="s">
        <v>676</v>
      </c>
      <c r="S133" s="426"/>
      <c r="T133" s="428"/>
      <c r="U133" s="403"/>
      <c r="W133" s="403"/>
    </row>
    <row r="134" spans="1:23" x14ac:dyDescent="0.2">
      <c r="A134" s="401" t="s">
        <v>94</v>
      </c>
      <c r="B134" s="97" t="s">
        <v>3</v>
      </c>
      <c r="L134" s="97" t="s">
        <v>643</v>
      </c>
      <c r="M134" s="531">
        <v>-2.5000000000000001E-2</v>
      </c>
      <c r="N134" s="97" t="s">
        <v>666</v>
      </c>
      <c r="S134" s="426"/>
      <c r="T134" s="428"/>
      <c r="U134" s="424"/>
    </row>
    <row r="135" spans="1:23" x14ac:dyDescent="0.2">
      <c r="A135" s="401" t="s">
        <v>95</v>
      </c>
      <c r="B135" s="97" t="s">
        <v>3</v>
      </c>
      <c r="L135" s="97" t="s">
        <v>644</v>
      </c>
      <c r="M135" s="2">
        <v>-0.25</v>
      </c>
      <c r="N135" s="97" t="s">
        <v>691</v>
      </c>
      <c r="S135" s="426"/>
      <c r="T135" s="428"/>
      <c r="U135" s="403"/>
    </row>
    <row r="136" spans="1:23" x14ac:dyDescent="0.2">
      <c r="A136" s="401" t="s">
        <v>96</v>
      </c>
      <c r="B136" s="97" t="s">
        <v>7</v>
      </c>
      <c r="M136"/>
      <c r="S136" s="426"/>
      <c r="T136" s="428"/>
    </row>
    <row r="137" spans="1:23" x14ac:dyDescent="0.2">
      <c r="A137" s="401" t="s">
        <v>97</v>
      </c>
      <c r="B137" s="97" t="s">
        <v>3</v>
      </c>
      <c r="L137" s="97" t="s">
        <v>645</v>
      </c>
      <c r="M137" s="2">
        <v>0.05</v>
      </c>
      <c r="N137" s="97" t="s">
        <v>688</v>
      </c>
      <c r="S137" s="428"/>
      <c r="T137" s="428"/>
      <c r="U137" s="424"/>
    </row>
    <row r="138" spans="1:23" x14ac:dyDescent="0.2">
      <c r="A138" s="401" t="s">
        <v>29</v>
      </c>
      <c r="B138" s="97" t="s">
        <v>3</v>
      </c>
      <c r="L138" s="97" t="s">
        <v>647</v>
      </c>
      <c r="M138" s="531">
        <v>-7.4999999999999997E-2</v>
      </c>
      <c r="N138" s="97" t="s">
        <v>685</v>
      </c>
      <c r="S138" s="428"/>
      <c r="T138" s="428"/>
      <c r="U138" s="403"/>
    </row>
    <row r="139" spans="1:23" x14ac:dyDescent="0.2">
      <c r="A139" s="401" t="s">
        <v>99</v>
      </c>
      <c r="B139" s="97" t="s">
        <v>3</v>
      </c>
      <c r="M139"/>
      <c r="T139" s="91"/>
    </row>
    <row r="140" spans="1:23" x14ac:dyDescent="0.2">
      <c r="A140" s="401" t="s">
        <v>100</v>
      </c>
      <c r="B140" s="97" t="s">
        <v>3</v>
      </c>
      <c r="L140" s="97" t="s">
        <v>648</v>
      </c>
      <c r="M140" s="2">
        <v>-0.05</v>
      </c>
      <c r="N140" s="97" t="s">
        <v>686</v>
      </c>
      <c r="T140" s="91"/>
      <c r="U140" s="403"/>
    </row>
    <row r="141" spans="1:23" x14ac:dyDescent="0.2">
      <c r="A141" s="401" t="s">
        <v>101</v>
      </c>
      <c r="B141" s="97" t="s">
        <v>3</v>
      </c>
    </row>
    <row r="142" spans="1:23" x14ac:dyDescent="0.2">
      <c r="A142" s="401" t="s">
        <v>102</v>
      </c>
      <c r="B142" s="97" t="s">
        <v>3</v>
      </c>
    </row>
    <row r="143" spans="1:23" x14ac:dyDescent="0.2">
      <c r="A143" s="401" t="s">
        <v>103</v>
      </c>
      <c r="B143" s="97" t="s">
        <v>3</v>
      </c>
    </row>
    <row r="144" spans="1:23" x14ac:dyDescent="0.2">
      <c r="A144" s="401" t="s">
        <v>104</v>
      </c>
      <c r="B144" s="97" t="s">
        <v>3</v>
      </c>
    </row>
    <row r="145" spans="1:13" x14ac:dyDescent="0.2">
      <c r="A145" s="401" t="s">
        <v>341</v>
      </c>
      <c r="B145" s="97" t="s">
        <v>3</v>
      </c>
      <c r="L145" s="426"/>
      <c r="M145" s="403"/>
    </row>
    <row r="146" spans="1:13" x14ac:dyDescent="0.2">
      <c r="A146" s="401" t="s">
        <v>355</v>
      </c>
      <c r="B146" s="97" t="s">
        <v>3</v>
      </c>
      <c r="L146" s="426"/>
    </row>
    <row r="147" spans="1:13" x14ac:dyDescent="0.2">
      <c r="A147" s="401" t="s">
        <v>147</v>
      </c>
      <c r="B147" s="97" t="s">
        <v>3</v>
      </c>
      <c r="L147" s="426"/>
      <c r="M147" s="403"/>
    </row>
    <row r="148" spans="1:13" x14ac:dyDescent="0.2">
      <c r="A148" s="401" t="s">
        <v>515</v>
      </c>
      <c r="B148" s="97" t="s">
        <v>12</v>
      </c>
    </row>
    <row r="150" spans="1:13" x14ac:dyDescent="0.2">
      <c r="A150" s="401" t="s">
        <v>1089</v>
      </c>
    </row>
    <row r="151" spans="1:13" x14ac:dyDescent="0.2">
      <c r="A151" s="401" t="s">
        <v>2</v>
      </c>
      <c r="B151" s="97">
        <v>1</v>
      </c>
    </row>
    <row r="152" spans="1:13" x14ac:dyDescent="0.2">
      <c r="A152" s="401" t="s">
        <v>7</v>
      </c>
      <c r="B152" s="97">
        <v>2</v>
      </c>
    </row>
    <row r="153" spans="1:13" x14ac:dyDescent="0.2">
      <c r="A153" s="401" t="s">
        <v>3</v>
      </c>
      <c r="B153" s="97">
        <v>2</v>
      </c>
    </row>
    <row r="154" spans="1:13" x14ac:dyDescent="0.2">
      <c r="A154" s="401" t="s">
        <v>4</v>
      </c>
      <c r="B154" s="97">
        <v>12</v>
      </c>
    </row>
    <row r="156" spans="1:13" x14ac:dyDescent="0.2">
      <c r="A156" s="400" t="s">
        <v>1090</v>
      </c>
    </row>
    <row r="157" spans="1:13" x14ac:dyDescent="0.2">
      <c r="A157" s="401" t="s">
        <v>290</v>
      </c>
      <c r="B157" s="403">
        <v>0.75</v>
      </c>
    </row>
  </sheetData>
  <phoneticPr fontId="0" type="noConversion"/>
  <conditionalFormatting sqref="J23:L23">
    <cfRule type="expression" dxfId="33" priority="1" stopIfTrue="1">
      <formula>$A$1272&lt;0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sheetView>
  </sheetViews>
  <sheetFormatPr defaultRowHeight="19.5" customHeight="1" x14ac:dyDescent="0.2"/>
  <cols>
    <col min="1" max="1" width="15.7109375" style="470"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6" customWidth="1"/>
    <col min="25" max="26" width="7" style="360" customWidth="1"/>
    <col min="27" max="16384" width="9.140625" style="360"/>
  </cols>
  <sheetData>
    <row r="1" spans="1:26" s="436" customFormat="1" ht="19.5" customHeight="1" x14ac:dyDescent="0.2">
      <c r="A1" s="436" t="s">
        <v>294</v>
      </c>
      <c r="E1" s="437"/>
      <c r="F1" s="437"/>
      <c r="G1" s="437"/>
      <c r="X1" s="438"/>
    </row>
    <row r="2" spans="1:26" s="439" customFormat="1" ht="19.5" customHeight="1" x14ac:dyDescent="0.2">
      <c r="E2" s="440"/>
      <c r="F2" s="440"/>
      <c r="G2" s="440"/>
      <c r="X2" s="441"/>
    </row>
    <row r="3" spans="1:26" s="436" customFormat="1" ht="19.5" customHeight="1" x14ac:dyDescent="0.2">
      <c r="A3" s="436" t="s">
        <v>36</v>
      </c>
      <c r="D3" s="436" t="s">
        <v>38</v>
      </c>
      <c r="E3" s="437"/>
      <c r="F3" s="437"/>
      <c r="G3" s="437"/>
      <c r="J3" s="436" t="s">
        <v>37</v>
      </c>
      <c r="X3" s="438"/>
    </row>
    <row r="4" spans="1:26" ht="87" customHeight="1" x14ac:dyDescent="0.2">
      <c r="A4" s="436" t="s">
        <v>28</v>
      </c>
      <c r="B4" s="436" t="s">
        <v>35</v>
      </c>
      <c r="C4" s="436" t="s">
        <v>790</v>
      </c>
      <c r="D4" s="436" t="s">
        <v>791</v>
      </c>
      <c r="E4" s="437" t="s">
        <v>792</v>
      </c>
      <c r="F4" s="437" t="s">
        <v>793</v>
      </c>
      <c r="G4" s="437" t="s">
        <v>794</v>
      </c>
      <c r="H4" s="442" t="s">
        <v>795</v>
      </c>
      <c r="I4" s="442" t="s">
        <v>242</v>
      </c>
      <c r="J4" s="443" t="s">
        <v>175</v>
      </c>
      <c r="K4" s="443" t="s">
        <v>105</v>
      </c>
      <c r="L4" s="443" t="s">
        <v>172</v>
      </c>
      <c r="M4" s="443" t="s">
        <v>107</v>
      </c>
      <c r="N4" s="443" t="s">
        <v>108</v>
      </c>
      <c r="O4" s="443" t="s">
        <v>109</v>
      </c>
      <c r="P4" s="443" t="s">
        <v>110</v>
      </c>
      <c r="Q4" s="443" t="s">
        <v>111</v>
      </c>
      <c r="R4" s="443" t="s">
        <v>112</v>
      </c>
      <c r="S4" s="443" t="s">
        <v>32</v>
      </c>
      <c r="T4" s="443" t="s">
        <v>31</v>
      </c>
      <c r="U4" s="444" t="s">
        <v>173</v>
      </c>
      <c r="V4" s="443" t="s">
        <v>174</v>
      </c>
      <c r="W4" s="443" t="s">
        <v>451</v>
      </c>
      <c r="X4" s="443" t="s">
        <v>503</v>
      </c>
      <c r="Y4" s="443" t="s">
        <v>504</v>
      </c>
      <c r="Z4" s="443" t="s">
        <v>541</v>
      </c>
    </row>
    <row r="5" spans="1:26" s="451" customFormat="1" ht="19.5" customHeight="1" x14ac:dyDescent="0.2">
      <c r="A5" s="439" t="s">
        <v>89</v>
      </c>
      <c r="B5" s="445" t="s">
        <v>98</v>
      </c>
      <c r="C5" s="439" t="s">
        <v>255</v>
      </c>
      <c r="D5" s="446" t="s">
        <v>113</v>
      </c>
      <c r="E5" s="440">
        <v>3</v>
      </c>
      <c r="F5" s="440"/>
      <c r="G5" s="440">
        <v>275</v>
      </c>
      <c r="H5" s="439">
        <v>25</v>
      </c>
      <c r="I5" s="445">
        <v>5</v>
      </c>
      <c r="J5" s="447"/>
      <c r="K5" s="448"/>
      <c r="L5" s="448"/>
      <c r="M5" s="448">
        <v>0.05</v>
      </c>
      <c r="N5" s="448"/>
      <c r="O5" s="448"/>
      <c r="P5" s="448"/>
      <c r="Q5" s="448"/>
      <c r="R5" s="448"/>
      <c r="S5" s="448"/>
      <c r="T5" s="448"/>
      <c r="U5" s="448"/>
      <c r="V5" s="448"/>
      <c r="W5" s="440"/>
      <c r="X5" s="449"/>
      <c r="Y5" s="440"/>
      <c r="Z5" s="450"/>
    </row>
    <row r="6" spans="1:26" s="439" customFormat="1" ht="19.5" customHeight="1" x14ac:dyDescent="0.2">
      <c r="A6" s="439" t="s">
        <v>89</v>
      </c>
      <c r="B6" s="445" t="s">
        <v>98</v>
      </c>
      <c r="C6" s="439" t="s">
        <v>255</v>
      </c>
      <c r="D6" s="446" t="s">
        <v>114</v>
      </c>
      <c r="E6" s="440"/>
      <c r="F6" s="440">
        <v>3</v>
      </c>
      <c r="G6" s="440">
        <v>275</v>
      </c>
      <c r="H6" s="439">
        <v>15</v>
      </c>
      <c r="I6" s="445">
        <v>5</v>
      </c>
      <c r="J6" s="447"/>
      <c r="K6" s="448"/>
      <c r="L6" s="448"/>
      <c r="M6" s="448"/>
      <c r="N6" s="448"/>
      <c r="O6" s="448"/>
      <c r="P6" s="448"/>
      <c r="Q6" s="448"/>
      <c r="R6" s="448"/>
      <c r="S6" s="448"/>
      <c r="T6" s="448"/>
      <c r="U6" s="448"/>
      <c r="V6" s="448"/>
      <c r="W6" s="440"/>
      <c r="X6" s="449"/>
      <c r="Y6" s="440"/>
      <c r="Z6" s="450"/>
    </row>
    <row r="7" spans="1:26" s="439" customFormat="1" ht="19.5" customHeight="1" x14ac:dyDescent="0.2">
      <c r="A7" s="439" t="s">
        <v>89</v>
      </c>
      <c r="B7" s="445" t="s">
        <v>98</v>
      </c>
      <c r="C7" s="439" t="s">
        <v>255</v>
      </c>
      <c r="D7" s="446" t="s">
        <v>115</v>
      </c>
      <c r="E7" s="440">
        <v>2</v>
      </c>
      <c r="F7" s="440">
        <v>6</v>
      </c>
      <c r="G7" s="440">
        <v>1025</v>
      </c>
      <c r="H7" s="439">
        <v>75</v>
      </c>
      <c r="I7" s="445">
        <f>1.8 * MIN(6, MAX(E7,F7)) + 0.45 * MIN(6, MIN(E7,F7)) + IF(E7&gt;6, (E7-6)*0.2) + IF(F7&gt;6, (F7-6)*0.2)</f>
        <v>11.700000000000001</v>
      </c>
      <c r="J7" s="447"/>
      <c r="K7" s="448"/>
      <c r="L7" s="448"/>
      <c r="M7" s="448"/>
      <c r="N7" s="448"/>
      <c r="O7" s="448"/>
      <c r="P7" s="448"/>
      <c r="Q7" s="448"/>
      <c r="R7" s="448"/>
      <c r="S7" s="448"/>
      <c r="T7" s="448"/>
      <c r="U7" s="448"/>
      <c r="V7" s="448"/>
      <c r="W7" s="440"/>
      <c r="X7" s="449"/>
      <c r="Y7" s="440"/>
      <c r="Z7" s="450"/>
    </row>
    <row r="8" spans="1:26" s="454" customFormat="1" ht="19.5" customHeight="1" x14ac:dyDescent="0.2">
      <c r="A8" s="439" t="s">
        <v>89</v>
      </c>
      <c r="B8" s="445" t="s">
        <v>98</v>
      </c>
      <c r="C8" s="439" t="s">
        <v>255</v>
      </c>
      <c r="D8" s="452" t="s">
        <v>116</v>
      </c>
      <c r="E8" s="453">
        <v>6</v>
      </c>
      <c r="F8" s="453">
        <v>3</v>
      </c>
      <c r="G8" s="453">
        <v>1250</v>
      </c>
      <c r="H8" s="454">
        <v>100</v>
      </c>
      <c r="I8" s="445">
        <f>1.8 * MIN(6, MAX(E8,F8)) + 0.45 * MIN(6, MIN(E8,F8)) + IF(E8&gt;6, (E8-6)*0.2) + IF(F8&gt;6, (F8-6)*0.2)</f>
        <v>12.15</v>
      </c>
      <c r="J8" s="455"/>
      <c r="K8" s="456"/>
      <c r="L8" s="456"/>
      <c r="M8" s="456"/>
      <c r="N8" s="456"/>
      <c r="O8" s="456"/>
      <c r="P8" s="456"/>
      <c r="Q8" s="456"/>
      <c r="R8" s="456"/>
      <c r="S8" s="456"/>
      <c r="T8" s="456"/>
      <c r="U8" s="456"/>
      <c r="V8" s="456"/>
      <c r="W8" s="453"/>
      <c r="X8" s="457"/>
      <c r="Y8" s="453"/>
      <c r="Z8" s="458"/>
    </row>
    <row r="9" spans="1:26" s="451" customFormat="1" ht="19.5" customHeight="1" x14ac:dyDescent="0.2">
      <c r="A9" s="451" t="s">
        <v>90</v>
      </c>
      <c r="B9" s="459" t="s">
        <v>30</v>
      </c>
      <c r="C9" s="451" t="s">
        <v>255</v>
      </c>
      <c r="D9" s="460" t="s">
        <v>117</v>
      </c>
      <c r="E9" s="461">
        <v>3</v>
      </c>
      <c r="F9" s="461"/>
      <c r="G9" s="461">
        <v>275</v>
      </c>
      <c r="H9" s="451">
        <v>25</v>
      </c>
      <c r="I9" s="459">
        <v>5</v>
      </c>
      <c r="J9" s="462"/>
      <c r="K9" s="463"/>
      <c r="L9" s="463"/>
      <c r="M9" s="463"/>
      <c r="N9" s="463"/>
      <c r="O9" s="463">
        <v>0.1</v>
      </c>
      <c r="P9" s="463"/>
      <c r="Q9" s="463"/>
      <c r="R9" s="463"/>
      <c r="S9" s="463"/>
      <c r="T9" s="463"/>
      <c r="U9" s="463"/>
      <c r="V9" s="463"/>
      <c r="W9" s="440"/>
      <c r="X9" s="449"/>
      <c r="Y9" s="461"/>
      <c r="Z9" s="464"/>
    </row>
    <row r="10" spans="1:26" s="439" customFormat="1" ht="19.5" customHeight="1" x14ac:dyDescent="0.2">
      <c r="A10" s="439" t="s">
        <v>90</v>
      </c>
      <c r="B10" s="445" t="s">
        <v>30</v>
      </c>
      <c r="C10" s="439" t="s">
        <v>255</v>
      </c>
      <c r="D10" s="446" t="s">
        <v>118</v>
      </c>
      <c r="E10" s="440"/>
      <c r="F10" s="440">
        <v>3</v>
      </c>
      <c r="G10" s="440">
        <v>275</v>
      </c>
      <c r="H10" s="439">
        <v>15</v>
      </c>
      <c r="I10" s="445">
        <v>5</v>
      </c>
      <c r="J10" s="447"/>
      <c r="K10" s="448"/>
      <c r="L10" s="448"/>
      <c r="M10" s="448"/>
      <c r="N10" s="448"/>
      <c r="O10" s="448"/>
      <c r="P10" s="448"/>
      <c r="Q10" s="448"/>
      <c r="R10" s="448"/>
      <c r="S10" s="448"/>
      <c r="T10" s="448"/>
      <c r="U10" s="448"/>
      <c r="V10" s="448"/>
      <c r="W10" s="440"/>
      <c r="X10" s="449"/>
      <c r="Y10" s="440"/>
      <c r="Z10" s="450"/>
    </row>
    <row r="11" spans="1:26" s="439" customFormat="1" ht="19.5" customHeight="1" x14ac:dyDescent="0.2">
      <c r="A11" s="439" t="s">
        <v>90</v>
      </c>
      <c r="B11" s="445" t="s">
        <v>30</v>
      </c>
      <c r="C11" s="439" t="s">
        <v>255</v>
      </c>
      <c r="D11" s="446" t="s">
        <v>119</v>
      </c>
      <c r="E11" s="440">
        <v>2</v>
      </c>
      <c r="F11" s="440">
        <v>6</v>
      </c>
      <c r="G11" s="440">
        <v>1025</v>
      </c>
      <c r="H11" s="439">
        <v>75</v>
      </c>
      <c r="I11" s="445">
        <f>1.8 * MIN(6, MAX(E11,F11)) + 0.45 * MIN(6, MIN(E11,F11)) + IF(E11&gt;6, (E11-6)*0.2) + IF(F11&gt;6, (F11-6)*0.2)</f>
        <v>11.700000000000001</v>
      </c>
      <c r="J11" s="447"/>
      <c r="K11" s="448"/>
      <c r="L11" s="448"/>
      <c r="M11" s="448"/>
      <c r="N11" s="448"/>
      <c r="O11" s="448"/>
      <c r="P11" s="448"/>
      <c r="Q11" s="448"/>
      <c r="R11" s="448"/>
      <c r="S11" s="448"/>
      <c r="T11" s="448"/>
      <c r="U11" s="448"/>
      <c r="V11" s="448"/>
      <c r="W11" s="440"/>
      <c r="X11" s="449"/>
      <c r="Y11" s="440"/>
      <c r="Z11" s="450"/>
    </row>
    <row r="12" spans="1:26" s="439" customFormat="1" ht="19.5" customHeight="1" x14ac:dyDescent="0.2">
      <c r="A12" s="439" t="s">
        <v>90</v>
      </c>
      <c r="B12" s="445" t="s">
        <v>30</v>
      </c>
      <c r="C12" s="439" t="s">
        <v>255</v>
      </c>
      <c r="D12" s="446" t="s">
        <v>120</v>
      </c>
      <c r="E12" s="440">
        <v>6</v>
      </c>
      <c r="F12" s="440">
        <v>3</v>
      </c>
      <c r="G12" s="440">
        <v>1225</v>
      </c>
      <c r="H12" s="439">
        <v>100</v>
      </c>
      <c r="I12" s="445">
        <f>1.8 * MIN(6, MAX(E12,F12)) + 0.45 * MIN(6, MIN(E12,F12)) + IF(E12&gt;6, (E12-6)*0.2) + IF(F12&gt;6, (F12-6)*0.2)</f>
        <v>12.15</v>
      </c>
      <c r="J12" s="447"/>
      <c r="K12" s="448"/>
      <c r="L12" s="448"/>
      <c r="M12" s="448"/>
      <c r="N12" s="448"/>
      <c r="O12" s="448"/>
      <c r="P12" s="448"/>
      <c r="Q12" s="448"/>
      <c r="R12" s="448"/>
      <c r="S12" s="448"/>
      <c r="T12" s="448"/>
      <c r="U12" s="448"/>
      <c r="V12" s="448"/>
      <c r="W12" s="453"/>
      <c r="X12" s="457"/>
      <c r="Y12" s="440"/>
      <c r="Z12" s="450"/>
    </row>
    <row r="13" spans="1:26" s="451" customFormat="1" ht="19.5" customHeight="1" x14ac:dyDescent="0.2">
      <c r="A13" s="451" t="s">
        <v>91</v>
      </c>
      <c r="B13" s="459" t="s">
        <v>98</v>
      </c>
      <c r="C13" s="451" t="s">
        <v>257</v>
      </c>
      <c r="D13" s="460" t="s">
        <v>121</v>
      </c>
      <c r="E13" s="461">
        <v>3</v>
      </c>
      <c r="F13" s="461"/>
      <c r="G13" s="461">
        <v>275</v>
      </c>
      <c r="H13" s="451">
        <v>25</v>
      </c>
      <c r="I13" s="459">
        <v>5</v>
      </c>
      <c r="J13" s="462">
        <v>7.4999999999999997E-2</v>
      </c>
      <c r="K13" s="463"/>
      <c r="L13" s="463"/>
      <c r="M13" s="463"/>
      <c r="N13" s="463"/>
      <c r="O13" s="463"/>
      <c r="P13" s="463">
        <v>0.1</v>
      </c>
      <c r="Q13" s="463"/>
      <c r="R13" s="463"/>
      <c r="S13" s="463"/>
      <c r="T13" s="463"/>
      <c r="U13" s="463"/>
      <c r="V13" s="463"/>
      <c r="W13" s="448">
        <v>0.15</v>
      </c>
      <c r="X13" s="449"/>
      <c r="Y13" s="461"/>
      <c r="Z13" s="464"/>
    </row>
    <row r="14" spans="1:26" s="439" customFormat="1" ht="19.5" customHeight="1" x14ac:dyDescent="0.2">
      <c r="A14" s="439" t="s">
        <v>91</v>
      </c>
      <c r="B14" s="445" t="s">
        <v>98</v>
      </c>
      <c r="C14" s="439" t="s">
        <v>257</v>
      </c>
      <c r="D14" s="446" t="s">
        <v>122</v>
      </c>
      <c r="E14" s="440"/>
      <c r="F14" s="440">
        <v>3</v>
      </c>
      <c r="G14" s="440">
        <v>350</v>
      </c>
      <c r="H14" s="439">
        <v>20</v>
      </c>
      <c r="I14" s="445">
        <v>5</v>
      </c>
      <c r="J14" s="447"/>
      <c r="K14" s="448"/>
      <c r="L14" s="448"/>
      <c r="M14" s="448"/>
      <c r="N14" s="448"/>
      <c r="O14" s="448"/>
      <c r="P14" s="448"/>
      <c r="Q14" s="448"/>
      <c r="R14" s="448"/>
      <c r="S14" s="448"/>
      <c r="T14" s="448"/>
      <c r="U14" s="448"/>
      <c r="V14" s="448"/>
      <c r="W14" s="440"/>
      <c r="X14" s="449"/>
      <c r="Y14" s="440"/>
      <c r="Z14" s="450"/>
    </row>
    <row r="15" spans="1:26" s="439" customFormat="1" ht="19.5" customHeight="1" x14ac:dyDescent="0.2">
      <c r="A15" s="439" t="s">
        <v>91</v>
      </c>
      <c r="B15" s="445" t="s">
        <v>98</v>
      </c>
      <c r="C15" s="439" t="s">
        <v>257</v>
      </c>
      <c r="D15" s="446" t="s">
        <v>123</v>
      </c>
      <c r="E15" s="440">
        <v>4</v>
      </c>
      <c r="F15" s="440">
        <v>4</v>
      </c>
      <c r="G15" s="440">
        <v>760</v>
      </c>
      <c r="H15" s="439">
        <v>0</v>
      </c>
      <c r="I15" s="445">
        <f>1.8 * MIN(6, MAX(E15,F15)) + 0.45 * MIN(6, MIN(E15,F15)) + IF(E15&gt;6, (E15-6)*0.2) + IF(F15&gt;6, (F15-6)*0.2)</f>
        <v>9</v>
      </c>
      <c r="J15" s="447"/>
      <c r="K15" s="448"/>
      <c r="L15" s="448"/>
      <c r="M15" s="448"/>
      <c r="N15" s="448"/>
      <c r="O15" s="448"/>
      <c r="P15" s="448"/>
      <c r="Q15" s="448"/>
      <c r="R15" s="448"/>
      <c r="S15" s="448"/>
      <c r="T15" s="448"/>
      <c r="U15" s="448"/>
      <c r="V15" s="448"/>
      <c r="W15" s="440"/>
      <c r="X15" s="449"/>
      <c r="Y15" s="440"/>
      <c r="Z15" s="450"/>
    </row>
    <row r="16" spans="1:26" s="454" customFormat="1" ht="19.5" customHeight="1" x14ac:dyDescent="0.2">
      <c r="A16" s="454" t="s">
        <v>91</v>
      </c>
      <c r="B16" s="465" t="s">
        <v>98</v>
      </c>
      <c r="C16" s="454" t="s">
        <v>257</v>
      </c>
      <c r="D16" s="452" t="s">
        <v>124</v>
      </c>
      <c r="E16" s="453">
        <v>7</v>
      </c>
      <c r="F16" s="453">
        <v>2</v>
      </c>
      <c r="G16" s="453">
        <v>1250</v>
      </c>
      <c r="H16" s="454">
        <v>110</v>
      </c>
      <c r="I16" s="445">
        <f>1.8 * MIN(6, MAX(E16,F16)) + 0.45 * MIN(6, MIN(E16,F16)) + IF(E16&gt;6, (E16-6)*0.2) + IF(F16&gt;6, (F16-6)*0.2)</f>
        <v>11.9</v>
      </c>
      <c r="J16" s="455"/>
      <c r="K16" s="456"/>
      <c r="L16" s="456"/>
      <c r="M16" s="456"/>
      <c r="N16" s="456"/>
      <c r="O16" s="456"/>
      <c r="P16" s="456"/>
      <c r="Q16" s="456"/>
      <c r="R16" s="456"/>
      <c r="S16" s="456"/>
      <c r="T16" s="456"/>
      <c r="U16" s="456"/>
      <c r="V16" s="456"/>
      <c r="W16" s="453"/>
      <c r="X16" s="457"/>
      <c r="Y16" s="453"/>
      <c r="Z16" s="458"/>
    </row>
    <row r="17" spans="1:26" s="451" customFormat="1" ht="19.5" customHeight="1" x14ac:dyDescent="0.2">
      <c r="A17" s="451" t="s">
        <v>92</v>
      </c>
      <c r="B17" s="459" t="s">
        <v>98</v>
      </c>
      <c r="C17" s="451" t="s">
        <v>58</v>
      </c>
      <c r="D17" s="460" t="s">
        <v>125</v>
      </c>
      <c r="E17" s="461">
        <v>3</v>
      </c>
      <c r="F17" s="461"/>
      <c r="G17" s="461">
        <v>275</v>
      </c>
      <c r="H17" s="451">
        <v>25</v>
      </c>
      <c r="I17" s="459">
        <v>5</v>
      </c>
      <c r="J17" s="462">
        <v>-0.05</v>
      </c>
      <c r="K17" s="463"/>
      <c r="L17" s="463"/>
      <c r="M17" s="463"/>
      <c r="N17" s="463">
        <v>0.1</v>
      </c>
      <c r="O17" s="463"/>
      <c r="P17" s="463"/>
      <c r="Q17" s="463"/>
      <c r="R17" s="463"/>
      <c r="S17" s="463"/>
      <c r="T17" s="463">
        <v>0.05</v>
      </c>
      <c r="U17" s="463">
        <v>0.1</v>
      </c>
      <c r="V17" s="463">
        <v>0.1</v>
      </c>
      <c r="W17" s="440"/>
      <c r="X17" s="449"/>
      <c r="Y17" s="461"/>
      <c r="Z17" s="464"/>
    </row>
    <row r="18" spans="1:26" s="439" customFormat="1" ht="19.5" customHeight="1" x14ac:dyDescent="0.2">
      <c r="A18" s="439" t="s">
        <v>92</v>
      </c>
      <c r="B18" s="445" t="s">
        <v>98</v>
      </c>
      <c r="C18" s="439" t="s">
        <v>58</v>
      </c>
      <c r="D18" s="446" t="s">
        <v>126</v>
      </c>
      <c r="E18" s="440"/>
      <c r="F18" s="440">
        <v>4</v>
      </c>
      <c r="G18" s="440">
        <v>380</v>
      </c>
      <c r="H18" s="439">
        <v>10</v>
      </c>
      <c r="I18" s="445">
        <v>5</v>
      </c>
      <c r="J18" s="447"/>
      <c r="K18" s="448"/>
      <c r="L18" s="448"/>
      <c r="M18" s="448"/>
      <c r="N18" s="448"/>
      <c r="O18" s="448"/>
      <c r="P18" s="448"/>
      <c r="Q18" s="448"/>
      <c r="R18" s="448"/>
      <c r="S18" s="448"/>
      <c r="T18" s="448"/>
      <c r="U18" s="448"/>
      <c r="V18" s="448"/>
      <c r="W18" s="440"/>
      <c r="X18" s="449"/>
      <c r="Y18" s="440"/>
      <c r="Z18" s="450"/>
    </row>
    <row r="19" spans="1:26" s="439" customFormat="1" ht="19.5" customHeight="1" x14ac:dyDescent="0.2">
      <c r="A19" s="439" t="s">
        <v>92</v>
      </c>
      <c r="B19" s="445" t="s">
        <v>98</v>
      </c>
      <c r="C19" s="439" t="s">
        <v>58</v>
      </c>
      <c r="D19" s="446" t="s">
        <v>127</v>
      </c>
      <c r="E19" s="440">
        <v>0</v>
      </c>
      <c r="F19" s="440">
        <v>4</v>
      </c>
      <c r="G19" s="440">
        <v>1150</v>
      </c>
      <c r="H19" s="439">
        <v>0</v>
      </c>
      <c r="I19" s="445">
        <f>1.8 * MIN(6, MAX(E19,F19)) + 0.45 * MIN(6, MIN(E19,F19)) + IF(E19&gt;6, (E19-6)*0.2) + IF(F19&gt;6, (F19-6)*0.2)</f>
        <v>7.2</v>
      </c>
      <c r="J19" s="447"/>
      <c r="K19" s="448"/>
      <c r="L19" s="448"/>
      <c r="M19" s="448"/>
      <c r="N19" s="448"/>
      <c r="O19" s="448"/>
      <c r="P19" s="448"/>
      <c r="Q19" s="448"/>
      <c r="R19" s="448"/>
      <c r="S19" s="448"/>
      <c r="T19" s="448"/>
      <c r="U19" s="448"/>
      <c r="V19" s="448"/>
      <c r="W19" s="440"/>
      <c r="X19" s="449"/>
      <c r="Y19" s="440"/>
      <c r="Z19" s="450"/>
    </row>
    <row r="20" spans="1:26" s="454" customFormat="1" ht="19.5" customHeight="1" x14ac:dyDescent="0.2">
      <c r="A20" s="454" t="s">
        <v>92</v>
      </c>
      <c r="B20" s="465" t="s">
        <v>98</v>
      </c>
      <c r="C20" s="454" t="s">
        <v>58</v>
      </c>
      <c r="D20" s="452" t="s">
        <v>128</v>
      </c>
      <c r="E20" s="453">
        <v>3</v>
      </c>
      <c r="F20" s="453">
        <v>1</v>
      </c>
      <c r="G20" s="453">
        <v>1100</v>
      </c>
      <c r="H20" s="454">
        <v>0</v>
      </c>
      <c r="I20" s="445">
        <f>1.8 * MIN(6, MAX(E20,F20)) + 0.45 * MIN(6, MIN(E20,F20)) + IF(E20&gt;6, (E20-6)*0.2) + IF(F20&gt;6, (F20-6)*0.2)</f>
        <v>5.8500000000000005</v>
      </c>
      <c r="J20" s="455"/>
      <c r="K20" s="456"/>
      <c r="L20" s="456"/>
      <c r="M20" s="456"/>
      <c r="N20" s="456"/>
      <c r="O20" s="456"/>
      <c r="P20" s="456"/>
      <c r="Q20" s="456"/>
      <c r="R20" s="456"/>
      <c r="S20" s="456"/>
      <c r="T20" s="456"/>
      <c r="U20" s="456"/>
      <c r="V20" s="456"/>
      <c r="W20" s="453"/>
      <c r="X20" s="457"/>
      <c r="Y20" s="453"/>
      <c r="Z20" s="458"/>
    </row>
    <row r="21" spans="1:26" s="451" customFormat="1" ht="19.5" customHeight="1" x14ac:dyDescent="0.2">
      <c r="A21" s="451" t="s">
        <v>93</v>
      </c>
      <c r="B21" s="459" t="s">
        <v>98</v>
      </c>
      <c r="C21" s="451" t="s">
        <v>256</v>
      </c>
      <c r="D21" s="460" t="s">
        <v>129</v>
      </c>
      <c r="E21" s="461">
        <v>3</v>
      </c>
      <c r="F21" s="461"/>
      <c r="G21" s="461">
        <v>275</v>
      </c>
      <c r="H21" s="451">
        <v>15</v>
      </c>
      <c r="I21" s="459">
        <v>5</v>
      </c>
      <c r="J21" s="462">
        <v>0.05</v>
      </c>
      <c r="K21" s="463"/>
      <c r="L21" s="463"/>
      <c r="M21" s="463"/>
      <c r="N21" s="463"/>
      <c r="O21" s="463"/>
      <c r="P21" s="463"/>
      <c r="Q21" s="463"/>
      <c r="R21" s="463">
        <v>-0.3</v>
      </c>
      <c r="S21" s="463"/>
      <c r="T21" s="463"/>
      <c r="U21" s="463">
        <v>0.3</v>
      </c>
      <c r="V21" s="463"/>
      <c r="W21" s="440"/>
      <c r="X21" s="449"/>
      <c r="Y21" s="461"/>
      <c r="Z21" s="464"/>
    </row>
    <row r="22" spans="1:26" s="439" customFormat="1" ht="19.5" customHeight="1" x14ac:dyDescent="0.2">
      <c r="A22" s="439" t="s">
        <v>93</v>
      </c>
      <c r="B22" s="445" t="s">
        <v>98</v>
      </c>
      <c r="C22" s="439" t="s">
        <v>256</v>
      </c>
      <c r="D22" s="446" t="s">
        <v>130</v>
      </c>
      <c r="E22" s="440"/>
      <c r="F22" s="440">
        <v>3</v>
      </c>
      <c r="G22" s="440">
        <v>300</v>
      </c>
      <c r="H22" s="439">
        <v>0</v>
      </c>
      <c r="I22" s="445">
        <v>5</v>
      </c>
      <c r="J22" s="447"/>
      <c r="K22" s="448"/>
      <c r="L22" s="448"/>
      <c r="M22" s="448"/>
      <c r="N22" s="448"/>
      <c r="O22" s="448"/>
      <c r="P22" s="448"/>
      <c r="Q22" s="448"/>
      <c r="R22" s="448"/>
      <c r="S22" s="448"/>
      <c r="T22" s="448"/>
      <c r="U22" s="448"/>
      <c r="V22" s="448"/>
      <c r="W22" s="440"/>
      <c r="X22" s="449"/>
      <c r="Y22" s="440"/>
      <c r="Z22" s="450"/>
    </row>
    <row r="23" spans="1:26" s="439" customFormat="1" ht="19.5" customHeight="1" x14ac:dyDescent="0.2">
      <c r="A23" s="439" t="s">
        <v>93</v>
      </c>
      <c r="B23" s="445" t="s">
        <v>98</v>
      </c>
      <c r="C23" s="439" t="s">
        <v>256</v>
      </c>
      <c r="D23" s="446" t="s">
        <v>132</v>
      </c>
      <c r="E23" s="440">
        <v>2</v>
      </c>
      <c r="F23" s="440">
        <v>4</v>
      </c>
      <c r="G23" s="440">
        <v>900</v>
      </c>
      <c r="H23" s="439">
        <v>30</v>
      </c>
      <c r="I23" s="445">
        <v>8.1</v>
      </c>
      <c r="J23" s="447"/>
      <c r="K23" s="440"/>
      <c r="L23" s="440"/>
      <c r="M23" s="440"/>
      <c r="N23" s="440"/>
      <c r="O23" s="440"/>
      <c r="P23" s="440"/>
      <c r="Q23" s="448"/>
      <c r="R23" s="448"/>
      <c r="S23" s="448"/>
      <c r="T23" s="448"/>
      <c r="U23" s="448"/>
      <c r="V23" s="448"/>
      <c r="W23" s="440"/>
      <c r="X23" s="449"/>
      <c r="Y23" s="440"/>
      <c r="Z23" s="450"/>
    </row>
    <row r="24" spans="1:26" s="454" customFormat="1" ht="19.5" customHeight="1" x14ac:dyDescent="0.2">
      <c r="A24" s="454" t="s">
        <v>93</v>
      </c>
      <c r="B24" s="465" t="s">
        <v>98</v>
      </c>
      <c r="C24" s="454" t="s">
        <v>256</v>
      </c>
      <c r="D24" s="446" t="s">
        <v>131</v>
      </c>
      <c r="E24" s="440">
        <v>5</v>
      </c>
      <c r="F24" s="440">
        <v>3</v>
      </c>
      <c r="G24" s="440">
        <v>900</v>
      </c>
      <c r="H24" s="439">
        <v>25</v>
      </c>
      <c r="I24" s="445">
        <f>1.8 * MIN(6, MAX(E24,F24)) + 0.45 * MIN(6, MIN(E24,F24)) + IF(E24&gt;6, (E24-6)*0.2) + IF(F24&gt;6, (F24-6)*0.2)</f>
        <v>10.35</v>
      </c>
      <c r="J24" s="455"/>
      <c r="K24" s="456"/>
      <c r="L24" s="456"/>
      <c r="M24" s="456"/>
      <c r="N24" s="456"/>
      <c r="O24" s="456"/>
      <c r="P24" s="456"/>
      <c r="Q24" s="456"/>
      <c r="R24" s="456"/>
      <c r="S24" s="456"/>
      <c r="T24" s="456"/>
      <c r="U24" s="456"/>
      <c r="V24" s="456"/>
      <c r="W24" s="453"/>
      <c r="X24" s="457"/>
      <c r="Y24" s="453"/>
      <c r="Z24" s="458"/>
    </row>
    <row r="25" spans="1:26" s="451" customFormat="1" ht="19.5" customHeight="1" x14ac:dyDescent="0.2">
      <c r="A25" s="451" t="s">
        <v>94</v>
      </c>
      <c r="B25" s="459" t="s">
        <v>98</v>
      </c>
      <c r="C25" s="451" t="s">
        <v>257</v>
      </c>
      <c r="D25" s="460" t="s">
        <v>133</v>
      </c>
      <c r="E25" s="461">
        <v>4</v>
      </c>
      <c r="F25" s="461"/>
      <c r="G25" s="461">
        <v>200</v>
      </c>
      <c r="H25" s="451">
        <v>50</v>
      </c>
      <c r="I25" s="459">
        <v>5</v>
      </c>
      <c r="J25" s="462">
        <v>-0.05</v>
      </c>
      <c r="K25" s="463"/>
      <c r="L25" s="463"/>
      <c r="M25" s="463"/>
      <c r="N25" s="463"/>
      <c r="O25" s="463"/>
      <c r="P25" s="463"/>
      <c r="Q25" s="463">
        <v>0.05</v>
      </c>
      <c r="R25" s="463">
        <v>-0.2</v>
      </c>
      <c r="S25" s="463"/>
      <c r="T25" s="462">
        <v>7.4999999999999997E-2</v>
      </c>
      <c r="U25" s="463"/>
      <c r="V25" s="463"/>
      <c r="W25" s="440"/>
      <c r="X25" s="449"/>
      <c r="Y25" s="461"/>
      <c r="Z25" s="464"/>
    </row>
    <row r="26" spans="1:26" s="439" customFormat="1" ht="19.5" customHeight="1" x14ac:dyDescent="0.2">
      <c r="A26" s="439" t="s">
        <v>94</v>
      </c>
      <c r="B26" s="445" t="s">
        <v>98</v>
      </c>
      <c r="C26" s="439" t="s">
        <v>257</v>
      </c>
      <c r="D26" s="446" t="s">
        <v>134</v>
      </c>
      <c r="E26" s="440"/>
      <c r="F26" s="440">
        <v>3</v>
      </c>
      <c r="G26" s="440">
        <v>300</v>
      </c>
      <c r="H26" s="439">
        <v>5</v>
      </c>
      <c r="I26" s="445">
        <v>5</v>
      </c>
      <c r="J26" s="447"/>
      <c r="K26" s="448"/>
      <c r="L26" s="448"/>
      <c r="M26" s="448"/>
      <c r="N26" s="448"/>
      <c r="O26" s="448"/>
      <c r="P26" s="448"/>
      <c r="Q26" s="448"/>
      <c r="R26" s="448"/>
      <c r="S26" s="448"/>
      <c r="T26" s="448"/>
      <c r="U26" s="448"/>
      <c r="V26" s="448"/>
      <c r="W26" s="440"/>
      <c r="X26" s="449"/>
      <c r="Y26" s="440"/>
      <c r="Z26" s="450"/>
    </row>
    <row r="27" spans="1:26" s="439" customFormat="1" ht="19.5" customHeight="1" x14ac:dyDescent="0.2">
      <c r="A27" s="439" t="s">
        <v>94</v>
      </c>
      <c r="B27" s="445" t="s">
        <v>98</v>
      </c>
      <c r="C27" s="439" t="s">
        <v>257</v>
      </c>
      <c r="D27" s="446" t="s">
        <v>135</v>
      </c>
      <c r="E27" s="440">
        <v>2</v>
      </c>
      <c r="F27" s="440">
        <v>4</v>
      </c>
      <c r="G27" s="440">
        <v>675</v>
      </c>
      <c r="H27" s="439">
        <v>330</v>
      </c>
      <c r="I27" s="445">
        <f>1.8 * MIN(6, MAX(E27,F27)) + 0.45 * MIN(6, MIN(E27,F27)) + IF(E27&gt;6, (E27-6)*0.2) + IF(F27&gt;6, (F27-6)*0.2)</f>
        <v>8.1</v>
      </c>
      <c r="J27" s="447"/>
      <c r="K27" s="448"/>
      <c r="L27" s="448"/>
      <c r="M27" s="448"/>
      <c r="N27" s="448"/>
      <c r="O27" s="448"/>
      <c r="P27" s="448"/>
      <c r="Q27" s="448"/>
      <c r="R27" s="448"/>
      <c r="S27" s="448"/>
      <c r="T27" s="448"/>
      <c r="U27" s="448"/>
      <c r="V27" s="448"/>
      <c r="W27" s="440"/>
      <c r="X27" s="449"/>
      <c r="Y27" s="440"/>
      <c r="Z27" s="450"/>
    </row>
    <row r="28" spans="1:26" s="454" customFormat="1" ht="19.5" customHeight="1" x14ac:dyDescent="0.2">
      <c r="A28" s="454" t="s">
        <v>94</v>
      </c>
      <c r="B28" s="465" t="s">
        <v>98</v>
      </c>
      <c r="C28" s="454" t="s">
        <v>257</v>
      </c>
      <c r="D28" s="452" t="s">
        <v>136</v>
      </c>
      <c r="E28" s="453">
        <v>6.5</v>
      </c>
      <c r="F28" s="453">
        <v>3</v>
      </c>
      <c r="G28" s="453">
        <v>775</v>
      </c>
      <c r="H28" s="454">
        <v>550</v>
      </c>
      <c r="I28" s="445">
        <f>1.8 * MIN(6, MAX(E28,F28)) + 0.45 * MIN(6, MIN(E28,F28)) + IF(E28&gt;6, (E28-6)*0.2) + IF(F28&gt;6, (F28-6)*0.2)</f>
        <v>12.25</v>
      </c>
      <c r="J28" s="455"/>
      <c r="K28" s="456"/>
      <c r="L28" s="456"/>
      <c r="M28" s="456"/>
      <c r="N28" s="456"/>
      <c r="O28" s="456"/>
      <c r="P28" s="456"/>
      <c r="Q28" s="456"/>
      <c r="R28" s="456"/>
      <c r="S28" s="456"/>
      <c r="T28" s="456"/>
      <c r="U28" s="456"/>
      <c r="V28" s="456"/>
      <c r="W28" s="453"/>
      <c r="X28" s="457"/>
      <c r="Y28" s="453"/>
      <c r="Z28" s="458"/>
    </row>
    <row r="29" spans="1:26" s="451" customFormat="1" ht="19.5" customHeight="1" x14ac:dyDescent="0.2">
      <c r="A29" s="451" t="s">
        <v>95</v>
      </c>
      <c r="B29" s="459" t="s">
        <v>98</v>
      </c>
      <c r="C29" s="451" t="s">
        <v>62</v>
      </c>
      <c r="D29" s="460" t="s">
        <v>137</v>
      </c>
      <c r="E29" s="461">
        <v>3</v>
      </c>
      <c r="F29" s="461"/>
      <c r="G29" s="461">
        <v>275</v>
      </c>
      <c r="H29" s="451">
        <v>0</v>
      </c>
      <c r="I29" s="459">
        <v>5</v>
      </c>
      <c r="J29" s="462"/>
      <c r="K29" s="463"/>
      <c r="L29" s="463"/>
      <c r="M29" s="463">
        <v>0.15</v>
      </c>
      <c r="N29" s="463">
        <v>-0.15</v>
      </c>
      <c r="O29" s="463"/>
      <c r="P29" s="463"/>
      <c r="Q29" s="463"/>
      <c r="R29" s="463"/>
      <c r="S29" s="463"/>
      <c r="T29" s="463">
        <v>0.05</v>
      </c>
      <c r="U29" s="463"/>
      <c r="V29" s="463"/>
      <c r="W29" s="440"/>
      <c r="X29" s="449"/>
      <c r="Y29" s="461"/>
      <c r="Z29" s="464"/>
    </row>
    <row r="30" spans="1:26" s="439" customFormat="1" ht="19.5" customHeight="1" x14ac:dyDescent="0.2">
      <c r="A30" s="439" t="s">
        <v>95</v>
      </c>
      <c r="B30" s="445" t="s">
        <v>98</v>
      </c>
      <c r="C30" s="439" t="s">
        <v>62</v>
      </c>
      <c r="D30" s="446" t="s">
        <v>139</v>
      </c>
      <c r="E30" s="440"/>
      <c r="F30" s="440">
        <v>3</v>
      </c>
      <c r="G30" s="440">
        <v>300</v>
      </c>
      <c r="H30" s="439">
        <v>0</v>
      </c>
      <c r="I30" s="445">
        <v>5</v>
      </c>
      <c r="J30" s="447"/>
      <c r="K30" s="448"/>
      <c r="L30" s="448"/>
      <c r="M30" s="448"/>
      <c r="N30" s="448"/>
      <c r="O30" s="448"/>
      <c r="P30" s="448"/>
      <c r="Q30" s="448"/>
      <c r="R30" s="448"/>
      <c r="S30" s="448"/>
      <c r="T30" s="448"/>
      <c r="U30" s="448"/>
      <c r="V30" s="448"/>
      <c r="W30" s="440"/>
      <c r="X30" s="449"/>
      <c r="Y30" s="440"/>
      <c r="Z30" s="450"/>
    </row>
    <row r="31" spans="1:26" s="439" customFormat="1" ht="19.5" customHeight="1" x14ac:dyDescent="0.2">
      <c r="A31" s="439" t="s">
        <v>95</v>
      </c>
      <c r="B31" s="445" t="s">
        <v>98</v>
      </c>
      <c r="C31" s="439" t="s">
        <v>62</v>
      </c>
      <c r="D31" s="446" t="s">
        <v>140</v>
      </c>
      <c r="E31" s="440">
        <v>0</v>
      </c>
      <c r="F31" s="440">
        <v>7</v>
      </c>
      <c r="G31" s="440">
        <v>1350</v>
      </c>
      <c r="H31" s="439">
        <v>0</v>
      </c>
      <c r="I31" s="445">
        <v>11</v>
      </c>
      <c r="J31" s="447"/>
      <c r="K31" s="440"/>
      <c r="L31" s="440"/>
      <c r="M31" s="440"/>
      <c r="N31" s="440"/>
      <c r="O31" s="440"/>
      <c r="P31" s="440"/>
      <c r="Q31" s="448"/>
      <c r="R31" s="448"/>
      <c r="S31" s="448"/>
      <c r="T31" s="448"/>
      <c r="U31" s="448"/>
      <c r="V31" s="448"/>
      <c r="W31" s="440"/>
      <c r="X31" s="449"/>
      <c r="Y31" s="440"/>
      <c r="Z31" s="450"/>
    </row>
    <row r="32" spans="1:26" s="454" customFormat="1" ht="19.5" customHeight="1" x14ac:dyDescent="0.2">
      <c r="A32" s="454" t="s">
        <v>95</v>
      </c>
      <c r="B32" s="465" t="s">
        <v>98</v>
      </c>
      <c r="C32" s="454" t="s">
        <v>62</v>
      </c>
      <c r="D32" s="446" t="s">
        <v>138</v>
      </c>
      <c r="E32" s="440">
        <v>4</v>
      </c>
      <c r="F32" s="440">
        <v>2</v>
      </c>
      <c r="G32" s="440">
        <v>600</v>
      </c>
      <c r="H32" s="439">
        <v>0</v>
      </c>
      <c r="I32" s="445">
        <f>1.8 * MIN(6, MAX(E32,F32)) + 0.45 * MIN(6, MIN(E32,F32)) + IF(E32&gt;6, (E32-6)*0.2) + IF(F32&gt;6, (F32-6)*0.2)</f>
        <v>8.1</v>
      </c>
      <c r="J32" s="455"/>
      <c r="K32" s="456"/>
      <c r="L32" s="456"/>
      <c r="M32" s="456"/>
      <c r="N32" s="456"/>
      <c r="O32" s="456"/>
      <c r="P32" s="456"/>
      <c r="Q32" s="456"/>
      <c r="R32" s="456"/>
      <c r="S32" s="456"/>
      <c r="T32" s="456"/>
      <c r="U32" s="456"/>
      <c r="V32" s="456"/>
      <c r="W32" s="453"/>
      <c r="X32" s="457"/>
      <c r="Y32" s="453"/>
      <c r="Z32" s="458"/>
    </row>
    <row r="33" spans="1:26" s="451" customFormat="1" ht="19.5" customHeight="1" x14ac:dyDescent="0.2">
      <c r="A33" s="451" t="s">
        <v>96</v>
      </c>
      <c r="B33" s="459" t="s">
        <v>98</v>
      </c>
      <c r="C33" s="451" t="s">
        <v>58</v>
      </c>
      <c r="D33" s="460" t="s">
        <v>141</v>
      </c>
      <c r="E33" s="461">
        <v>3</v>
      </c>
      <c r="F33" s="461"/>
      <c r="G33" s="461">
        <v>275</v>
      </c>
      <c r="H33" s="451">
        <v>0</v>
      </c>
      <c r="I33" s="459">
        <v>5</v>
      </c>
      <c r="J33" s="462"/>
      <c r="K33" s="463"/>
      <c r="L33" s="463"/>
      <c r="M33" s="463">
        <v>0.1</v>
      </c>
      <c r="N33" s="463">
        <v>0.2</v>
      </c>
      <c r="O33" s="463"/>
      <c r="P33" s="463"/>
      <c r="Q33" s="463"/>
      <c r="R33" s="463"/>
      <c r="S33" s="463"/>
      <c r="T33" s="463"/>
      <c r="U33" s="463"/>
      <c r="V33" s="463"/>
      <c r="W33" s="440"/>
      <c r="X33" s="449"/>
      <c r="Y33" s="461"/>
      <c r="Z33" s="464"/>
    </row>
    <row r="34" spans="1:26" s="439" customFormat="1" ht="19.5" customHeight="1" x14ac:dyDescent="0.2">
      <c r="A34" s="439" t="s">
        <v>96</v>
      </c>
      <c r="B34" s="445" t="s">
        <v>98</v>
      </c>
      <c r="C34" s="439" t="s">
        <v>58</v>
      </c>
      <c r="D34" s="446" t="s">
        <v>142</v>
      </c>
      <c r="E34" s="440"/>
      <c r="F34" s="440">
        <v>3</v>
      </c>
      <c r="G34" s="440">
        <v>300</v>
      </c>
      <c r="H34" s="439">
        <v>0</v>
      </c>
      <c r="I34" s="445">
        <v>5</v>
      </c>
      <c r="J34" s="447"/>
      <c r="K34" s="448"/>
      <c r="L34" s="448"/>
      <c r="M34" s="448"/>
      <c r="N34" s="448"/>
      <c r="O34" s="448"/>
      <c r="P34" s="448"/>
      <c r="Q34" s="448"/>
      <c r="R34" s="448"/>
      <c r="S34" s="448"/>
      <c r="T34" s="448"/>
      <c r="U34" s="448"/>
      <c r="V34" s="448"/>
      <c r="W34" s="440"/>
      <c r="X34" s="449"/>
      <c r="Y34" s="440"/>
      <c r="Z34" s="450"/>
    </row>
    <row r="35" spans="1:26" s="439" customFormat="1" ht="19.5" customHeight="1" x14ac:dyDescent="0.2">
      <c r="A35" s="439" t="s">
        <v>96</v>
      </c>
      <c r="B35" s="445" t="s">
        <v>98</v>
      </c>
      <c r="C35" s="439" t="s">
        <v>58</v>
      </c>
      <c r="D35" s="446" t="s">
        <v>143</v>
      </c>
      <c r="E35" s="440">
        <v>0</v>
      </c>
      <c r="F35" s="440">
        <v>3</v>
      </c>
      <c r="G35" s="440">
        <v>1050</v>
      </c>
      <c r="H35" s="439">
        <v>0</v>
      </c>
      <c r="I35" s="445">
        <f>1.8 * MIN(6, MAX(E35,F35)) + 0.45 * MIN(6, MIN(E35,F35)) + IF(E35&gt;6, (E35-6)*0.2) + IF(F35&gt;6, (F35-6)*0.2)</f>
        <v>5.4</v>
      </c>
      <c r="J35" s="447"/>
      <c r="K35" s="448"/>
      <c r="L35" s="448"/>
      <c r="M35" s="448"/>
      <c r="N35" s="448"/>
      <c r="O35" s="448"/>
      <c r="P35" s="448"/>
      <c r="Q35" s="448"/>
      <c r="R35" s="448"/>
      <c r="S35" s="448"/>
      <c r="T35" s="448"/>
      <c r="U35" s="448"/>
      <c r="V35" s="448"/>
      <c r="W35" s="440"/>
      <c r="X35" s="449"/>
      <c r="Y35" s="440"/>
      <c r="Z35" s="450"/>
    </row>
    <row r="36" spans="1:26" s="454" customFormat="1" ht="19.5" customHeight="1" x14ac:dyDescent="0.2">
      <c r="A36" s="454" t="s">
        <v>96</v>
      </c>
      <c r="B36" s="465" t="s">
        <v>98</v>
      </c>
      <c r="C36" s="454" t="s">
        <v>58</v>
      </c>
      <c r="D36" s="452" t="s">
        <v>144</v>
      </c>
      <c r="E36" s="453">
        <v>5.5</v>
      </c>
      <c r="F36" s="453">
        <v>2</v>
      </c>
      <c r="G36" s="453">
        <v>900</v>
      </c>
      <c r="H36" s="454">
        <v>20</v>
      </c>
      <c r="I36" s="445">
        <f>1.8 * MIN(6, MAX(E36,F36)) + 0.45 * MIN(6, MIN(E36,F36)) + IF(E36&gt;6, (E36-6)*0.2) + IF(F36&gt;6, (F36-6)*0.2)</f>
        <v>10.8</v>
      </c>
      <c r="J36" s="455"/>
      <c r="K36" s="456"/>
      <c r="L36" s="456"/>
      <c r="M36" s="456"/>
      <c r="N36" s="456"/>
      <c r="O36" s="456"/>
      <c r="P36" s="456"/>
      <c r="Q36" s="456"/>
      <c r="R36" s="456"/>
      <c r="S36" s="456"/>
      <c r="T36" s="456"/>
      <c r="U36" s="456"/>
      <c r="V36" s="456"/>
      <c r="W36" s="453"/>
      <c r="X36" s="457"/>
      <c r="Y36" s="453"/>
      <c r="Z36" s="458"/>
    </row>
    <row r="37" spans="1:26" s="451" customFormat="1" ht="19.5" customHeight="1" x14ac:dyDescent="0.2">
      <c r="A37" s="451" t="s">
        <v>97</v>
      </c>
      <c r="B37" s="459" t="s">
        <v>30</v>
      </c>
      <c r="C37" s="451" t="s">
        <v>256</v>
      </c>
      <c r="D37" s="460" t="s">
        <v>145</v>
      </c>
      <c r="E37" s="461">
        <v>3</v>
      </c>
      <c r="F37" s="461"/>
      <c r="G37" s="461">
        <v>325</v>
      </c>
      <c r="H37" s="451">
        <v>25</v>
      </c>
      <c r="I37" s="459">
        <v>5</v>
      </c>
      <c r="J37" s="462">
        <v>0.2</v>
      </c>
      <c r="K37" s="463"/>
      <c r="L37" s="463"/>
      <c r="M37" s="463"/>
      <c r="N37" s="463"/>
      <c r="O37" s="463"/>
      <c r="P37" s="463"/>
      <c r="Q37" s="463"/>
      <c r="R37" s="463"/>
      <c r="S37" s="463"/>
      <c r="T37" s="463"/>
      <c r="U37" s="463"/>
      <c r="V37" s="463"/>
      <c r="W37" s="448">
        <v>0.15</v>
      </c>
      <c r="X37" s="449"/>
      <c r="Y37" s="461"/>
      <c r="Z37" s="464"/>
    </row>
    <row r="38" spans="1:26" s="439" customFormat="1" ht="19.5" customHeight="1" x14ac:dyDescent="0.2">
      <c r="A38" s="439" t="s">
        <v>97</v>
      </c>
      <c r="B38" s="445" t="s">
        <v>30</v>
      </c>
      <c r="C38" s="439" t="s">
        <v>256</v>
      </c>
      <c r="D38" s="446" t="s">
        <v>146</v>
      </c>
      <c r="E38" s="440"/>
      <c r="F38" s="440">
        <v>3</v>
      </c>
      <c r="G38" s="440">
        <v>375</v>
      </c>
      <c r="H38" s="439">
        <v>15</v>
      </c>
      <c r="I38" s="445">
        <v>5</v>
      </c>
      <c r="J38" s="447"/>
      <c r="K38" s="448"/>
      <c r="L38" s="448"/>
      <c r="M38" s="448"/>
      <c r="N38" s="448"/>
      <c r="O38" s="448"/>
      <c r="P38" s="448"/>
      <c r="Q38" s="448"/>
      <c r="R38" s="448"/>
      <c r="S38" s="448"/>
      <c r="T38" s="448"/>
      <c r="U38" s="448"/>
      <c r="V38" s="448"/>
      <c r="W38" s="440"/>
      <c r="X38" s="449"/>
      <c r="Y38" s="440"/>
      <c r="Z38" s="450"/>
    </row>
    <row r="39" spans="1:26" s="439" customFormat="1" ht="19.5" customHeight="1" x14ac:dyDescent="0.2">
      <c r="A39" s="439" t="s">
        <v>97</v>
      </c>
      <c r="B39" s="445" t="s">
        <v>30</v>
      </c>
      <c r="C39" s="439" t="s">
        <v>256</v>
      </c>
      <c r="D39" s="446" t="s">
        <v>367</v>
      </c>
      <c r="E39" s="440">
        <v>5</v>
      </c>
      <c r="F39" s="440">
        <v>3</v>
      </c>
      <c r="G39" s="440">
        <v>1025</v>
      </c>
      <c r="H39" s="439">
        <v>80</v>
      </c>
      <c r="I39" s="445">
        <f>1.8 * MIN(6, MAX(E39,F39)) + 0.45 * MIN(6, MIN(E39,F39)) + IF(E39&gt;6, (E39-6)*0.2) + IF(F39&gt;6, (F39-6)*0.2)</f>
        <v>10.35</v>
      </c>
      <c r="J39" s="447"/>
      <c r="K39" s="448"/>
      <c r="L39" s="448"/>
      <c r="M39" s="448"/>
      <c r="N39" s="448"/>
      <c r="O39" s="448"/>
      <c r="P39" s="448"/>
      <c r="Q39" s="448"/>
      <c r="R39" s="448"/>
      <c r="S39" s="448"/>
      <c r="T39" s="448"/>
      <c r="U39" s="448"/>
      <c r="V39" s="448"/>
      <c r="W39" s="440"/>
      <c r="X39" s="449"/>
      <c r="Y39" s="440"/>
      <c r="Z39" s="450"/>
    </row>
    <row r="40" spans="1:26" s="454" customFormat="1" ht="19.5" customHeight="1" x14ac:dyDescent="0.2">
      <c r="A40" s="454" t="s">
        <v>97</v>
      </c>
      <c r="B40" s="465" t="s">
        <v>30</v>
      </c>
      <c r="C40" s="454" t="s">
        <v>256</v>
      </c>
      <c r="D40" s="452" t="s">
        <v>148</v>
      </c>
      <c r="E40" s="453">
        <v>6</v>
      </c>
      <c r="F40" s="453">
        <v>2</v>
      </c>
      <c r="G40" s="453">
        <v>1300</v>
      </c>
      <c r="H40" s="454">
        <v>130</v>
      </c>
      <c r="I40" s="445">
        <f>1.8 * MIN(6, MAX(E40,F40)) + 0.45 * MIN(6, MIN(E40,F40)) + IF(E40&gt;6, (E40-6)*0.2) + IF(F40&gt;6, (F40-6)*0.2)</f>
        <v>11.700000000000001</v>
      </c>
      <c r="J40" s="455"/>
      <c r="K40" s="456"/>
      <c r="L40" s="456"/>
      <c r="M40" s="456"/>
      <c r="N40" s="456"/>
      <c r="O40" s="456"/>
      <c r="P40" s="456"/>
      <c r="Q40" s="456"/>
      <c r="R40" s="456"/>
      <c r="S40" s="456"/>
      <c r="T40" s="456"/>
      <c r="U40" s="456"/>
      <c r="V40" s="456"/>
      <c r="W40" s="453"/>
      <c r="X40" s="457"/>
      <c r="Y40" s="453"/>
      <c r="Z40" s="458"/>
    </row>
    <row r="41" spans="1:26" s="451" customFormat="1" ht="19.5" customHeight="1" x14ac:dyDescent="0.2">
      <c r="A41" s="451" t="s">
        <v>29</v>
      </c>
      <c r="B41" s="459" t="s">
        <v>30</v>
      </c>
      <c r="C41" s="451" t="s">
        <v>255</v>
      </c>
      <c r="D41" s="460" t="s">
        <v>39</v>
      </c>
      <c r="E41" s="461">
        <v>4</v>
      </c>
      <c r="F41" s="461"/>
      <c r="G41" s="461">
        <v>350</v>
      </c>
      <c r="H41" s="451">
        <v>25</v>
      </c>
      <c r="I41" s="459">
        <v>5</v>
      </c>
      <c r="J41" s="462">
        <v>-0.05</v>
      </c>
      <c r="K41" s="463"/>
      <c r="L41" s="463"/>
      <c r="M41" s="463"/>
      <c r="N41" s="463"/>
      <c r="O41" s="463"/>
      <c r="P41" s="463"/>
      <c r="Q41" s="463"/>
      <c r="R41" s="463">
        <v>0.05</v>
      </c>
      <c r="S41" s="463"/>
      <c r="T41" s="463">
        <v>0.05</v>
      </c>
      <c r="U41" s="463">
        <v>-0.1</v>
      </c>
      <c r="V41" s="463"/>
      <c r="W41" s="440"/>
      <c r="X41" s="449"/>
      <c r="Y41" s="461"/>
      <c r="Z41" s="464"/>
    </row>
    <row r="42" spans="1:26" s="439" customFormat="1" ht="19.5" customHeight="1" x14ac:dyDescent="0.2">
      <c r="A42" s="439" t="s">
        <v>29</v>
      </c>
      <c r="B42" s="445" t="s">
        <v>30</v>
      </c>
      <c r="C42" s="439" t="s">
        <v>255</v>
      </c>
      <c r="D42" s="446" t="s">
        <v>40</v>
      </c>
      <c r="E42" s="440"/>
      <c r="F42" s="440">
        <v>3</v>
      </c>
      <c r="G42" s="440">
        <v>300</v>
      </c>
      <c r="H42" s="439">
        <v>25</v>
      </c>
      <c r="I42" s="445">
        <v>5</v>
      </c>
      <c r="J42" s="447"/>
      <c r="K42" s="448"/>
      <c r="L42" s="448"/>
      <c r="M42" s="448"/>
      <c r="N42" s="448"/>
      <c r="O42" s="448"/>
      <c r="P42" s="448"/>
      <c r="Q42" s="448"/>
      <c r="R42" s="448"/>
      <c r="S42" s="448"/>
      <c r="T42" s="448"/>
      <c r="U42" s="448"/>
      <c r="V42" s="448"/>
      <c r="W42" s="440"/>
      <c r="X42" s="449"/>
      <c r="Y42" s="440"/>
      <c r="Z42" s="450"/>
    </row>
    <row r="43" spans="1:26" s="439" customFormat="1" ht="19.5" customHeight="1" x14ac:dyDescent="0.2">
      <c r="A43" s="439" t="s">
        <v>29</v>
      </c>
      <c r="B43" s="445" t="s">
        <v>30</v>
      </c>
      <c r="C43" s="439" t="s">
        <v>255</v>
      </c>
      <c r="D43" s="446" t="s">
        <v>41</v>
      </c>
      <c r="E43" s="440">
        <v>5</v>
      </c>
      <c r="F43" s="440">
        <v>3</v>
      </c>
      <c r="G43" s="440">
        <v>1000</v>
      </c>
      <c r="H43" s="439">
        <v>100</v>
      </c>
      <c r="I43" s="445">
        <f>1.8 * MIN(6, MAX(E43,F43)) + 0.45 * MIN(6, MIN(E43,F43)) + IF(E43&gt;6, (E43-6)*0.2) + IF(F43&gt;6, (F43-6)*0.2)</f>
        <v>10.35</v>
      </c>
      <c r="J43" s="447"/>
      <c r="K43" s="448"/>
      <c r="L43" s="448"/>
      <c r="M43" s="448"/>
      <c r="N43" s="448"/>
      <c r="O43" s="448"/>
      <c r="P43" s="448"/>
      <c r="Q43" s="448"/>
      <c r="R43" s="448"/>
      <c r="S43" s="448"/>
      <c r="T43" s="448"/>
      <c r="U43" s="448"/>
      <c r="V43" s="448"/>
      <c r="W43" s="440"/>
      <c r="X43" s="449"/>
      <c r="Y43" s="440"/>
      <c r="Z43" s="450"/>
    </row>
    <row r="44" spans="1:26" s="454" customFormat="1" ht="19.5" customHeight="1" x14ac:dyDescent="0.2">
      <c r="A44" s="454" t="s">
        <v>29</v>
      </c>
      <c r="B44" s="465" t="s">
        <v>30</v>
      </c>
      <c r="C44" s="454" t="s">
        <v>255</v>
      </c>
      <c r="D44" s="452" t="s">
        <v>42</v>
      </c>
      <c r="E44" s="453">
        <v>7</v>
      </c>
      <c r="F44" s="453">
        <v>7</v>
      </c>
      <c r="G44" s="453">
        <v>1425</v>
      </c>
      <c r="H44" s="454">
        <v>150</v>
      </c>
      <c r="I44" s="445">
        <f>1.8 * MIN(6, MAX(E44,F44)) + 0.45 * MIN(6, MIN(E44,F44)) + IF(E44&gt;6, (E44-6)*0.2) + IF(F44&gt;6, (F44-6)*0.2)</f>
        <v>13.899999999999999</v>
      </c>
      <c r="J44" s="455"/>
      <c r="K44" s="456"/>
      <c r="L44" s="456"/>
      <c r="M44" s="456"/>
      <c r="N44" s="456"/>
      <c r="O44" s="456"/>
      <c r="P44" s="456"/>
      <c r="Q44" s="456"/>
      <c r="R44" s="456"/>
      <c r="S44" s="456"/>
      <c r="T44" s="456"/>
      <c r="U44" s="456"/>
      <c r="V44" s="456"/>
      <c r="W44" s="453"/>
      <c r="X44" s="457"/>
      <c r="Y44" s="453"/>
      <c r="Z44" s="458"/>
    </row>
    <row r="45" spans="1:26" s="451" customFormat="1" ht="19.5" customHeight="1" x14ac:dyDescent="0.2">
      <c r="A45" s="451" t="s">
        <v>99</v>
      </c>
      <c r="B45" s="459" t="s">
        <v>30</v>
      </c>
      <c r="C45" s="451" t="s">
        <v>254</v>
      </c>
      <c r="D45" s="460" t="s">
        <v>149</v>
      </c>
      <c r="E45" s="461">
        <v>4</v>
      </c>
      <c r="F45" s="461"/>
      <c r="G45" s="461">
        <v>325</v>
      </c>
      <c r="H45" s="451">
        <v>25</v>
      </c>
      <c r="I45" s="459">
        <v>5</v>
      </c>
      <c r="J45" s="462"/>
      <c r="K45" s="463"/>
      <c r="L45" s="463"/>
      <c r="M45" s="463"/>
      <c r="N45" s="463"/>
      <c r="O45" s="463">
        <v>0.05</v>
      </c>
      <c r="P45" s="463"/>
      <c r="Q45" s="463">
        <v>0.05</v>
      </c>
      <c r="R45" s="463"/>
      <c r="S45" s="463"/>
      <c r="T45" s="463"/>
      <c r="U45" s="463"/>
      <c r="V45" s="463">
        <v>0.1</v>
      </c>
      <c r="W45" s="440"/>
      <c r="X45" s="449"/>
      <c r="Y45" s="461"/>
      <c r="Z45" s="464"/>
    </row>
    <row r="46" spans="1:26" s="439" customFormat="1" ht="19.5" customHeight="1" x14ac:dyDescent="0.2">
      <c r="A46" s="439" t="s">
        <v>99</v>
      </c>
      <c r="B46" s="445" t="s">
        <v>30</v>
      </c>
      <c r="C46" s="439" t="s">
        <v>254</v>
      </c>
      <c r="D46" s="446" t="s">
        <v>150</v>
      </c>
      <c r="E46" s="440"/>
      <c r="F46" s="440">
        <v>3</v>
      </c>
      <c r="G46" s="440">
        <v>300</v>
      </c>
      <c r="H46" s="439">
        <v>15</v>
      </c>
      <c r="I46" s="445">
        <v>5</v>
      </c>
      <c r="J46" s="447"/>
      <c r="K46" s="448"/>
      <c r="L46" s="448"/>
      <c r="M46" s="448"/>
      <c r="N46" s="448"/>
      <c r="O46" s="448"/>
      <c r="P46" s="448"/>
      <c r="Q46" s="448"/>
      <c r="R46" s="448"/>
      <c r="S46" s="448"/>
      <c r="T46" s="448"/>
      <c r="U46" s="448"/>
      <c r="V46" s="448"/>
      <c r="W46" s="440"/>
      <c r="X46" s="449"/>
      <c r="Y46" s="440"/>
      <c r="Z46" s="450"/>
    </row>
    <row r="47" spans="1:26" s="439" customFormat="1" ht="19.5" customHeight="1" x14ac:dyDescent="0.2">
      <c r="A47" s="439" t="s">
        <v>99</v>
      </c>
      <c r="B47" s="445" t="s">
        <v>30</v>
      </c>
      <c r="C47" s="439" t="s">
        <v>254</v>
      </c>
      <c r="D47" s="446" t="s">
        <v>151</v>
      </c>
      <c r="E47" s="440">
        <v>2</v>
      </c>
      <c r="F47" s="440">
        <v>4</v>
      </c>
      <c r="G47" s="440">
        <v>1100</v>
      </c>
      <c r="H47" s="439">
        <v>55</v>
      </c>
      <c r="I47" s="445">
        <f>1.8 * MIN(6, MAX(E47,F47)) + 0.45 * MIN(6, MIN(E47,F47)) + IF(E47&gt;6, (E47-6)*0.2) + IF(F47&gt;6, (F47-6)*0.2)</f>
        <v>8.1</v>
      </c>
      <c r="J47" s="447"/>
      <c r="K47" s="448"/>
      <c r="L47" s="448"/>
      <c r="M47" s="448"/>
      <c r="N47" s="448"/>
      <c r="O47" s="448"/>
      <c r="P47" s="448"/>
      <c r="Q47" s="448"/>
      <c r="R47" s="448"/>
      <c r="S47" s="448"/>
      <c r="T47" s="448"/>
      <c r="U47" s="448"/>
      <c r="V47" s="448"/>
      <c r="W47" s="440"/>
      <c r="X47" s="449"/>
      <c r="Y47" s="440"/>
      <c r="Z47" s="450"/>
    </row>
    <row r="48" spans="1:26" s="454" customFormat="1" ht="19.5" customHeight="1" x14ac:dyDescent="0.2">
      <c r="A48" s="454" t="s">
        <v>99</v>
      </c>
      <c r="B48" s="465" t="s">
        <v>30</v>
      </c>
      <c r="C48" s="454" t="s">
        <v>254</v>
      </c>
      <c r="D48" s="452" t="s">
        <v>152</v>
      </c>
      <c r="E48" s="453">
        <v>6</v>
      </c>
      <c r="F48" s="453">
        <v>0</v>
      </c>
      <c r="G48" s="453">
        <v>1050</v>
      </c>
      <c r="H48" s="454">
        <v>55</v>
      </c>
      <c r="I48" s="445">
        <f>1.8 * MIN(6, MAX(E48,F48)) + 0.45 * MIN(6, MIN(E48,F48)) + IF(E48&gt;6, (E48-6)*0.2) + IF(F48&gt;6, (F48-6)*0.2)</f>
        <v>10.8</v>
      </c>
      <c r="J48" s="455"/>
      <c r="K48" s="456"/>
      <c r="L48" s="456"/>
      <c r="M48" s="456"/>
      <c r="N48" s="456"/>
      <c r="O48" s="456"/>
      <c r="P48" s="456"/>
      <c r="Q48" s="456"/>
      <c r="R48" s="456"/>
      <c r="S48" s="456"/>
      <c r="T48" s="456"/>
      <c r="U48" s="456"/>
      <c r="V48" s="456"/>
      <c r="W48" s="453"/>
      <c r="X48" s="457"/>
      <c r="Y48" s="453"/>
      <c r="Z48" s="458"/>
    </row>
    <row r="49" spans="1:26" s="451" customFormat="1" ht="19.5" customHeight="1" x14ac:dyDescent="0.2">
      <c r="A49" s="451" t="s">
        <v>100</v>
      </c>
      <c r="B49" s="459" t="s">
        <v>30</v>
      </c>
      <c r="C49" s="451" t="s">
        <v>60</v>
      </c>
      <c r="D49" s="460" t="s">
        <v>153</v>
      </c>
      <c r="E49" s="461">
        <v>2.5</v>
      </c>
      <c r="F49" s="461"/>
      <c r="G49" s="461">
        <v>225</v>
      </c>
      <c r="H49" s="451">
        <v>0</v>
      </c>
      <c r="I49" s="459">
        <v>5</v>
      </c>
      <c r="J49" s="462">
        <v>0.125</v>
      </c>
      <c r="K49" s="463"/>
      <c r="L49" s="463"/>
      <c r="M49" s="463"/>
      <c r="N49" s="463"/>
      <c r="O49" s="463">
        <v>0.1</v>
      </c>
      <c r="P49" s="463"/>
      <c r="Q49" s="463"/>
      <c r="R49" s="463">
        <v>-0.75</v>
      </c>
      <c r="S49" s="463"/>
      <c r="T49" s="463"/>
      <c r="U49" s="463"/>
      <c r="V49" s="463"/>
      <c r="W49" s="440"/>
      <c r="X49" s="449"/>
      <c r="Y49" s="461"/>
      <c r="Z49" s="464"/>
    </row>
    <row r="50" spans="1:26" s="439" customFormat="1" ht="19.5" customHeight="1" x14ac:dyDescent="0.2">
      <c r="A50" s="439" t="s">
        <v>100</v>
      </c>
      <c r="B50" s="445" t="s">
        <v>30</v>
      </c>
      <c r="C50" s="439" t="s">
        <v>60</v>
      </c>
      <c r="D50" s="446" t="s">
        <v>154</v>
      </c>
      <c r="E50" s="440"/>
      <c r="F50" s="440">
        <v>2.5</v>
      </c>
      <c r="G50" s="440">
        <v>225</v>
      </c>
      <c r="H50" s="439">
        <v>0</v>
      </c>
      <c r="I50" s="445">
        <v>5</v>
      </c>
      <c r="J50" s="447"/>
      <c r="K50" s="448"/>
      <c r="L50" s="448"/>
      <c r="M50" s="448"/>
      <c r="N50" s="448"/>
      <c r="O50" s="448"/>
      <c r="P50" s="448"/>
      <c r="Q50" s="448"/>
      <c r="R50" s="448"/>
      <c r="S50" s="448"/>
      <c r="T50" s="448"/>
      <c r="U50" s="448"/>
      <c r="V50" s="448"/>
      <c r="W50" s="440"/>
      <c r="X50" s="449"/>
      <c r="Y50" s="440"/>
      <c r="Z50" s="450"/>
    </row>
    <row r="51" spans="1:26" s="439" customFormat="1" ht="19.5" customHeight="1" x14ac:dyDescent="0.2">
      <c r="A51" s="439" t="s">
        <v>100</v>
      </c>
      <c r="B51" s="445" t="s">
        <v>30</v>
      </c>
      <c r="C51" s="439" t="s">
        <v>60</v>
      </c>
      <c r="D51" s="446" t="s">
        <v>155</v>
      </c>
      <c r="E51" s="440">
        <v>2</v>
      </c>
      <c r="F51" s="440">
        <v>4</v>
      </c>
      <c r="G51" s="440">
        <v>880</v>
      </c>
      <c r="H51" s="439">
        <v>0</v>
      </c>
      <c r="I51" s="445">
        <f>1.8 * MIN(6, MAX(E51,F51)) + 0.45 * MIN(6, MIN(E51,F51)) + IF(E51&gt;6, (E51-6)*0.2) + IF(F51&gt;6, (F51-6)*0.2)</f>
        <v>8.1</v>
      </c>
      <c r="J51" s="447"/>
      <c r="K51" s="448"/>
      <c r="L51" s="448"/>
      <c r="M51" s="448"/>
      <c r="N51" s="448"/>
      <c r="O51" s="448"/>
      <c r="P51" s="448"/>
      <c r="Q51" s="448"/>
      <c r="R51" s="448"/>
      <c r="S51" s="448"/>
      <c r="T51" s="448"/>
      <c r="U51" s="448"/>
      <c r="V51" s="448"/>
      <c r="W51" s="440"/>
      <c r="X51" s="449"/>
      <c r="Y51" s="440"/>
      <c r="Z51" s="450"/>
    </row>
    <row r="52" spans="1:26" s="454" customFormat="1" ht="19.5" customHeight="1" x14ac:dyDescent="0.2">
      <c r="A52" s="454" t="s">
        <v>100</v>
      </c>
      <c r="B52" s="465" t="s">
        <v>30</v>
      </c>
      <c r="C52" s="454" t="s">
        <v>60</v>
      </c>
      <c r="D52" s="452" t="s">
        <v>386</v>
      </c>
      <c r="E52" s="453">
        <v>4</v>
      </c>
      <c r="F52" s="453">
        <v>3</v>
      </c>
      <c r="G52" s="453">
        <v>1000</v>
      </c>
      <c r="H52" s="454">
        <v>0</v>
      </c>
      <c r="I52" s="445">
        <f>1.8 * MIN(6, MAX(E52,F52)) + 0.45 * MIN(6, MIN(E52,F52)) + IF(E52&gt;6, (E52-6)*0.2) + IF(F52&gt;6, (F52-6)*0.2)</f>
        <v>8.5500000000000007</v>
      </c>
      <c r="J52" s="455"/>
      <c r="K52" s="456"/>
      <c r="L52" s="456"/>
      <c r="M52" s="456"/>
      <c r="N52" s="456"/>
      <c r="O52" s="456"/>
      <c r="P52" s="456"/>
      <c r="Q52" s="456"/>
      <c r="R52" s="456"/>
      <c r="S52" s="456"/>
      <c r="T52" s="456"/>
      <c r="U52" s="456"/>
      <c r="V52" s="456"/>
      <c r="W52" s="453"/>
      <c r="X52" s="457"/>
      <c r="Y52" s="453"/>
      <c r="Z52" s="458"/>
    </row>
    <row r="53" spans="1:26" s="451" customFormat="1" ht="19.5" customHeight="1" x14ac:dyDescent="0.2">
      <c r="A53" s="451" t="s">
        <v>101</v>
      </c>
      <c r="B53" s="459" t="s">
        <v>98</v>
      </c>
      <c r="C53" s="451" t="s">
        <v>60</v>
      </c>
      <c r="D53" s="460" t="s">
        <v>156</v>
      </c>
      <c r="E53" s="461">
        <v>2.5</v>
      </c>
      <c r="F53" s="461"/>
      <c r="G53" s="461">
        <v>225</v>
      </c>
      <c r="H53" s="451">
        <v>0</v>
      </c>
      <c r="I53" s="459">
        <v>5</v>
      </c>
      <c r="J53" s="462">
        <v>0.125</v>
      </c>
      <c r="K53" s="463"/>
      <c r="L53" s="463"/>
      <c r="M53" s="463"/>
      <c r="N53" s="463"/>
      <c r="O53" s="463"/>
      <c r="P53" s="463"/>
      <c r="Q53" s="463"/>
      <c r="R53" s="463">
        <v>-0.8</v>
      </c>
      <c r="S53" s="463"/>
      <c r="T53" s="463"/>
      <c r="U53" s="463"/>
      <c r="V53" s="463"/>
      <c r="W53" s="440"/>
      <c r="X53" s="449"/>
      <c r="Y53" s="461"/>
      <c r="Z53" s="464"/>
    </row>
    <row r="54" spans="1:26" s="439" customFormat="1" ht="19.5" customHeight="1" x14ac:dyDescent="0.2">
      <c r="A54" s="439" t="s">
        <v>101</v>
      </c>
      <c r="B54" s="445" t="s">
        <v>98</v>
      </c>
      <c r="C54" s="439" t="s">
        <v>60</v>
      </c>
      <c r="D54" s="446" t="s">
        <v>157</v>
      </c>
      <c r="E54" s="440"/>
      <c r="F54" s="440">
        <v>2.5</v>
      </c>
      <c r="G54" s="440">
        <v>225</v>
      </c>
      <c r="H54" s="439">
        <v>0</v>
      </c>
      <c r="I54" s="445">
        <v>5</v>
      </c>
      <c r="J54" s="447"/>
      <c r="K54" s="448"/>
      <c r="L54" s="448"/>
      <c r="M54" s="448"/>
      <c r="N54" s="448"/>
      <c r="O54" s="448"/>
      <c r="P54" s="448"/>
      <c r="Q54" s="448"/>
      <c r="R54" s="448"/>
      <c r="S54" s="448"/>
      <c r="T54" s="448"/>
      <c r="U54" s="448"/>
      <c r="V54" s="448"/>
      <c r="W54" s="440"/>
      <c r="X54" s="449"/>
      <c r="Y54" s="440"/>
      <c r="Z54" s="450"/>
    </row>
    <row r="55" spans="1:26" s="439" customFormat="1" ht="19.5" customHeight="1" x14ac:dyDescent="0.2">
      <c r="A55" s="439" t="s">
        <v>101</v>
      </c>
      <c r="B55" s="445" t="s">
        <v>98</v>
      </c>
      <c r="C55" s="439" t="s">
        <v>60</v>
      </c>
      <c r="D55" s="446" t="s">
        <v>158</v>
      </c>
      <c r="E55" s="440">
        <v>2</v>
      </c>
      <c r="F55" s="440">
        <v>4</v>
      </c>
      <c r="G55" s="440">
        <v>880</v>
      </c>
      <c r="H55" s="439">
        <v>0</v>
      </c>
      <c r="I55" s="445">
        <f>1.8 * MIN(6, MAX(E55,F55)) + 0.45 * MIN(6, MIN(E55,F55)) + IF(E55&gt;6, (E55-6)*0.2) + IF(F55&gt;6, (F55-6)*0.2)</f>
        <v>8.1</v>
      </c>
      <c r="J55" s="447"/>
      <c r="K55" s="448"/>
      <c r="L55" s="448"/>
      <c r="M55" s="448"/>
      <c r="N55" s="448"/>
      <c r="O55" s="448"/>
      <c r="P55" s="448"/>
      <c r="Q55" s="448"/>
      <c r="R55" s="448"/>
      <c r="S55" s="448"/>
      <c r="T55" s="448"/>
      <c r="U55" s="448"/>
      <c r="V55" s="448"/>
      <c r="W55" s="440"/>
      <c r="X55" s="449"/>
      <c r="Y55" s="440"/>
      <c r="Z55" s="450"/>
    </row>
    <row r="56" spans="1:26" s="454" customFormat="1" ht="19.5" customHeight="1" x14ac:dyDescent="0.2">
      <c r="A56" s="454" t="s">
        <v>101</v>
      </c>
      <c r="B56" s="465" t="s">
        <v>98</v>
      </c>
      <c r="C56" s="454" t="s">
        <v>60</v>
      </c>
      <c r="D56" s="452" t="s">
        <v>159</v>
      </c>
      <c r="E56" s="453">
        <v>4</v>
      </c>
      <c r="F56" s="453">
        <v>3</v>
      </c>
      <c r="G56" s="453">
        <v>1000</v>
      </c>
      <c r="H56" s="454">
        <v>0</v>
      </c>
      <c r="I56" s="445">
        <f>1.8 * MIN(6, MAX(E56,F56)) + 0.45 * MIN(6, MIN(E56,F56)) + IF(E56&gt;6, (E56-6)*0.2) + IF(F56&gt;6, (F56-6)*0.2)</f>
        <v>8.5500000000000007</v>
      </c>
      <c r="J56" s="455"/>
      <c r="K56" s="456"/>
      <c r="L56" s="456"/>
      <c r="M56" s="456"/>
      <c r="N56" s="456"/>
      <c r="O56" s="456"/>
      <c r="P56" s="456"/>
      <c r="Q56" s="456"/>
      <c r="R56" s="456"/>
      <c r="S56" s="456"/>
      <c r="T56" s="456"/>
      <c r="U56" s="456"/>
      <c r="V56" s="456"/>
      <c r="W56" s="453"/>
      <c r="X56" s="457"/>
      <c r="Y56" s="453"/>
      <c r="Z56" s="458"/>
    </row>
    <row r="57" spans="1:26" s="451" customFormat="1" ht="19.5" customHeight="1" x14ac:dyDescent="0.2">
      <c r="A57" s="451" t="s">
        <v>102</v>
      </c>
      <c r="B57" s="459" t="s">
        <v>30</v>
      </c>
      <c r="C57" s="451" t="s">
        <v>58</v>
      </c>
      <c r="D57" s="460" t="s">
        <v>160</v>
      </c>
      <c r="E57" s="461">
        <v>3</v>
      </c>
      <c r="F57" s="461"/>
      <c r="G57" s="461">
        <v>300</v>
      </c>
      <c r="H57" s="451">
        <v>25</v>
      </c>
      <c r="I57" s="459">
        <v>5</v>
      </c>
      <c r="J57" s="462">
        <v>0.1</v>
      </c>
      <c r="K57" s="463"/>
      <c r="L57" s="463"/>
      <c r="M57" s="463"/>
      <c r="N57" s="463"/>
      <c r="O57" s="463"/>
      <c r="P57" s="463"/>
      <c r="Q57" s="463"/>
      <c r="R57" s="463"/>
      <c r="S57" s="462">
        <v>0.05</v>
      </c>
      <c r="T57" s="463"/>
      <c r="U57" s="463"/>
      <c r="V57" s="463"/>
      <c r="W57" s="440"/>
      <c r="X57" s="449"/>
      <c r="Y57" s="461"/>
      <c r="Z57" s="464"/>
    </row>
    <row r="58" spans="1:26" s="439" customFormat="1" ht="19.5" customHeight="1" x14ac:dyDescent="0.2">
      <c r="A58" s="439" t="s">
        <v>102</v>
      </c>
      <c r="B58" s="445" t="s">
        <v>30</v>
      </c>
      <c r="C58" s="439" t="s">
        <v>58</v>
      </c>
      <c r="D58" s="446" t="s">
        <v>161</v>
      </c>
      <c r="E58" s="440"/>
      <c r="F58" s="440">
        <v>3</v>
      </c>
      <c r="G58" s="440">
        <v>250</v>
      </c>
      <c r="H58" s="439">
        <v>0</v>
      </c>
      <c r="I58" s="445">
        <v>5</v>
      </c>
      <c r="J58" s="447"/>
      <c r="K58" s="448"/>
      <c r="L58" s="448"/>
      <c r="M58" s="448"/>
      <c r="N58" s="448"/>
      <c r="O58" s="448"/>
      <c r="P58" s="448"/>
      <c r="Q58" s="448"/>
      <c r="R58" s="448"/>
      <c r="S58" s="448"/>
      <c r="T58" s="448"/>
      <c r="U58" s="448"/>
      <c r="V58" s="448"/>
      <c r="W58" s="440"/>
      <c r="X58" s="449"/>
      <c r="Y58" s="440"/>
      <c r="Z58" s="450"/>
    </row>
    <row r="59" spans="1:26" s="439" customFormat="1" ht="19.5" customHeight="1" x14ac:dyDescent="0.2">
      <c r="A59" s="439" t="s">
        <v>102</v>
      </c>
      <c r="B59" s="445" t="s">
        <v>30</v>
      </c>
      <c r="C59" s="439" t="s">
        <v>58</v>
      </c>
      <c r="D59" s="446" t="s">
        <v>162</v>
      </c>
      <c r="E59" s="440">
        <v>3</v>
      </c>
      <c r="F59" s="440">
        <v>4</v>
      </c>
      <c r="G59" s="440">
        <v>850</v>
      </c>
      <c r="H59" s="439">
        <v>55</v>
      </c>
      <c r="I59" s="445">
        <f>1.8 * MIN(6, MAX(E59,F59)) + 0.45 * MIN(6, MIN(E59,F59)) + IF(E59&gt;6, (E59-6)*0.2) + IF(F59&gt;6, (F59-6)*0.2)</f>
        <v>8.5500000000000007</v>
      </c>
      <c r="J59" s="447"/>
      <c r="K59" s="448"/>
      <c r="L59" s="448"/>
      <c r="M59" s="448"/>
      <c r="N59" s="448"/>
      <c r="O59" s="448"/>
      <c r="P59" s="448"/>
      <c r="Q59" s="448"/>
      <c r="R59" s="448"/>
      <c r="S59" s="448"/>
      <c r="T59" s="448"/>
      <c r="U59" s="448"/>
      <c r="V59" s="448"/>
      <c r="W59" s="440"/>
      <c r="X59" s="449"/>
      <c r="Y59" s="440"/>
      <c r="Z59" s="450"/>
    </row>
    <row r="60" spans="1:26" s="454" customFormat="1" ht="19.5" customHeight="1" x14ac:dyDescent="0.2">
      <c r="A60" s="454" t="s">
        <v>102</v>
      </c>
      <c r="B60" s="465" t="s">
        <v>30</v>
      </c>
      <c r="C60" s="454" t="s">
        <v>58</v>
      </c>
      <c r="D60" s="452" t="s">
        <v>163</v>
      </c>
      <c r="E60" s="453">
        <v>6</v>
      </c>
      <c r="F60" s="453">
        <v>0</v>
      </c>
      <c r="G60" s="453">
        <v>1100</v>
      </c>
      <c r="H60" s="454">
        <v>110</v>
      </c>
      <c r="I60" s="445">
        <f>1.8 * MIN(6, MAX(E60,F60)) + 0.45 * MIN(6, MIN(E60,F60)) + IF(E60&gt;6, (E60-6)*0.2) + IF(F60&gt;6, (F60-6)*0.2)</f>
        <v>10.8</v>
      </c>
      <c r="J60" s="455"/>
      <c r="K60" s="456"/>
      <c r="L60" s="456"/>
      <c r="M60" s="456"/>
      <c r="N60" s="456"/>
      <c r="O60" s="456"/>
      <c r="P60" s="456"/>
      <c r="Q60" s="456"/>
      <c r="R60" s="456"/>
      <c r="S60" s="456"/>
      <c r="T60" s="456"/>
      <c r="U60" s="456"/>
      <c r="V60" s="456"/>
      <c r="W60" s="453"/>
      <c r="X60" s="457"/>
      <c r="Y60" s="453"/>
      <c r="Z60" s="458"/>
    </row>
    <row r="61" spans="1:26" s="451" customFormat="1" ht="19.5" customHeight="1" x14ac:dyDescent="0.2">
      <c r="A61" s="451" t="s">
        <v>103</v>
      </c>
      <c r="B61" s="459" t="s">
        <v>30</v>
      </c>
      <c r="C61" s="451" t="s">
        <v>256</v>
      </c>
      <c r="D61" s="460" t="s">
        <v>164</v>
      </c>
      <c r="E61" s="461">
        <v>2</v>
      </c>
      <c r="F61" s="461"/>
      <c r="G61" s="461">
        <v>245</v>
      </c>
      <c r="H61" s="451">
        <v>20</v>
      </c>
      <c r="I61" s="459">
        <v>5</v>
      </c>
      <c r="J61" s="462">
        <v>0.4</v>
      </c>
      <c r="K61" s="463">
        <v>0.1</v>
      </c>
      <c r="L61" s="463"/>
      <c r="M61" s="463"/>
      <c r="N61" s="463"/>
      <c r="O61" s="463"/>
      <c r="P61" s="463"/>
      <c r="Q61" s="463"/>
      <c r="R61" s="463">
        <v>-0.3</v>
      </c>
      <c r="S61" s="463"/>
      <c r="T61" s="463"/>
      <c r="U61" s="463">
        <v>-0.1</v>
      </c>
      <c r="V61" s="463">
        <v>-0.1</v>
      </c>
      <c r="W61" s="440"/>
      <c r="X61" s="449"/>
      <c r="Y61" s="461"/>
      <c r="Z61" s="464"/>
    </row>
    <row r="62" spans="1:26" s="439" customFormat="1" ht="19.5" customHeight="1" x14ac:dyDescent="0.2">
      <c r="A62" s="439" t="s">
        <v>103</v>
      </c>
      <c r="B62" s="445" t="s">
        <v>30</v>
      </c>
      <c r="C62" s="439" t="s">
        <v>256</v>
      </c>
      <c r="D62" s="446" t="s">
        <v>165</v>
      </c>
      <c r="E62" s="440"/>
      <c r="F62" s="440">
        <v>2</v>
      </c>
      <c r="G62" s="440">
        <v>250</v>
      </c>
      <c r="H62" s="439">
        <v>20</v>
      </c>
      <c r="I62" s="445">
        <v>5</v>
      </c>
      <c r="J62" s="447"/>
      <c r="K62" s="448"/>
      <c r="L62" s="448"/>
      <c r="M62" s="448"/>
      <c r="N62" s="448"/>
      <c r="O62" s="448"/>
      <c r="P62" s="448"/>
      <c r="Q62" s="448"/>
      <c r="R62" s="448"/>
      <c r="S62" s="448"/>
      <c r="T62" s="448"/>
      <c r="U62" s="448"/>
      <c r="V62" s="448"/>
      <c r="W62" s="440"/>
      <c r="X62" s="449"/>
      <c r="Y62" s="440"/>
      <c r="Z62" s="450"/>
    </row>
    <row r="63" spans="1:26" s="439" customFormat="1" ht="19.5" customHeight="1" x14ac:dyDescent="0.2">
      <c r="A63" s="439" t="s">
        <v>103</v>
      </c>
      <c r="B63" s="445" t="s">
        <v>30</v>
      </c>
      <c r="C63" s="439" t="s">
        <v>256</v>
      </c>
      <c r="D63" s="446" t="s">
        <v>166</v>
      </c>
      <c r="E63" s="440">
        <v>0</v>
      </c>
      <c r="F63" s="440">
        <v>3</v>
      </c>
      <c r="G63" s="440">
        <v>960</v>
      </c>
      <c r="H63" s="439">
        <v>0</v>
      </c>
      <c r="I63" s="445">
        <f>1.8 * MIN(6, MAX(E63,F63)) + 0.45 * MIN(6, MIN(E63,F63)) + IF(E63&gt;6, (E63-6)*0.2) + IF(F63&gt;6, (F63-6)*0.2)</f>
        <v>5.4</v>
      </c>
      <c r="J63" s="447"/>
      <c r="K63" s="448"/>
      <c r="L63" s="448"/>
      <c r="M63" s="448"/>
      <c r="N63" s="448"/>
      <c r="O63" s="448"/>
      <c r="P63" s="448"/>
      <c r="Q63" s="448"/>
      <c r="R63" s="448"/>
      <c r="S63" s="448"/>
      <c r="T63" s="448"/>
      <c r="U63" s="448"/>
      <c r="V63" s="448"/>
      <c r="W63" s="440"/>
      <c r="X63" s="449"/>
      <c r="Y63" s="440"/>
      <c r="Z63" s="450"/>
    </row>
    <row r="64" spans="1:26" s="454" customFormat="1" ht="19.5" customHeight="1" x14ac:dyDescent="0.2">
      <c r="A64" s="454" t="s">
        <v>103</v>
      </c>
      <c r="B64" s="465" t="s">
        <v>30</v>
      </c>
      <c r="C64" s="454" t="s">
        <v>256</v>
      </c>
      <c r="D64" s="452" t="s">
        <v>167</v>
      </c>
      <c r="E64" s="453">
        <v>3</v>
      </c>
      <c r="F64" s="453">
        <v>2</v>
      </c>
      <c r="G64" s="453">
        <v>875</v>
      </c>
      <c r="H64" s="454">
        <v>55</v>
      </c>
      <c r="I64" s="445">
        <f>1.8 * MIN(6, MAX(E64,F64)) + 0.45 * MIN(6, MIN(E64,F64)) + IF(E64&gt;6, (E64-6)*0.2) + IF(F64&gt;6, (F64-6)*0.2)</f>
        <v>6.3000000000000007</v>
      </c>
      <c r="J64" s="455"/>
      <c r="K64" s="456"/>
      <c r="L64" s="456"/>
      <c r="M64" s="456"/>
      <c r="N64" s="456"/>
      <c r="O64" s="456"/>
      <c r="P64" s="456"/>
      <c r="Q64" s="456"/>
      <c r="R64" s="456"/>
      <c r="S64" s="456"/>
      <c r="T64" s="456"/>
      <c r="U64" s="456"/>
      <c r="V64" s="456"/>
      <c r="W64" s="453"/>
      <c r="X64" s="457"/>
      <c r="Y64" s="453"/>
      <c r="Z64" s="458"/>
    </row>
    <row r="65" spans="1:26" s="451" customFormat="1" ht="19.5" customHeight="1" x14ac:dyDescent="0.2">
      <c r="A65" s="451" t="s">
        <v>104</v>
      </c>
      <c r="B65" s="459" t="s">
        <v>30</v>
      </c>
      <c r="C65" s="451" t="s">
        <v>62</v>
      </c>
      <c r="D65" s="460" t="s">
        <v>168</v>
      </c>
      <c r="E65" s="461">
        <v>3</v>
      </c>
      <c r="F65" s="461"/>
      <c r="G65" s="461">
        <v>275</v>
      </c>
      <c r="H65" s="451">
        <v>0</v>
      </c>
      <c r="I65" s="459">
        <v>5</v>
      </c>
      <c r="J65" s="462">
        <v>0.05</v>
      </c>
      <c r="K65" s="463"/>
      <c r="L65" s="463"/>
      <c r="M65" s="463"/>
      <c r="N65" s="463"/>
      <c r="O65" s="463"/>
      <c r="P65" s="463"/>
      <c r="Q65" s="463"/>
      <c r="R65" s="463">
        <v>-0.15</v>
      </c>
      <c r="S65" s="463"/>
      <c r="T65" s="463"/>
      <c r="U65" s="463">
        <v>0.1</v>
      </c>
      <c r="V65" s="463"/>
      <c r="W65" s="440"/>
      <c r="X65" s="449"/>
      <c r="Y65" s="461"/>
      <c r="Z65" s="464"/>
    </row>
    <row r="66" spans="1:26" s="439" customFormat="1" ht="19.5" customHeight="1" x14ac:dyDescent="0.2">
      <c r="A66" s="439" t="s">
        <v>104</v>
      </c>
      <c r="B66" s="445" t="s">
        <v>30</v>
      </c>
      <c r="C66" s="439" t="s">
        <v>62</v>
      </c>
      <c r="D66" s="446" t="s">
        <v>169</v>
      </c>
      <c r="E66" s="440"/>
      <c r="F66" s="440">
        <v>3</v>
      </c>
      <c r="G66" s="440">
        <v>275</v>
      </c>
      <c r="H66" s="439">
        <v>0</v>
      </c>
      <c r="I66" s="445">
        <v>5</v>
      </c>
      <c r="J66" s="447"/>
      <c r="K66" s="448"/>
      <c r="L66" s="448"/>
      <c r="M66" s="448"/>
      <c r="N66" s="448"/>
      <c r="O66" s="448"/>
      <c r="P66" s="448"/>
      <c r="Q66" s="448"/>
      <c r="R66" s="448"/>
      <c r="S66" s="448"/>
      <c r="T66" s="448"/>
      <c r="U66" s="448"/>
      <c r="V66" s="448"/>
      <c r="W66" s="440"/>
      <c r="X66" s="449"/>
      <c r="Y66" s="440"/>
      <c r="Z66" s="450"/>
    </row>
    <row r="67" spans="1:26" s="439" customFormat="1" ht="19.5" customHeight="1" x14ac:dyDescent="0.2">
      <c r="A67" s="439" t="s">
        <v>104</v>
      </c>
      <c r="B67" s="445" t="s">
        <v>30</v>
      </c>
      <c r="C67" s="439" t="s">
        <v>62</v>
      </c>
      <c r="D67" s="446" t="s">
        <v>170</v>
      </c>
      <c r="E67" s="440">
        <v>4</v>
      </c>
      <c r="F67" s="440">
        <v>4</v>
      </c>
      <c r="G67" s="440">
        <v>900</v>
      </c>
      <c r="H67" s="439">
        <v>0</v>
      </c>
      <c r="I67" s="445">
        <f>1.8 * MIN(6, MAX(E67,F67)) + 0.45 * MIN(6, MIN(E67,F67)) + IF(E67&gt;6, (E67-6)*0.2) + IF(F67&gt;6, (F67-6)*0.2)</f>
        <v>9</v>
      </c>
      <c r="J67" s="447"/>
      <c r="K67" s="448"/>
      <c r="L67" s="448"/>
      <c r="M67" s="448"/>
      <c r="N67" s="448"/>
      <c r="O67" s="448"/>
      <c r="P67" s="448"/>
      <c r="Q67" s="448"/>
      <c r="R67" s="448"/>
      <c r="S67" s="448"/>
      <c r="T67" s="448"/>
      <c r="U67" s="448"/>
      <c r="V67" s="448"/>
      <c r="W67" s="440"/>
      <c r="X67" s="449"/>
      <c r="Y67" s="440"/>
      <c r="Z67" s="450"/>
    </row>
    <row r="68" spans="1:26" s="454" customFormat="1" ht="19.5" customHeight="1" x14ac:dyDescent="0.2">
      <c r="A68" s="454" t="s">
        <v>104</v>
      </c>
      <c r="B68" s="465" t="s">
        <v>30</v>
      </c>
      <c r="C68" s="454" t="s">
        <v>62</v>
      </c>
      <c r="D68" s="452" t="s">
        <v>171</v>
      </c>
      <c r="E68" s="453">
        <v>6</v>
      </c>
      <c r="F68" s="453">
        <v>2</v>
      </c>
      <c r="G68" s="453">
        <v>1085</v>
      </c>
      <c r="H68" s="454">
        <v>0</v>
      </c>
      <c r="I68" s="465">
        <f>1.8 * MIN(6, MAX(E68,F68)) + 0.45 * MIN(6, MIN(E68,F68)) + IF(E68&gt;6, (E68-6)*0.2) + IF(F68&gt;6, (F68-6)*0.2)</f>
        <v>11.700000000000001</v>
      </c>
      <c r="J68" s="455"/>
      <c r="K68" s="456"/>
      <c r="L68" s="456"/>
      <c r="M68" s="456"/>
      <c r="N68" s="456"/>
      <c r="O68" s="456"/>
      <c r="P68" s="456"/>
      <c r="Q68" s="456"/>
      <c r="R68" s="456"/>
      <c r="S68" s="456"/>
      <c r="T68" s="456"/>
      <c r="U68" s="456"/>
      <c r="V68" s="456"/>
      <c r="W68" s="453"/>
      <c r="X68" s="457"/>
      <c r="Y68" s="453"/>
      <c r="Z68" s="458"/>
    </row>
    <row r="69" spans="1:26" s="451" customFormat="1" ht="19.5" customHeight="1" x14ac:dyDescent="0.2">
      <c r="A69" s="451" t="s">
        <v>341</v>
      </c>
      <c r="B69" s="459" t="s">
        <v>30</v>
      </c>
      <c r="C69" s="451" t="s">
        <v>257</v>
      </c>
      <c r="D69" s="460" t="s">
        <v>342</v>
      </c>
      <c r="E69" s="461">
        <v>3</v>
      </c>
      <c r="F69" s="461"/>
      <c r="G69" s="461">
        <v>300</v>
      </c>
      <c r="H69" s="451">
        <v>0</v>
      </c>
      <c r="I69" s="459">
        <v>5</v>
      </c>
      <c r="J69" s="462"/>
      <c r="K69" s="463"/>
      <c r="L69" s="463">
        <v>0.05</v>
      </c>
      <c r="M69" s="463"/>
      <c r="N69" s="463">
        <v>-0.1</v>
      </c>
      <c r="O69" s="463"/>
      <c r="P69" s="463"/>
      <c r="Q69" s="463"/>
      <c r="R69" s="463">
        <v>-0.5</v>
      </c>
      <c r="S69" s="463"/>
      <c r="T69" s="463"/>
      <c r="U69" s="463"/>
      <c r="V69" s="463"/>
      <c r="W69" s="440"/>
      <c r="X69" s="449"/>
      <c r="Y69" s="461"/>
      <c r="Z69" s="464"/>
    </row>
    <row r="70" spans="1:26" s="439" customFormat="1" ht="19.5" customHeight="1" x14ac:dyDescent="0.2">
      <c r="A70" s="439" t="s">
        <v>341</v>
      </c>
      <c r="B70" s="445" t="s">
        <v>30</v>
      </c>
      <c r="C70" s="439" t="s">
        <v>257</v>
      </c>
      <c r="D70" s="446" t="s">
        <v>343</v>
      </c>
      <c r="E70" s="440"/>
      <c r="F70" s="440">
        <v>3</v>
      </c>
      <c r="G70" s="440">
        <v>350</v>
      </c>
      <c r="H70" s="439">
        <v>25</v>
      </c>
      <c r="I70" s="445">
        <v>5</v>
      </c>
      <c r="J70" s="447"/>
      <c r="K70" s="448"/>
      <c r="L70" s="448"/>
      <c r="M70" s="448"/>
      <c r="N70" s="448"/>
      <c r="O70" s="448"/>
      <c r="P70" s="448"/>
      <c r="Q70" s="448"/>
      <c r="R70" s="448"/>
      <c r="S70" s="448"/>
      <c r="T70" s="448"/>
      <c r="U70" s="448"/>
      <c r="V70" s="448"/>
      <c r="W70" s="440"/>
      <c r="X70" s="449"/>
      <c r="Y70" s="440"/>
      <c r="Z70" s="450"/>
    </row>
    <row r="71" spans="1:26" s="439" customFormat="1" ht="19.5" customHeight="1" x14ac:dyDescent="0.2">
      <c r="A71" s="439" t="s">
        <v>341</v>
      </c>
      <c r="B71" s="445" t="s">
        <v>30</v>
      </c>
      <c r="C71" s="439" t="s">
        <v>257</v>
      </c>
      <c r="D71" s="446" t="s">
        <v>344</v>
      </c>
      <c r="E71" s="440">
        <v>3</v>
      </c>
      <c r="F71" s="440">
        <v>3</v>
      </c>
      <c r="G71" s="440">
        <v>850</v>
      </c>
      <c r="H71" s="439">
        <v>100</v>
      </c>
      <c r="I71" s="445">
        <f>1.8 * MIN(6, MAX(E71,F71)) + 0.45 * MIN(6, MIN(E71,F71)) + IF(E71&gt;6, (E71-6)*0.2) + IF(F71&gt;6, (F71-6)*0.2)</f>
        <v>6.75</v>
      </c>
      <c r="J71" s="447"/>
      <c r="K71" s="448"/>
      <c r="L71" s="448"/>
      <c r="M71" s="448"/>
      <c r="N71" s="448"/>
      <c r="O71" s="448"/>
      <c r="P71" s="448"/>
      <c r="Q71" s="448"/>
      <c r="R71" s="448"/>
      <c r="S71" s="448"/>
      <c r="T71" s="448"/>
      <c r="U71" s="448"/>
      <c r="V71" s="448"/>
      <c r="W71" s="440"/>
      <c r="X71" s="449"/>
      <c r="Y71" s="440"/>
      <c r="Z71" s="450"/>
    </row>
    <row r="72" spans="1:26" s="454" customFormat="1" ht="19.5" customHeight="1" x14ac:dyDescent="0.2">
      <c r="A72" s="454" t="s">
        <v>341</v>
      </c>
      <c r="B72" s="465" t="s">
        <v>30</v>
      </c>
      <c r="C72" s="454" t="s">
        <v>257</v>
      </c>
      <c r="D72" s="452" t="s">
        <v>345</v>
      </c>
      <c r="E72" s="453">
        <v>4</v>
      </c>
      <c r="F72" s="453">
        <v>2</v>
      </c>
      <c r="G72" s="453">
        <v>1100</v>
      </c>
      <c r="H72" s="454">
        <v>0</v>
      </c>
      <c r="I72" s="465">
        <f>1.8 * MIN(6, MAX(E72,F72)) + 0.45 * MIN(6, MIN(E72,F72)) + IF(E72&gt;6, (E72-6)*0.2) + IF(F72&gt;6, (F72-6)*0.2)</f>
        <v>8.1</v>
      </c>
      <c r="J72" s="455"/>
      <c r="K72" s="456"/>
      <c r="L72" s="456"/>
      <c r="M72" s="456"/>
      <c r="N72" s="456"/>
      <c r="O72" s="456"/>
      <c r="P72" s="456"/>
      <c r="Q72" s="456"/>
      <c r="R72" s="456"/>
      <c r="S72" s="456"/>
      <c r="T72" s="456"/>
      <c r="U72" s="456"/>
      <c r="V72" s="456"/>
      <c r="W72" s="453"/>
      <c r="X72" s="457"/>
      <c r="Y72" s="453"/>
      <c r="Z72" s="458"/>
    </row>
    <row r="73" spans="1:26" ht="19.5" customHeight="1" x14ac:dyDescent="0.2">
      <c r="A73" s="451" t="s">
        <v>355</v>
      </c>
      <c r="B73" s="459" t="s">
        <v>98</v>
      </c>
      <c r="C73" s="451" t="s">
        <v>254</v>
      </c>
      <c r="D73" s="460" t="s">
        <v>349</v>
      </c>
      <c r="E73" s="461">
        <v>3</v>
      </c>
      <c r="F73" s="461"/>
      <c r="G73" s="461">
        <v>300</v>
      </c>
      <c r="H73" s="451">
        <v>0</v>
      </c>
      <c r="I73" s="459">
        <v>5</v>
      </c>
      <c r="J73" s="462">
        <v>0.05</v>
      </c>
      <c r="K73" s="463"/>
      <c r="L73" s="463"/>
      <c r="M73" s="463"/>
      <c r="N73" s="463">
        <v>-0.1</v>
      </c>
      <c r="O73" s="463"/>
      <c r="P73" s="463"/>
      <c r="Q73" s="463">
        <v>0.15</v>
      </c>
      <c r="R73" s="463"/>
      <c r="S73" s="463"/>
      <c r="T73" s="463"/>
      <c r="U73" s="463"/>
      <c r="V73" s="463"/>
      <c r="W73" s="440"/>
      <c r="X73" s="449"/>
      <c r="Y73" s="533">
        <v>-7.4999999999999997E-2</v>
      </c>
      <c r="Z73" s="450"/>
    </row>
    <row r="74" spans="1:26" ht="19.5" customHeight="1" x14ac:dyDescent="0.2">
      <c r="A74" s="439" t="s">
        <v>355</v>
      </c>
      <c r="B74" s="445" t="s">
        <v>98</v>
      </c>
      <c r="C74" s="439" t="s">
        <v>254</v>
      </c>
      <c r="D74" s="446" t="s">
        <v>350</v>
      </c>
      <c r="E74" s="440"/>
      <c r="F74" s="440">
        <v>3</v>
      </c>
      <c r="G74" s="440">
        <v>300</v>
      </c>
      <c r="H74" s="439">
        <v>0</v>
      </c>
      <c r="I74" s="445">
        <v>5</v>
      </c>
      <c r="J74" s="447"/>
      <c r="K74" s="448"/>
      <c r="L74" s="448"/>
      <c r="M74" s="448"/>
      <c r="N74" s="448"/>
      <c r="O74" s="448"/>
      <c r="P74" s="448"/>
      <c r="Q74" s="448"/>
      <c r="R74" s="448"/>
      <c r="S74" s="448"/>
      <c r="T74" s="448"/>
      <c r="U74" s="448"/>
      <c r="V74" s="448"/>
      <c r="W74" s="440"/>
      <c r="X74" s="449"/>
      <c r="Y74" s="440"/>
      <c r="Z74" s="450"/>
    </row>
    <row r="75" spans="1:26" ht="19.5" customHeight="1" x14ac:dyDescent="0.2">
      <c r="A75" s="439" t="s">
        <v>355</v>
      </c>
      <c r="B75" s="445" t="s">
        <v>98</v>
      </c>
      <c r="C75" s="439" t="s">
        <v>254</v>
      </c>
      <c r="D75" s="446" t="s">
        <v>351</v>
      </c>
      <c r="E75" s="440">
        <v>0</v>
      </c>
      <c r="F75" s="440">
        <v>4.5</v>
      </c>
      <c r="G75" s="440">
        <v>925</v>
      </c>
      <c r="H75" s="439">
        <v>0</v>
      </c>
      <c r="I75" s="445">
        <f>1.8 * MIN(6, MAX(E75,F75)) + 0.45 * MIN(6, MIN(E75,F75)) + IF(E75&gt;6, (E75-6)*0.2) + IF(F75&gt;6, (F75-6)*0.2)</f>
        <v>8.1</v>
      </c>
      <c r="J75" s="447"/>
      <c r="K75" s="448"/>
      <c r="L75" s="448"/>
      <c r="M75" s="448"/>
      <c r="N75" s="448"/>
      <c r="O75" s="448"/>
      <c r="P75" s="448"/>
      <c r="Q75" s="448"/>
      <c r="R75" s="448"/>
      <c r="S75" s="448"/>
      <c r="T75" s="448"/>
      <c r="U75" s="448"/>
      <c r="V75" s="448"/>
      <c r="W75" s="440"/>
      <c r="X75" s="449"/>
      <c r="Y75" s="440"/>
      <c r="Z75" s="450"/>
    </row>
    <row r="76" spans="1:26" ht="19.5" customHeight="1" x14ac:dyDescent="0.2">
      <c r="A76" s="454" t="s">
        <v>355</v>
      </c>
      <c r="B76" s="465" t="s">
        <v>98</v>
      </c>
      <c r="C76" s="454" t="s">
        <v>254</v>
      </c>
      <c r="D76" s="452" t="s">
        <v>352</v>
      </c>
      <c r="E76" s="453">
        <v>5</v>
      </c>
      <c r="F76" s="453">
        <v>3</v>
      </c>
      <c r="G76" s="453">
        <v>925</v>
      </c>
      <c r="H76" s="454">
        <v>0</v>
      </c>
      <c r="I76" s="465">
        <f>1.8 * MIN(6, MAX(E76,F76)) + 0.45 * MIN(6, MIN(E76,F76)) + IF(E76&gt;6, (E76-6)*0.2) + IF(F76&gt;6, (F76-6)*0.2)</f>
        <v>10.35</v>
      </c>
      <c r="J76" s="455"/>
      <c r="K76" s="456"/>
      <c r="L76" s="456"/>
      <c r="M76" s="456"/>
      <c r="N76" s="456"/>
      <c r="O76" s="456"/>
      <c r="P76" s="456"/>
      <c r="Q76" s="456"/>
      <c r="R76" s="456"/>
      <c r="S76" s="456"/>
      <c r="T76" s="456"/>
      <c r="U76" s="456"/>
      <c r="V76" s="456"/>
      <c r="W76" s="453"/>
      <c r="X76" s="457"/>
      <c r="Y76" s="453"/>
      <c r="Z76" s="450"/>
    </row>
    <row r="77" spans="1:26" s="439" customFormat="1" ht="19.5" customHeight="1" x14ac:dyDescent="0.2">
      <c r="A77" s="451" t="s">
        <v>147</v>
      </c>
      <c r="B77" s="459" t="s">
        <v>30</v>
      </c>
      <c r="C77" s="466" t="s">
        <v>58</v>
      </c>
      <c r="D77" s="451" t="s">
        <v>368</v>
      </c>
      <c r="E77" s="461">
        <v>4</v>
      </c>
      <c r="F77" s="461"/>
      <c r="G77" s="461">
        <v>375</v>
      </c>
      <c r="H77" s="451">
        <v>25</v>
      </c>
      <c r="I77" s="459">
        <v>5</v>
      </c>
      <c r="J77" s="462"/>
      <c r="K77" s="463"/>
      <c r="L77" s="463"/>
      <c r="M77" s="463"/>
      <c r="N77" s="463">
        <v>0.5</v>
      </c>
      <c r="O77" s="463"/>
      <c r="P77" s="463"/>
      <c r="Q77" s="463"/>
      <c r="R77" s="463">
        <v>0.2</v>
      </c>
      <c r="S77" s="463"/>
      <c r="T77" s="463"/>
      <c r="U77" s="463"/>
      <c r="V77" s="463"/>
      <c r="W77" s="440"/>
      <c r="X77" s="449"/>
      <c r="Y77" s="440"/>
      <c r="Z77" s="464"/>
    </row>
    <row r="78" spans="1:26" s="439" customFormat="1" ht="19.5" customHeight="1" x14ac:dyDescent="0.2">
      <c r="A78" s="439" t="s">
        <v>147</v>
      </c>
      <c r="B78" s="445" t="s">
        <v>30</v>
      </c>
      <c r="C78" s="467" t="s">
        <v>58</v>
      </c>
      <c r="D78" s="439" t="s">
        <v>337</v>
      </c>
      <c r="E78" s="440"/>
      <c r="F78" s="440">
        <v>3</v>
      </c>
      <c r="G78" s="440">
        <v>300</v>
      </c>
      <c r="H78" s="439">
        <v>0</v>
      </c>
      <c r="I78" s="445">
        <v>5</v>
      </c>
      <c r="J78" s="447"/>
      <c r="K78" s="448"/>
      <c r="L78" s="448"/>
      <c r="M78" s="448"/>
      <c r="N78" s="448"/>
      <c r="O78" s="448"/>
      <c r="P78" s="448"/>
      <c r="Q78" s="448"/>
      <c r="R78" s="448"/>
      <c r="S78" s="448"/>
      <c r="T78" s="448"/>
      <c r="U78" s="448"/>
      <c r="V78" s="448"/>
      <c r="W78" s="440"/>
      <c r="X78" s="449"/>
      <c r="Y78" s="440"/>
      <c r="Z78" s="450"/>
    </row>
    <row r="79" spans="1:26" s="439" customFormat="1" ht="19.5" customHeight="1" x14ac:dyDescent="0.2">
      <c r="A79" s="439" t="s">
        <v>147</v>
      </c>
      <c r="B79" s="445" t="s">
        <v>30</v>
      </c>
      <c r="C79" s="467" t="s">
        <v>58</v>
      </c>
      <c r="D79" s="439" t="s">
        <v>387</v>
      </c>
      <c r="E79" s="440">
        <v>0</v>
      </c>
      <c r="F79" s="440">
        <v>5</v>
      </c>
      <c r="G79" s="440">
        <v>975</v>
      </c>
      <c r="H79" s="439">
        <v>0</v>
      </c>
      <c r="I79" s="445">
        <f>1.8 * MIN(6, MAX(E79,F79)) + 0.45 * MIN(6, MIN(E79,F79)) + IF(E79&gt;6, (E79-6)*0.2) + IF(F79&gt;6, (F79-6)*0.2)</f>
        <v>9</v>
      </c>
      <c r="J79" s="447"/>
      <c r="K79" s="448"/>
      <c r="L79" s="448"/>
      <c r="M79" s="448"/>
      <c r="N79" s="448"/>
      <c r="O79" s="448"/>
      <c r="P79" s="448"/>
      <c r="Q79" s="448"/>
      <c r="R79" s="448"/>
      <c r="S79" s="448"/>
      <c r="T79" s="448"/>
      <c r="U79" s="448"/>
      <c r="V79" s="448"/>
      <c r="W79" s="440"/>
      <c r="X79" s="449"/>
      <c r="Y79" s="440"/>
      <c r="Z79" s="450"/>
    </row>
    <row r="80" spans="1:26" s="439" customFormat="1" ht="19.5" customHeight="1" x14ac:dyDescent="0.2">
      <c r="A80" s="454" t="s">
        <v>147</v>
      </c>
      <c r="B80" s="465" t="s">
        <v>30</v>
      </c>
      <c r="C80" s="468" t="s">
        <v>58</v>
      </c>
      <c r="D80" s="454" t="s">
        <v>369</v>
      </c>
      <c r="E80" s="453">
        <v>5</v>
      </c>
      <c r="F80" s="453">
        <v>2</v>
      </c>
      <c r="G80" s="453">
        <v>1150</v>
      </c>
      <c r="H80" s="454">
        <v>100</v>
      </c>
      <c r="I80" s="465">
        <f>1.8 * MIN(6, MAX(E80,F80)) + 0.45 * MIN(6, MIN(E80,F80)) + IF(E80&gt;6, (E80-6)*0.2) + IF(F80&gt;6, (F80-6)*0.2)</f>
        <v>9.9</v>
      </c>
      <c r="J80" s="455"/>
      <c r="K80" s="456"/>
      <c r="L80" s="456"/>
      <c r="M80" s="456"/>
      <c r="N80" s="456"/>
      <c r="O80" s="456"/>
      <c r="P80" s="456"/>
      <c r="Q80" s="456"/>
      <c r="R80" s="456"/>
      <c r="S80" s="456"/>
      <c r="T80" s="456"/>
      <c r="U80" s="456"/>
      <c r="V80" s="456"/>
      <c r="W80" s="453"/>
      <c r="X80" s="457"/>
      <c r="Y80" s="453"/>
      <c r="Z80" s="458"/>
    </row>
    <row r="81" spans="1:26" s="439" customFormat="1" ht="19.5" customHeight="1" x14ac:dyDescent="0.2">
      <c r="A81" s="451" t="s">
        <v>515</v>
      </c>
      <c r="B81" s="459" t="s">
        <v>30</v>
      </c>
      <c r="C81" s="466" t="s">
        <v>60</v>
      </c>
      <c r="D81" s="451" t="s">
        <v>434</v>
      </c>
      <c r="E81" s="461">
        <v>3</v>
      </c>
      <c r="F81" s="461"/>
      <c r="G81" s="461">
        <v>300</v>
      </c>
      <c r="H81" s="451">
        <v>0</v>
      </c>
      <c r="I81" s="459">
        <v>5</v>
      </c>
      <c r="J81" s="462"/>
      <c r="K81" s="463"/>
      <c r="L81" s="463"/>
      <c r="M81" s="463"/>
      <c r="N81" s="463"/>
      <c r="O81" s="463">
        <v>0.1</v>
      </c>
      <c r="P81" s="463"/>
      <c r="Q81" s="463"/>
      <c r="R81" s="463">
        <v>-0.2</v>
      </c>
      <c r="S81" s="463"/>
      <c r="T81" s="463"/>
      <c r="U81" s="463"/>
      <c r="V81" s="463"/>
      <c r="W81" s="440"/>
      <c r="X81" s="449"/>
      <c r="Y81" s="440"/>
      <c r="Z81" s="469">
        <v>0.1</v>
      </c>
    </row>
    <row r="82" spans="1:26" s="439" customFormat="1" ht="19.5" customHeight="1" x14ac:dyDescent="0.2">
      <c r="A82" s="439" t="s">
        <v>515</v>
      </c>
      <c r="B82" s="445" t="s">
        <v>30</v>
      </c>
      <c r="C82" s="467" t="s">
        <v>60</v>
      </c>
      <c r="D82" s="439" t="s">
        <v>435</v>
      </c>
      <c r="E82" s="440"/>
      <c r="F82" s="440">
        <v>3</v>
      </c>
      <c r="G82" s="440">
        <v>325</v>
      </c>
      <c r="H82" s="439">
        <v>12</v>
      </c>
      <c r="I82" s="445">
        <v>5</v>
      </c>
      <c r="J82" s="447"/>
      <c r="K82" s="448"/>
      <c r="L82" s="448"/>
      <c r="M82" s="448"/>
      <c r="N82" s="448"/>
      <c r="O82" s="448"/>
      <c r="P82" s="448"/>
      <c r="Q82" s="448"/>
      <c r="R82" s="448"/>
      <c r="S82" s="448"/>
      <c r="T82" s="448"/>
      <c r="U82" s="448"/>
      <c r="V82" s="448"/>
      <c r="W82" s="440"/>
      <c r="X82" s="449"/>
      <c r="Y82" s="440"/>
      <c r="Z82" s="450"/>
    </row>
    <row r="83" spans="1:26" s="439" customFormat="1" ht="19.5" customHeight="1" x14ac:dyDescent="0.2">
      <c r="A83" s="439" t="s">
        <v>515</v>
      </c>
      <c r="B83" s="445" t="s">
        <v>30</v>
      </c>
      <c r="C83" s="467" t="s">
        <v>60</v>
      </c>
      <c r="D83" s="439" t="s">
        <v>436</v>
      </c>
      <c r="E83" s="440">
        <v>0</v>
      </c>
      <c r="F83" s="440">
        <v>3</v>
      </c>
      <c r="G83" s="440">
        <v>975</v>
      </c>
      <c r="H83" s="439">
        <v>25</v>
      </c>
      <c r="I83" s="445">
        <f>1.8 * MIN(6, MAX(E83,F83)) + 0.45 * MIN(6, MIN(E83,F83)) + IF(E83&gt;6, (E83-6)*0.2) + IF(F83&gt;6, (F83-6)*0.2)</f>
        <v>5.4</v>
      </c>
      <c r="J83" s="447"/>
      <c r="K83" s="448"/>
      <c r="L83" s="448"/>
      <c r="M83" s="448"/>
      <c r="N83" s="448"/>
      <c r="O83" s="448"/>
      <c r="P83" s="448"/>
      <c r="Q83" s="448"/>
      <c r="R83" s="448"/>
      <c r="S83" s="448"/>
      <c r="T83" s="448"/>
      <c r="U83" s="448"/>
      <c r="V83" s="448"/>
      <c r="W83" s="440"/>
      <c r="X83" s="449"/>
      <c r="Y83" s="440"/>
      <c r="Z83" s="450"/>
    </row>
    <row r="84" spans="1:26" s="439" customFormat="1" ht="19.5" customHeight="1" x14ac:dyDescent="0.2">
      <c r="A84" s="439" t="s">
        <v>515</v>
      </c>
      <c r="B84" s="445" t="s">
        <v>30</v>
      </c>
      <c r="C84" s="467" t="s">
        <v>60</v>
      </c>
      <c r="D84" s="439" t="s">
        <v>437</v>
      </c>
      <c r="E84" s="440">
        <v>5</v>
      </c>
      <c r="F84" s="440">
        <v>2</v>
      </c>
      <c r="G84" s="440">
        <v>950</v>
      </c>
      <c r="H84" s="439">
        <v>0</v>
      </c>
      <c r="I84" s="445">
        <f>1.8 * MIN(6, MAX(E84,F84)) + 0.45 * MIN(6, MIN(E84,F84)) + IF(E84&gt;6, (E84-6)*0.2) + IF(F84&gt;6, (F84-6)*0.2)</f>
        <v>9.9</v>
      </c>
      <c r="J84" s="447"/>
      <c r="K84" s="448"/>
      <c r="L84" s="448"/>
      <c r="M84" s="448"/>
      <c r="N84" s="448"/>
      <c r="O84" s="448"/>
      <c r="P84" s="448"/>
      <c r="Q84" s="448"/>
      <c r="R84" s="448"/>
      <c r="S84" s="448"/>
      <c r="T84" s="448"/>
      <c r="U84" s="448"/>
      <c r="V84" s="448"/>
      <c r="W84" s="440"/>
      <c r="X84" s="449"/>
      <c r="Y84" s="440"/>
      <c r="Z84" s="450"/>
    </row>
    <row r="85" spans="1:26" ht="19.5" customHeight="1" x14ac:dyDescent="0.2">
      <c r="A85" s="470" t="s">
        <v>796</v>
      </c>
      <c r="B85" s="445" t="s">
        <v>796</v>
      </c>
      <c r="C85" s="467" t="s">
        <v>796</v>
      </c>
      <c r="D85" s="76" t="s">
        <v>73</v>
      </c>
      <c r="G85" s="440">
        <v>500</v>
      </c>
      <c r="H85" s="439"/>
      <c r="I85" s="445"/>
      <c r="J85" s="471"/>
      <c r="K85" s="472"/>
      <c r="L85" s="472"/>
      <c r="M85" s="472"/>
      <c r="N85" s="472"/>
      <c r="O85" s="472"/>
      <c r="P85" s="472"/>
      <c r="Q85" s="472"/>
      <c r="R85" s="472"/>
      <c r="S85" s="472"/>
      <c r="T85" s="472"/>
      <c r="U85" s="472"/>
      <c r="V85" s="472"/>
      <c r="W85" s="112"/>
      <c r="X85" s="473"/>
      <c r="Y85" s="112"/>
      <c r="Z85" s="450"/>
    </row>
    <row r="86" spans="1:26" ht="19.5" customHeight="1" x14ac:dyDescent="0.2">
      <c r="A86" s="470" t="s">
        <v>796</v>
      </c>
      <c r="B86" s="445" t="s">
        <v>796</v>
      </c>
      <c r="C86" s="467" t="s">
        <v>796</v>
      </c>
      <c r="D86" s="76" t="s">
        <v>193</v>
      </c>
      <c r="G86" s="440">
        <v>500</v>
      </c>
      <c r="H86" s="439"/>
      <c r="I86" s="445"/>
      <c r="J86" s="471"/>
      <c r="K86" s="472"/>
      <c r="L86" s="472"/>
      <c r="M86" s="472"/>
      <c r="N86" s="472"/>
      <c r="O86" s="472"/>
      <c r="P86" s="472"/>
      <c r="Q86" s="472"/>
      <c r="R86" s="472"/>
      <c r="S86" s="472"/>
      <c r="T86" s="472"/>
      <c r="U86" s="472"/>
      <c r="V86" s="472"/>
      <c r="W86" s="112"/>
      <c r="X86" s="473"/>
      <c r="Y86" s="112"/>
      <c r="Z86" s="450"/>
    </row>
    <row r="87" spans="1:26" ht="19.5" customHeight="1" x14ac:dyDescent="0.2">
      <c r="A87" s="470" t="s">
        <v>796</v>
      </c>
      <c r="B87" s="445" t="s">
        <v>796</v>
      </c>
      <c r="C87" s="467" t="s">
        <v>796</v>
      </c>
      <c r="D87" s="76" t="s">
        <v>194</v>
      </c>
      <c r="G87" s="440">
        <v>1000</v>
      </c>
      <c r="H87" s="440" t="s">
        <v>260</v>
      </c>
      <c r="I87" s="445"/>
      <c r="J87" s="471"/>
      <c r="K87" s="472"/>
      <c r="L87" s="472"/>
      <c r="M87" s="472"/>
      <c r="N87" s="472"/>
      <c r="O87" s="472"/>
      <c r="P87" s="472"/>
      <c r="Q87" s="472"/>
      <c r="R87" s="472"/>
      <c r="S87" s="472"/>
      <c r="T87" s="472"/>
      <c r="U87" s="472"/>
      <c r="V87" s="472"/>
      <c r="W87" s="112"/>
      <c r="X87" s="473"/>
      <c r="Y87" s="112"/>
      <c r="Z87" s="450"/>
    </row>
    <row r="88" spans="1:26" ht="19.5" customHeight="1" x14ac:dyDescent="0.2">
      <c r="C88" s="474"/>
      <c r="J88" s="475"/>
      <c r="K88" s="475"/>
      <c r="L88" s="475"/>
      <c r="M88" s="475"/>
      <c r="N88" s="475"/>
      <c r="O88" s="475"/>
      <c r="P88" s="475"/>
      <c r="Q88" s="475"/>
      <c r="R88" s="475"/>
      <c r="S88" s="475"/>
      <c r="T88" s="475"/>
      <c r="U88" s="475"/>
      <c r="V88" s="475"/>
    </row>
    <row r="89" spans="1:26" ht="19.5" customHeight="1" x14ac:dyDescent="0.2">
      <c r="A89" s="470" t="s">
        <v>89</v>
      </c>
      <c r="B89" s="360">
        <v>5</v>
      </c>
      <c r="C89" s="474"/>
      <c r="D89" s="439" t="s">
        <v>372</v>
      </c>
      <c r="J89" s="475"/>
      <c r="K89" s="475"/>
      <c r="L89" s="475"/>
      <c r="M89" s="475"/>
      <c r="N89" s="475"/>
      <c r="O89" s="475"/>
      <c r="P89" s="475"/>
      <c r="Q89" s="475"/>
      <c r="R89" s="475"/>
      <c r="S89" s="475"/>
      <c r="T89" s="475"/>
      <c r="U89" s="475"/>
      <c r="V89" s="475"/>
    </row>
    <row r="90" spans="1:26" ht="19.5" customHeight="1" x14ac:dyDescent="0.2">
      <c r="A90" s="470" t="s">
        <v>90</v>
      </c>
      <c r="B90" s="360">
        <v>9</v>
      </c>
      <c r="C90" s="474"/>
      <c r="D90" s="360">
        <v>1</v>
      </c>
      <c r="J90" s="475"/>
      <c r="K90" s="475"/>
      <c r="L90" s="475"/>
      <c r="M90" s="475"/>
      <c r="N90" s="475"/>
      <c r="O90" s="475"/>
      <c r="P90" s="475"/>
      <c r="Q90" s="475"/>
      <c r="R90" s="475"/>
      <c r="S90" s="475"/>
      <c r="T90" s="475"/>
      <c r="U90" s="475"/>
      <c r="V90" s="475"/>
    </row>
    <row r="91" spans="1:26" ht="19.5" customHeight="1" x14ac:dyDescent="0.2">
      <c r="A91" s="470" t="s">
        <v>91</v>
      </c>
      <c r="B91" s="360">
        <v>13</v>
      </c>
      <c r="C91" s="474"/>
      <c r="D91" s="360">
        <v>2</v>
      </c>
      <c r="J91" s="475"/>
      <c r="K91" s="475"/>
      <c r="L91" s="475"/>
      <c r="M91" s="475"/>
      <c r="N91" s="475"/>
      <c r="O91" s="475"/>
      <c r="P91" s="475"/>
      <c r="Q91" s="475"/>
      <c r="R91" s="475"/>
      <c r="S91" s="475"/>
      <c r="T91" s="475"/>
      <c r="U91" s="475"/>
      <c r="V91" s="475"/>
    </row>
    <row r="92" spans="1:26" ht="19.5" customHeight="1" x14ac:dyDescent="0.2">
      <c r="A92" s="470" t="s">
        <v>92</v>
      </c>
      <c r="B92" s="360">
        <v>17</v>
      </c>
      <c r="C92" s="474"/>
      <c r="D92" s="360">
        <v>3</v>
      </c>
      <c r="J92" s="475"/>
      <c r="K92" s="475"/>
      <c r="L92" s="475"/>
      <c r="M92" s="475"/>
      <c r="N92" s="475"/>
      <c r="O92" s="475"/>
      <c r="P92" s="475"/>
      <c r="Q92" s="475"/>
      <c r="R92" s="475"/>
      <c r="S92" s="475"/>
      <c r="T92" s="475"/>
      <c r="U92" s="475"/>
      <c r="V92" s="475"/>
    </row>
    <row r="93" spans="1:26" ht="19.5" customHeight="1" x14ac:dyDescent="0.2">
      <c r="A93" s="470" t="s">
        <v>93</v>
      </c>
      <c r="B93" s="360">
        <v>21</v>
      </c>
      <c r="C93" s="474"/>
      <c r="D93" s="360">
        <v>4</v>
      </c>
      <c r="J93" s="475"/>
      <c r="K93" s="475"/>
      <c r="L93" s="475"/>
      <c r="M93" s="475"/>
      <c r="N93" s="475"/>
      <c r="O93" s="475"/>
      <c r="P93" s="475"/>
      <c r="Q93" s="475"/>
      <c r="R93" s="475"/>
      <c r="S93" s="475"/>
      <c r="T93" s="475"/>
      <c r="U93" s="475"/>
      <c r="V93" s="475"/>
    </row>
    <row r="94" spans="1:26" ht="19.5" customHeight="1" x14ac:dyDescent="0.2">
      <c r="A94" s="470" t="s">
        <v>94</v>
      </c>
      <c r="B94" s="360">
        <v>25</v>
      </c>
      <c r="C94" s="474"/>
      <c r="D94" s="360">
        <v>5</v>
      </c>
      <c r="J94" s="475"/>
      <c r="K94" s="475"/>
      <c r="L94" s="475"/>
      <c r="M94" s="475"/>
      <c r="N94" s="475"/>
      <c r="O94" s="475"/>
      <c r="P94" s="475"/>
      <c r="Q94" s="475"/>
      <c r="R94" s="475"/>
      <c r="S94" s="475"/>
      <c r="T94" s="475"/>
      <c r="U94" s="475"/>
      <c r="V94" s="475"/>
    </row>
    <row r="95" spans="1:26" ht="19.5" customHeight="1" x14ac:dyDescent="0.2">
      <c r="A95" s="470" t="s">
        <v>95</v>
      </c>
      <c r="B95" s="360">
        <v>29</v>
      </c>
      <c r="C95" s="474"/>
      <c r="D95" s="360">
        <v>6</v>
      </c>
      <c r="J95" s="475"/>
      <c r="K95" s="475"/>
      <c r="L95" s="475"/>
      <c r="M95" s="475"/>
      <c r="N95" s="475"/>
      <c r="O95" s="475"/>
      <c r="P95" s="475"/>
      <c r="Q95" s="475"/>
      <c r="R95" s="475"/>
      <c r="S95" s="475"/>
      <c r="T95" s="475"/>
      <c r="U95" s="475"/>
      <c r="V95" s="475"/>
    </row>
    <row r="96" spans="1:26" ht="19.5" customHeight="1" x14ac:dyDescent="0.2">
      <c r="A96" s="470" t="s">
        <v>96</v>
      </c>
      <c r="B96" s="360">
        <v>33</v>
      </c>
      <c r="C96" s="474"/>
      <c r="J96" s="475"/>
      <c r="K96" s="475"/>
      <c r="L96" s="475"/>
      <c r="M96" s="475"/>
      <c r="N96" s="475"/>
      <c r="O96" s="475"/>
      <c r="P96" s="475"/>
      <c r="Q96" s="475"/>
      <c r="R96" s="475"/>
      <c r="S96" s="475"/>
      <c r="T96" s="475"/>
      <c r="U96" s="475"/>
      <c r="V96" s="475"/>
    </row>
    <row r="97" spans="1:22" ht="19.5" customHeight="1" x14ac:dyDescent="0.2">
      <c r="A97" s="470" t="s">
        <v>97</v>
      </c>
      <c r="B97" s="360">
        <v>37</v>
      </c>
      <c r="C97" s="474"/>
      <c r="J97" s="475"/>
      <c r="K97" s="475"/>
      <c r="L97" s="475"/>
      <c r="M97" s="475"/>
      <c r="N97" s="475"/>
      <c r="O97" s="475"/>
      <c r="P97" s="475"/>
      <c r="Q97" s="475"/>
      <c r="R97" s="475"/>
      <c r="S97" s="475"/>
      <c r="T97" s="475"/>
      <c r="U97" s="475"/>
      <c r="V97" s="475"/>
    </row>
    <row r="98" spans="1:22" ht="19.5" customHeight="1" x14ac:dyDescent="0.2">
      <c r="A98" s="470" t="s">
        <v>29</v>
      </c>
      <c r="B98" s="360">
        <v>41</v>
      </c>
      <c r="C98" s="474"/>
      <c r="J98" s="475"/>
      <c r="K98" s="475"/>
      <c r="L98" s="475"/>
      <c r="M98" s="475"/>
      <c r="N98" s="475"/>
      <c r="O98" s="475"/>
      <c r="P98" s="475"/>
      <c r="Q98" s="475"/>
      <c r="R98" s="475"/>
      <c r="S98" s="475"/>
      <c r="T98" s="475"/>
      <c r="U98" s="475"/>
      <c r="V98" s="475"/>
    </row>
    <row r="99" spans="1:22" ht="19.5" customHeight="1" x14ac:dyDescent="0.2">
      <c r="A99" s="470" t="s">
        <v>99</v>
      </c>
      <c r="B99" s="360">
        <v>45</v>
      </c>
      <c r="C99" s="474"/>
      <c r="J99" s="475"/>
      <c r="K99" s="475"/>
      <c r="L99" s="475"/>
      <c r="M99" s="475"/>
      <c r="N99" s="475"/>
      <c r="O99" s="475"/>
      <c r="P99" s="475"/>
      <c r="Q99" s="475"/>
      <c r="R99" s="475"/>
      <c r="S99" s="475"/>
      <c r="T99" s="475"/>
      <c r="U99" s="475"/>
      <c r="V99" s="475"/>
    </row>
    <row r="100" spans="1:22" ht="19.5" customHeight="1" x14ac:dyDescent="0.2">
      <c r="A100" s="470" t="s">
        <v>100</v>
      </c>
      <c r="B100" s="360">
        <v>49</v>
      </c>
      <c r="C100" s="474"/>
      <c r="J100" s="475"/>
      <c r="K100" s="475"/>
      <c r="L100" s="475"/>
      <c r="M100" s="475"/>
      <c r="N100" s="475"/>
      <c r="O100" s="475"/>
      <c r="P100" s="475"/>
      <c r="Q100" s="475"/>
      <c r="R100" s="475"/>
      <c r="S100" s="475"/>
      <c r="T100" s="475"/>
      <c r="U100" s="475"/>
      <c r="V100" s="475"/>
    </row>
    <row r="101" spans="1:22" ht="19.5" customHeight="1" x14ac:dyDescent="0.2">
      <c r="A101" s="470" t="s">
        <v>101</v>
      </c>
      <c r="B101" s="360">
        <v>53</v>
      </c>
      <c r="C101" s="474"/>
      <c r="J101" s="475"/>
      <c r="K101" s="475"/>
      <c r="L101" s="475"/>
      <c r="M101" s="475"/>
      <c r="N101" s="475"/>
      <c r="O101" s="475"/>
      <c r="P101" s="475"/>
      <c r="Q101" s="475"/>
      <c r="R101" s="475"/>
      <c r="S101" s="475"/>
      <c r="T101" s="475"/>
      <c r="U101" s="475"/>
      <c r="V101" s="475"/>
    </row>
    <row r="102" spans="1:22" ht="19.5" customHeight="1" x14ac:dyDescent="0.2">
      <c r="A102" s="470" t="s">
        <v>102</v>
      </c>
      <c r="B102" s="360">
        <v>57</v>
      </c>
      <c r="C102" s="474"/>
      <c r="J102" s="475"/>
      <c r="K102" s="475"/>
      <c r="L102" s="475"/>
      <c r="M102" s="475"/>
      <c r="N102" s="475"/>
      <c r="O102" s="475"/>
      <c r="P102" s="475"/>
      <c r="Q102" s="475"/>
      <c r="R102" s="475"/>
      <c r="S102" s="475"/>
      <c r="T102" s="475"/>
      <c r="U102" s="475"/>
      <c r="V102" s="475"/>
    </row>
    <row r="103" spans="1:22" ht="19.5" customHeight="1" x14ac:dyDescent="0.2">
      <c r="A103" s="470" t="s">
        <v>103</v>
      </c>
      <c r="B103" s="360">
        <v>61</v>
      </c>
      <c r="J103" s="475"/>
      <c r="K103" s="475"/>
      <c r="L103" s="475"/>
      <c r="M103" s="475"/>
      <c r="N103" s="475"/>
      <c r="O103" s="475"/>
      <c r="P103" s="475"/>
      <c r="Q103" s="475"/>
      <c r="R103" s="475"/>
      <c r="S103" s="475"/>
      <c r="T103" s="475"/>
      <c r="U103" s="475"/>
      <c r="V103" s="475"/>
    </row>
    <row r="104" spans="1:22" ht="19.5" customHeight="1" x14ac:dyDescent="0.2">
      <c r="A104" s="470" t="s">
        <v>104</v>
      </c>
      <c r="B104" s="360">
        <v>65</v>
      </c>
      <c r="J104" s="475"/>
      <c r="K104" s="475"/>
      <c r="L104" s="475"/>
      <c r="M104" s="475"/>
      <c r="N104" s="475"/>
      <c r="O104" s="475"/>
      <c r="P104" s="475"/>
      <c r="Q104" s="475"/>
      <c r="R104" s="475"/>
      <c r="S104" s="475"/>
      <c r="T104" s="475"/>
      <c r="U104" s="475"/>
      <c r="V104" s="475"/>
    </row>
    <row r="105" spans="1:22" ht="19.5" customHeight="1" x14ac:dyDescent="0.2">
      <c r="A105" s="470" t="s">
        <v>341</v>
      </c>
      <c r="B105" s="360">
        <v>69</v>
      </c>
      <c r="J105" s="475"/>
      <c r="K105" s="475"/>
      <c r="L105" s="475"/>
      <c r="M105" s="475"/>
      <c r="N105" s="475"/>
      <c r="O105" s="475"/>
      <c r="P105" s="475"/>
      <c r="Q105" s="475"/>
      <c r="R105" s="475"/>
      <c r="S105" s="475"/>
      <c r="T105" s="475"/>
      <c r="U105" s="475"/>
      <c r="V105" s="475"/>
    </row>
    <row r="106" spans="1:22" ht="19.5" customHeight="1" x14ac:dyDescent="0.2">
      <c r="A106" s="470" t="s">
        <v>355</v>
      </c>
      <c r="B106" s="360">
        <v>73</v>
      </c>
      <c r="J106" s="475"/>
      <c r="K106" s="475"/>
      <c r="L106" s="475"/>
      <c r="M106" s="475"/>
      <c r="N106" s="475"/>
      <c r="O106" s="475"/>
      <c r="P106" s="475"/>
      <c r="Q106" s="475"/>
      <c r="R106" s="475"/>
      <c r="S106" s="475"/>
      <c r="T106" s="475"/>
      <c r="U106" s="475"/>
      <c r="V106" s="475"/>
    </row>
    <row r="107" spans="1:22" ht="19.5" customHeight="1" x14ac:dyDescent="0.2">
      <c r="A107" s="470" t="s">
        <v>147</v>
      </c>
      <c r="B107" s="360">
        <v>77</v>
      </c>
      <c r="J107" s="475"/>
      <c r="K107" s="475"/>
      <c r="L107" s="475"/>
      <c r="M107" s="475"/>
      <c r="N107" s="475"/>
      <c r="O107" s="475"/>
      <c r="P107" s="475"/>
      <c r="Q107" s="475"/>
      <c r="R107" s="475"/>
      <c r="S107" s="475"/>
      <c r="T107" s="475"/>
      <c r="U107" s="475"/>
      <c r="V107" s="475"/>
    </row>
    <row r="108" spans="1:22" ht="19.5" customHeight="1" x14ac:dyDescent="0.2">
      <c r="A108" s="470" t="s">
        <v>515</v>
      </c>
      <c r="B108" s="360">
        <v>81</v>
      </c>
      <c r="J108" s="475"/>
      <c r="K108" s="475"/>
      <c r="L108" s="475"/>
      <c r="M108" s="475"/>
      <c r="N108" s="475"/>
      <c r="O108" s="475"/>
      <c r="P108" s="475"/>
      <c r="Q108" s="475"/>
      <c r="R108" s="475"/>
      <c r="S108" s="475"/>
      <c r="T108" s="475"/>
      <c r="U108" s="475"/>
      <c r="V108" s="475"/>
    </row>
    <row r="109" spans="1:22" ht="19.5" customHeight="1" x14ac:dyDescent="0.2">
      <c r="J109" s="475"/>
      <c r="K109" s="475"/>
      <c r="L109" s="475"/>
      <c r="M109" s="475"/>
      <c r="N109" s="475"/>
      <c r="O109" s="475"/>
      <c r="P109" s="475"/>
      <c r="Q109" s="475"/>
      <c r="R109" s="475"/>
      <c r="S109" s="475"/>
      <c r="T109" s="475"/>
      <c r="U109" s="475"/>
      <c r="V109" s="475"/>
    </row>
    <row r="110" spans="1:22" ht="19.5" customHeight="1" x14ac:dyDescent="0.2">
      <c r="J110" s="475"/>
      <c r="K110" s="475"/>
      <c r="L110" s="475"/>
      <c r="M110" s="475"/>
      <c r="N110" s="475"/>
      <c r="O110" s="475"/>
      <c r="P110" s="475"/>
      <c r="Q110" s="475"/>
      <c r="R110" s="475"/>
      <c r="S110" s="475"/>
      <c r="T110" s="475"/>
      <c r="U110" s="475"/>
      <c r="V110" s="475"/>
    </row>
    <row r="111" spans="1:22" ht="19.5" customHeight="1" x14ac:dyDescent="0.2">
      <c r="J111" s="475"/>
      <c r="K111" s="475"/>
      <c r="L111" s="475"/>
      <c r="M111" s="475"/>
      <c r="N111" s="475"/>
      <c r="O111" s="475"/>
      <c r="P111" s="475"/>
      <c r="Q111" s="475"/>
      <c r="R111" s="475"/>
      <c r="S111" s="475"/>
      <c r="T111" s="475"/>
      <c r="U111" s="475"/>
      <c r="V111" s="475"/>
    </row>
    <row r="112" spans="1:22" ht="19.5" customHeight="1" x14ac:dyDescent="0.2">
      <c r="J112" s="475"/>
      <c r="K112" s="475"/>
      <c r="L112" s="475"/>
      <c r="M112" s="475"/>
      <c r="N112" s="475"/>
      <c r="O112" s="475"/>
      <c r="P112" s="475"/>
      <c r="Q112" s="475"/>
      <c r="R112" s="475"/>
      <c r="S112" s="475"/>
      <c r="T112" s="475"/>
      <c r="U112" s="475"/>
      <c r="V112" s="475"/>
    </row>
    <row r="113" spans="10:22" ht="19.5" customHeight="1" x14ac:dyDescent="0.2">
      <c r="J113" s="475"/>
      <c r="K113" s="475"/>
      <c r="L113" s="475"/>
      <c r="M113" s="475"/>
      <c r="N113" s="475"/>
      <c r="O113" s="475"/>
      <c r="P113" s="475"/>
      <c r="Q113" s="475"/>
      <c r="R113" s="475"/>
      <c r="S113" s="475"/>
      <c r="T113" s="475"/>
      <c r="U113" s="475"/>
      <c r="V113" s="475"/>
    </row>
    <row r="114" spans="10:22" ht="19.5" customHeight="1" x14ac:dyDescent="0.2">
      <c r="J114" s="475"/>
      <c r="K114" s="475"/>
      <c r="L114" s="475"/>
      <c r="M114" s="475"/>
      <c r="N114" s="475"/>
      <c r="O114" s="475"/>
      <c r="P114" s="475"/>
      <c r="Q114" s="475"/>
      <c r="R114" s="475"/>
      <c r="S114" s="475"/>
      <c r="T114" s="475"/>
      <c r="U114" s="475"/>
      <c r="V114" s="475"/>
    </row>
    <row r="115" spans="10:22" ht="19.5" customHeight="1" x14ac:dyDescent="0.2">
      <c r="J115" s="475"/>
      <c r="K115" s="475"/>
      <c r="L115" s="475"/>
      <c r="M115" s="475"/>
      <c r="N115" s="475"/>
      <c r="O115" s="475"/>
      <c r="P115" s="475"/>
      <c r="Q115" s="475"/>
      <c r="R115" s="475"/>
      <c r="S115" s="475"/>
      <c r="T115" s="475"/>
      <c r="U115" s="475"/>
      <c r="V115" s="475"/>
    </row>
    <row r="116" spans="10:22" ht="19.5" customHeight="1" x14ac:dyDescent="0.2">
      <c r="J116" s="475"/>
      <c r="K116" s="475"/>
      <c r="L116" s="475"/>
      <c r="M116" s="475"/>
      <c r="N116" s="475"/>
      <c r="O116" s="475"/>
      <c r="P116" s="475"/>
      <c r="Q116" s="475"/>
      <c r="R116" s="475"/>
      <c r="S116" s="475"/>
      <c r="T116" s="475"/>
      <c r="U116" s="475"/>
      <c r="V116" s="475"/>
    </row>
    <row r="117" spans="10:22" ht="19.5" customHeight="1" x14ac:dyDescent="0.2">
      <c r="J117" s="475"/>
      <c r="K117" s="475"/>
      <c r="L117" s="475"/>
      <c r="M117" s="475"/>
      <c r="N117" s="475"/>
      <c r="O117" s="475"/>
      <c r="P117" s="475"/>
      <c r="Q117" s="475"/>
      <c r="R117" s="475"/>
      <c r="S117" s="475"/>
      <c r="T117" s="475"/>
      <c r="U117" s="475"/>
      <c r="V117" s="475"/>
    </row>
    <row r="118" spans="10:22" ht="19.5" customHeight="1" x14ac:dyDescent="0.2">
      <c r="J118" s="475"/>
      <c r="K118" s="475"/>
      <c r="L118" s="475"/>
      <c r="M118" s="475"/>
      <c r="N118" s="475"/>
      <c r="O118" s="475"/>
      <c r="P118" s="475"/>
      <c r="Q118" s="475"/>
      <c r="R118" s="475"/>
      <c r="S118" s="475"/>
      <c r="T118" s="475"/>
      <c r="U118" s="475"/>
      <c r="V118" s="475"/>
    </row>
    <row r="119" spans="10:22" ht="19.5" customHeight="1" x14ac:dyDescent="0.2">
      <c r="J119" s="475"/>
      <c r="K119" s="475"/>
      <c r="L119" s="475"/>
      <c r="M119" s="475"/>
      <c r="N119" s="475"/>
      <c r="O119" s="475"/>
      <c r="P119" s="475"/>
      <c r="Q119" s="475"/>
      <c r="R119" s="475"/>
      <c r="S119" s="475"/>
      <c r="T119" s="475"/>
      <c r="U119" s="475"/>
      <c r="V119" s="475"/>
    </row>
    <row r="120" spans="10:22" ht="19.5" customHeight="1" x14ac:dyDescent="0.2">
      <c r="J120" s="475"/>
      <c r="K120" s="475"/>
      <c r="L120" s="475"/>
      <c r="M120" s="475"/>
      <c r="N120" s="475"/>
      <c r="O120" s="475"/>
      <c r="P120" s="475"/>
      <c r="Q120" s="475"/>
      <c r="R120" s="475"/>
      <c r="S120" s="475"/>
      <c r="T120" s="475"/>
      <c r="U120" s="475"/>
      <c r="V120" s="475"/>
    </row>
    <row r="121" spans="10:22" ht="19.5" customHeight="1" x14ac:dyDescent="0.2">
      <c r="J121" s="475"/>
      <c r="K121" s="475"/>
      <c r="L121" s="475"/>
      <c r="M121" s="475"/>
      <c r="N121" s="475"/>
      <c r="O121" s="475"/>
      <c r="P121" s="475"/>
      <c r="Q121" s="475"/>
      <c r="R121" s="475"/>
      <c r="S121" s="475"/>
      <c r="T121" s="475"/>
      <c r="U121" s="475"/>
      <c r="V121" s="475"/>
    </row>
    <row r="122" spans="10:22" ht="19.5" customHeight="1" x14ac:dyDescent="0.2">
      <c r="J122" s="475"/>
      <c r="K122" s="475"/>
      <c r="L122" s="475"/>
      <c r="M122" s="475"/>
      <c r="N122" s="475"/>
      <c r="O122" s="475"/>
      <c r="P122" s="475"/>
      <c r="Q122" s="475"/>
      <c r="R122" s="475"/>
      <c r="S122" s="475"/>
      <c r="T122" s="475"/>
      <c r="U122" s="475"/>
      <c r="V122" s="475"/>
    </row>
    <row r="123" spans="10:22" ht="19.5" customHeight="1" x14ac:dyDescent="0.2">
      <c r="J123" s="475"/>
      <c r="K123" s="475"/>
      <c r="L123" s="475"/>
      <c r="M123" s="475"/>
      <c r="N123" s="475"/>
      <c r="O123" s="475"/>
      <c r="P123" s="475"/>
      <c r="Q123" s="475"/>
      <c r="R123" s="475"/>
      <c r="S123" s="475"/>
      <c r="T123" s="475"/>
      <c r="U123" s="475"/>
      <c r="V123" s="475"/>
    </row>
    <row r="124" spans="10:22" ht="19.5" customHeight="1" x14ac:dyDescent="0.2">
      <c r="J124" s="475"/>
      <c r="K124" s="475"/>
      <c r="L124" s="475"/>
      <c r="M124" s="475"/>
      <c r="N124" s="475"/>
      <c r="O124" s="475"/>
      <c r="P124" s="475"/>
      <c r="Q124" s="475"/>
      <c r="R124" s="475"/>
      <c r="S124" s="475"/>
      <c r="T124" s="475"/>
      <c r="U124" s="475"/>
      <c r="V124" s="475"/>
    </row>
    <row r="125" spans="10:22" ht="19.5" customHeight="1" x14ac:dyDescent="0.2">
      <c r="J125" s="475"/>
      <c r="K125" s="475"/>
      <c r="L125" s="475"/>
      <c r="M125" s="475"/>
      <c r="N125" s="475"/>
      <c r="O125" s="475"/>
      <c r="P125" s="475"/>
      <c r="Q125" s="475"/>
      <c r="R125" s="475"/>
      <c r="S125" s="475"/>
      <c r="T125" s="475"/>
      <c r="U125" s="475"/>
      <c r="V125" s="475"/>
    </row>
    <row r="126" spans="10:22" ht="19.5" customHeight="1" x14ac:dyDescent="0.2">
      <c r="J126" s="475"/>
      <c r="K126" s="475"/>
      <c r="L126" s="475"/>
      <c r="M126" s="475"/>
      <c r="N126" s="475"/>
      <c r="O126" s="475"/>
      <c r="P126" s="475"/>
      <c r="Q126" s="475"/>
      <c r="R126" s="475"/>
      <c r="S126" s="475"/>
      <c r="T126" s="475"/>
      <c r="U126" s="475"/>
      <c r="V126" s="475"/>
    </row>
    <row r="127" spans="10:22" ht="19.5" customHeight="1" x14ac:dyDescent="0.2">
      <c r="J127" s="475"/>
      <c r="K127" s="475"/>
      <c r="L127" s="475"/>
      <c r="M127" s="475"/>
      <c r="N127" s="475"/>
      <c r="O127" s="475"/>
      <c r="P127" s="475"/>
      <c r="Q127" s="475"/>
      <c r="R127" s="475"/>
      <c r="S127" s="475"/>
      <c r="T127" s="475"/>
      <c r="U127" s="475"/>
      <c r="V127" s="475"/>
    </row>
    <row r="128" spans="10:22" ht="19.5" customHeight="1" x14ac:dyDescent="0.2">
      <c r="J128" s="475"/>
      <c r="K128" s="475"/>
      <c r="L128" s="475"/>
      <c r="M128" s="475"/>
      <c r="N128" s="475"/>
      <c r="O128" s="475"/>
      <c r="P128" s="475"/>
      <c r="Q128" s="475"/>
      <c r="R128" s="475"/>
      <c r="S128" s="475"/>
      <c r="T128" s="475"/>
      <c r="U128" s="475"/>
      <c r="V128" s="475"/>
    </row>
    <row r="129" spans="10:22" ht="19.5" customHeight="1" x14ac:dyDescent="0.2">
      <c r="J129" s="475"/>
      <c r="K129" s="475"/>
      <c r="L129" s="475"/>
      <c r="M129" s="475"/>
      <c r="N129" s="475"/>
      <c r="O129" s="475"/>
      <c r="P129" s="475"/>
      <c r="Q129" s="475"/>
      <c r="R129" s="475"/>
      <c r="S129" s="475"/>
      <c r="T129" s="475"/>
      <c r="U129" s="475"/>
      <c r="V129" s="475"/>
    </row>
    <row r="130" spans="10:22" ht="19.5" customHeight="1" x14ac:dyDescent="0.2">
      <c r="J130" s="475"/>
      <c r="K130" s="475"/>
      <c r="L130" s="475"/>
      <c r="M130" s="475"/>
      <c r="N130" s="475"/>
      <c r="O130" s="475"/>
      <c r="P130" s="475"/>
      <c r="Q130" s="475"/>
      <c r="R130" s="475"/>
      <c r="S130" s="475"/>
      <c r="T130" s="475"/>
      <c r="U130" s="475"/>
      <c r="V130" s="475"/>
    </row>
    <row r="131" spans="10:22" ht="19.5" customHeight="1" x14ac:dyDescent="0.2">
      <c r="J131" s="475"/>
      <c r="K131" s="475"/>
      <c r="L131" s="475"/>
      <c r="M131" s="475"/>
      <c r="N131" s="475"/>
      <c r="O131" s="475"/>
      <c r="P131" s="475"/>
      <c r="Q131" s="475"/>
      <c r="R131" s="475"/>
      <c r="S131" s="475"/>
      <c r="T131" s="475"/>
      <c r="U131" s="475"/>
      <c r="V131" s="475"/>
    </row>
    <row r="132" spans="10:22" ht="19.5" customHeight="1" x14ac:dyDescent="0.2">
      <c r="J132" s="475"/>
      <c r="K132" s="475"/>
      <c r="L132" s="475"/>
      <c r="M132" s="475"/>
      <c r="N132" s="475"/>
      <c r="O132" s="475"/>
      <c r="P132" s="475"/>
      <c r="Q132" s="475"/>
      <c r="R132" s="475"/>
      <c r="S132" s="475"/>
      <c r="T132" s="475"/>
      <c r="U132" s="475"/>
      <c r="V132" s="475"/>
    </row>
    <row r="133" spans="10:22" ht="19.5" customHeight="1" x14ac:dyDescent="0.2">
      <c r="J133" s="475"/>
      <c r="K133" s="475"/>
      <c r="L133" s="475"/>
      <c r="M133" s="475"/>
      <c r="N133" s="475"/>
      <c r="O133" s="475"/>
      <c r="P133" s="475"/>
      <c r="Q133" s="475"/>
      <c r="R133" s="475"/>
      <c r="S133" s="475"/>
      <c r="T133" s="475"/>
      <c r="U133" s="475"/>
      <c r="V133" s="47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0" t="s">
        <v>452</v>
      </c>
      <c r="I18" s="600"/>
      <c r="J18" s="600"/>
      <c r="K18" s="601"/>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316</vt:i4>
      </vt:variant>
    </vt:vector>
  </HeadingPairs>
  <TitlesOfParts>
    <vt:vector size="33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2021-05-10T14:11:24Z</dcterms:modified>
</cp:coreProperties>
</file>