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0D0BD6D1-DBAC-485B-8043-90B4C196BE68}"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Constants!$C$131</definedName>
    <definedName name="abyss_enforcer_cap">Constants!$F$131</definedName>
    <definedName name="adept_dp_bonus">Constants!$C$125</definedName>
    <definedName name="adept_dp_cap">Constants!$F$125</definedName>
    <definedName name="adept_op_bonus">Constants!$C$124</definedName>
    <definedName name="adept_op_cap">Constants!$F$124</definedName>
    <definedName name="alch_frost_bonus">Constants!$F$91</definedName>
    <definedName name="alch_plat">Constants!$B$4</definedName>
    <definedName name="alchemist_flame_bonus">Constants!$F$87</definedName>
    <definedName name="alchemist_flame_invest">Constants!$F$88</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Constants!$B$97</definedName>
    <definedName name="bone_breaker_bonus">Constants!$C$129</definedName>
    <definedName name="bone_breaker_cap">Constants!$F$129</definedName>
    <definedName name="bonus_jobs_facts">Constants!$B$171</definedName>
    <definedName name="building_employment">Constants!$B$134</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Constants!$F$93</definedName>
    <definedName name="demonic_pact_plat">Constants!$F$92</definedName>
    <definedName name="dm_gems">Constants!$B$8</definedName>
    <definedName name="dock_boats_hr">Constants!$B$10</definedName>
    <definedName name="dock_food">Constants!$D$10</definedName>
    <definedName name="druid_dp_bonus">Constants!$C$121</definedName>
    <definedName name="druid_dp_cap">Constants!$F$121</definedName>
    <definedName name="druid_op_bonus">Constants!$C$120</definedName>
    <definedName name="druid_op_cap">Constants!$F$120</definedName>
    <definedName name="dryad_bonus">Constants!$C$122</definedName>
    <definedName name="dryad_cap">Constants!$F$122</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Constants!$D$90</definedName>
    <definedName name="favorable_terrain_max">Constants!$F$90</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Constants!$C$126</definedName>
    <definedName name="frost_mage_cap">Constants!$F$126</definedName>
    <definedName name="gaias_blessing_food">Constants!$F$84</definedName>
    <definedName name="gaias_blessing_lumber">Constants!$H$84</definedName>
    <definedName name="gaias_watch_bonus">Constants!$F$75</definedName>
    <definedName name="gem_invest">Constants!$B$165</definedName>
    <definedName name="global_constr_cap">Constants!$B$168</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Constants!$D$110</definedName>
    <definedName name="harbor_towers_param">Constants!$D$115</definedName>
    <definedName name="harmony_bonus">Constants!$F$78</definedName>
    <definedName name="home_land">Overview!$B$73</definedName>
    <definedName name="howling_dp_bonus">Constants!$H$85</definedName>
    <definedName name="howling_op_bonus">Constants!$F$85</definedName>
    <definedName name="ice_elem_bonus">Constants!$C$127</definedName>
    <definedName name="ice_elem_cap">Constants!$F$127</definedName>
    <definedName name="icekin">Military!$CO$10</definedName>
    <definedName name="Imps">Imps!$CE$35:$CE$40</definedName>
    <definedName name="infernal_cmd_op">Constants!$F$94</definedName>
    <definedName name="keep_cap">Constants!$D$107</definedName>
    <definedName name="keep_param">Constants!$D$112</definedName>
    <definedName name="kobold">Military!$CO$9</definedName>
    <definedName name="lumber_invest">Constants!$B$163</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Constants!$C$119</definedName>
    <definedName name="mystic_cap">Constants!$F$119</definedName>
    <definedName name="nightfall_bonus">Constants!$F$89</definedName>
    <definedName name="nightshade_bonus">Constants!$C$130</definedName>
    <definedName name="nox">Military!$CO$12</definedName>
    <definedName name="nox_nightshade_cap">Constants!$F$130</definedName>
    <definedName name="nox_nightshade_swamp_bonus">Constants!$C$130</definedName>
    <definedName name="om_ore">Constants!$B$7</definedName>
    <definedName name="orc">Military!$CO$11</definedName>
    <definedName name="ore_invest">Constants!$B$164</definedName>
    <definedName name="plat_invest">Constants!$B$162</definedName>
    <definedName name="pop_in_building">Constants!$B$68</definedName>
    <definedName name="pop_in_home">Constants!$B$65</definedName>
    <definedName name="pop_on_barren">Constants!$B$69</definedName>
    <definedName name="prestige_food_bonus">Constants!$B$101</definedName>
    <definedName name="prestige_multiplier">Constants!$B$102</definedName>
    <definedName name="prestige_offense_bonus">Constants!$B$103</definedName>
    <definedName name="prestige_pop_multiplier">Constants!$B$102</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Imps!$CE$30:$CE$33</definedName>
    <definedName name="rocka_bonus">Constants!$C$123</definedName>
    <definedName name="rocka_cap">Constants!$F$123</definedName>
    <definedName name="school_max">Constants!$D$23</definedName>
    <definedName name="school_rp">Constants!$B$23</definedName>
    <definedName name="science_cap">Constants!$D$108</definedName>
    <definedName name="science_param">Constants!$D$113</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Constants!$B$176</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Constants!$B$100</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Constants!$D$116</definedName>
    <definedName name="voodoo_magi_bonus">Constants!$C$128</definedName>
    <definedName name="voodoo_magi_cap">Constants!$F$128</definedName>
    <definedName name="walls_forges_cap">Constants!$D$109</definedName>
    <definedName name="walls_forges_param">Constants!$D$114</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Constants!$C$174</definedName>
    <definedName name="wisp_cap">Constants!$E$174</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97" i="6"/>
  <c r="E15" i="4"/>
  <c r="I92" i="3" l="1"/>
  <c r="I91" i="3"/>
  <c r="I88" i="3"/>
  <c r="I87" i="3"/>
  <c r="I84" i="3"/>
  <c r="I83" i="3"/>
  <c r="I80" i="3"/>
  <c r="I79" i="3"/>
  <c r="I76" i="3"/>
  <c r="I75" i="3"/>
  <c r="I72" i="3"/>
  <c r="I71" i="3"/>
  <c r="I68" i="3"/>
  <c r="I67" i="3"/>
  <c r="I64" i="3"/>
  <c r="I63" i="3"/>
  <c r="I60" i="3"/>
  <c r="I59" i="3"/>
  <c r="I56" i="3"/>
  <c r="I55" i="3"/>
  <c r="I52" i="3"/>
  <c r="I51" i="3"/>
  <c r="I48" i="3"/>
  <c r="I47" i="3"/>
  <c r="I44" i="3"/>
  <c r="I43" i="3"/>
  <c r="I40" i="3"/>
  <c r="I39" i="3"/>
  <c r="I36" i="3"/>
  <c r="I35" i="3"/>
  <c r="I32" i="3"/>
  <c r="I31" i="3"/>
  <c r="I28" i="3"/>
  <c r="I27" i="3"/>
  <c r="I24" i="3"/>
  <c r="I23" i="3"/>
  <c r="I20" i="3"/>
  <c r="I19" i="3"/>
  <c r="I16" i="3"/>
  <c r="I15" i="3"/>
  <c r="I12" i="3"/>
  <c r="I11" i="3"/>
  <c r="I8" i="3"/>
  <c r="I7" i="3"/>
  <c r="B69" i="6" l="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Z4" i="8"/>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E98" i="4" l="1"/>
  <c r="E89" i="4"/>
  <c r="CO13" i="8"/>
  <c r="AQ5" i="9"/>
  <c r="CM5" i="8" s="1"/>
  <c r="AQ4" i="9"/>
  <c r="CM4" i="8" s="1"/>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AQ10" i="9" l="1"/>
  <c r="CM10" i="8" s="1"/>
  <c r="J53" i="8"/>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U4" i="11"/>
  <c r="BT4" i="11"/>
  <c r="BS4" i="11"/>
  <c r="BR4" i="11"/>
  <c r="BP4" i="11"/>
  <c r="BN4" i="11"/>
  <c r="BI4"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4"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4"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U5" i="11"/>
  <c r="BU6" i="11"/>
  <c r="BU7" i="11"/>
  <c r="BU8" i="11"/>
  <c r="BU9" i="11"/>
  <c r="BU10" i="11"/>
  <c r="BU11" i="11"/>
  <c r="BU12" i="11"/>
  <c r="BU13" i="11"/>
  <c r="BU14" i="11"/>
  <c r="BU15" i="11"/>
  <c r="BU16" i="11"/>
  <c r="BU17" i="11"/>
  <c r="BU18" i="11"/>
  <c r="BU19" i="11"/>
  <c r="BU20" i="11"/>
  <c r="BU21" i="11"/>
  <c r="BU22" i="11"/>
  <c r="BU23" i="11"/>
  <c r="BU24" i="11"/>
  <c r="BU25" i="11"/>
  <c r="BU26" i="11"/>
  <c r="BU27" i="11"/>
  <c r="BU28" i="11"/>
  <c r="BU29" i="11"/>
  <c r="BU30" i="11"/>
  <c r="BU31" i="11"/>
  <c r="BU32" i="11"/>
  <c r="BU33" i="11"/>
  <c r="BU34" i="11"/>
  <c r="BU35" i="11"/>
  <c r="BU36" i="11"/>
  <c r="BU37" i="11"/>
  <c r="BU38" i="11"/>
  <c r="BU39" i="11"/>
  <c r="BU40" i="11"/>
  <c r="BU41" i="11"/>
  <c r="BU42" i="11"/>
  <c r="BU43" i="11"/>
  <c r="BU44" i="11"/>
  <c r="BU45" i="11"/>
  <c r="BU46" i="11"/>
  <c r="BU47" i="11"/>
  <c r="BU48" i="11"/>
  <c r="BU49" i="11"/>
  <c r="BU50" i="11"/>
  <c r="BU51" i="11"/>
  <c r="BU52" i="11"/>
  <c r="BU53" i="11"/>
  <c r="BU54" i="11"/>
  <c r="BU55" i="11"/>
  <c r="BU56" i="11"/>
  <c r="BU57" i="11"/>
  <c r="BU58" i="11"/>
  <c r="BU59" i="11"/>
  <c r="BU60" i="11"/>
  <c r="BU61" i="11"/>
  <c r="BU62" i="11"/>
  <c r="BU63" i="11"/>
  <c r="BU64" i="11"/>
  <c r="BU65" i="11"/>
  <c r="BU66" i="11"/>
  <c r="BU67" i="11"/>
  <c r="BU68" i="11"/>
  <c r="BU69" i="11"/>
  <c r="BU70" i="11"/>
  <c r="BU71" i="11"/>
  <c r="BU72" i="11"/>
  <c r="BU73" i="11"/>
  <c r="BU74" i="11"/>
  <c r="BU75" i="11"/>
  <c r="BU76" i="11"/>
  <c r="BU77" i="11"/>
  <c r="BU78" i="11"/>
  <c r="BU79" i="11"/>
  <c r="BU80" i="11"/>
  <c r="BU81" i="11"/>
  <c r="BU82" i="11"/>
  <c r="BU83" i="11"/>
  <c r="BU84" i="11"/>
  <c r="BU85" i="11"/>
  <c r="BU86" i="11"/>
  <c r="BU87" i="11"/>
  <c r="BU88" i="11"/>
  <c r="BU89" i="11"/>
  <c r="BU90" i="11"/>
  <c r="BU91" i="11"/>
  <c r="BU92" i="11"/>
  <c r="BU93" i="11"/>
  <c r="BU94" i="11"/>
  <c r="BU95" i="11"/>
  <c r="BU96" i="11"/>
  <c r="BU97" i="11"/>
  <c r="BU98" i="11"/>
  <c r="BU99" i="11"/>
  <c r="BU100" i="11"/>
  <c r="BU101" i="11"/>
  <c r="BU102" i="11"/>
  <c r="BU103" i="11"/>
  <c r="BU104" i="11"/>
  <c r="BU105" i="11"/>
  <c r="BU106" i="11"/>
  <c r="BU107" i="11"/>
  <c r="BU108" i="11"/>
  <c r="BU109" i="11"/>
  <c r="BU110" i="11"/>
  <c r="BU111" i="11"/>
  <c r="BU112" i="11"/>
  <c r="BU113" i="11"/>
  <c r="BU114" i="11"/>
  <c r="BU115" i="11"/>
  <c r="BU116" i="11"/>
  <c r="BU117" i="11"/>
  <c r="BU118" i="11"/>
  <c r="BU119" i="11"/>
  <c r="BU120" i="11"/>
  <c r="BU121" i="11"/>
  <c r="BU122" i="11"/>
  <c r="BU123" i="11"/>
  <c r="BU124" i="11"/>
  <c r="BU125" i="11"/>
  <c r="BU126" i="11"/>
  <c r="BU127" i="11"/>
  <c r="BU128" i="11"/>
  <c r="BU129" i="11"/>
  <c r="BU130" i="11"/>
  <c r="BU131" i="11"/>
  <c r="BU132" i="11"/>
  <c r="BU133" i="11"/>
  <c r="BU134" i="11"/>
  <c r="BU135" i="11"/>
  <c r="BU136" i="11"/>
  <c r="BP5" i="11"/>
  <c r="BP6" i="11"/>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I4" i="11" l="1"/>
  <c r="AQ13" i="9"/>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CA4" i="11"/>
  <c r="Z7" i="9"/>
  <c r="BW4" i="11"/>
  <c r="BW5" i="11"/>
  <c r="BW6" i="11"/>
  <c r="BW7" i="11"/>
  <c r="BW8" i="11"/>
  <c r="BW9" i="11"/>
  <c r="BW10" i="11"/>
  <c r="BW11" i="11"/>
  <c r="BW12" i="11"/>
  <c r="BW13" i="11"/>
  <c r="BW14" i="11"/>
  <c r="BW15" i="11"/>
  <c r="BW16" i="11"/>
  <c r="BW17" i="11"/>
  <c r="BW18" i="11"/>
  <c r="BW19" i="11"/>
  <c r="BW20" i="11"/>
  <c r="BW21" i="11"/>
  <c r="BW22" i="11"/>
  <c r="BW23" i="11"/>
  <c r="BW24" i="11"/>
  <c r="BW25" i="11"/>
  <c r="BW26" i="11"/>
  <c r="BW27" i="11"/>
  <c r="BW28" i="11"/>
  <c r="BW29" i="11"/>
  <c r="BW30" i="11"/>
  <c r="BW31" i="11"/>
  <c r="BW32" i="11"/>
  <c r="BW33" i="11"/>
  <c r="BW34" i="11"/>
  <c r="BW35" i="11"/>
  <c r="BW36" i="11"/>
  <c r="BW37" i="11"/>
  <c r="BW38" i="11"/>
  <c r="BW39" i="11"/>
  <c r="BW40" i="11"/>
  <c r="BW41" i="11"/>
  <c r="BW42" i="11"/>
  <c r="BW43" i="11"/>
  <c r="BW44" i="11"/>
  <c r="BW45" i="11"/>
  <c r="BW46" i="11"/>
  <c r="BW47" i="11"/>
  <c r="BW48" i="11"/>
  <c r="BW49" i="11"/>
  <c r="BW50" i="11"/>
  <c r="BW51" i="11"/>
  <c r="BW52" i="11"/>
  <c r="BW53" i="11"/>
  <c r="BW54" i="11"/>
  <c r="BW55" i="11"/>
  <c r="BW56" i="11"/>
  <c r="BW57" i="11"/>
  <c r="BW58" i="11"/>
  <c r="BW59" i="11"/>
  <c r="BW60" i="11"/>
  <c r="BW61" i="11"/>
  <c r="BW62" i="11"/>
  <c r="BW63" i="11"/>
  <c r="BW64" i="11"/>
  <c r="BW65" i="11"/>
  <c r="BW66" i="11"/>
  <c r="BW67" i="11"/>
  <c r="BW68" i="11"/>
  <c r="BW69" i="11"/>
  <c r="BW70" i="11"/>
  <c r="BW71" i="11"/>
  <c r="BW72" i="11"/>
  <c r="BW73" i="11"/>
  <c r="BW74" i="11"/>
  <c r="BW75" i="11"/>
  <c r="BW76" i="11"/>
  <c r="BW77" i="11"/>
  <c r="BW78" i="11"/>
  <c r="BW79" i="11"/>
  <c r="BW80" i="11"/>
  <c r="BW81" i="11"/>
  <c r="BW82" i="11"/>
  <c r="BW83" i="11"/>
  <c r="BW84" i="11"/>
  <c r="BW85" i="11"/>
  <c r="BW86" i="11"/>
  <c r="BW87" i="11"/>
  <c r="BW88" i="11"/>
  <c r="BW89" i="11"/>
  <c r="BW90" i="11"/>
  <c r="BW91" i="11"/>
  <c r="BW92" i="11"/>
  <c r="BW93" i="11"/>
  <c r="BW94" i="11"/>
  <c r="BW95" i="11"/>
  <c r="BW96" i="11"/>
  <c r="BW97" i="11"/>
  <c r="BW98" i="11"/>
  <c r="BW99" i="11"/>
  <c r="BW100" i="11"/>
  <c r="BW101" i="11"/>
  <c r="BW102" i="11"/>
  <c r="BW103" i="11"/>
  <c r="BW104" i="11"/>
  <c r="BW105" i="11"/>
  <c r="BW106" i="11"/>
  <c r="BW107" i="11"/>
  <c r="BW108" i="11"/>
  <c r="BW109" i="11"/>
  <c r="BW110" i="11"/>
  <c r="BW111" i="11"/>
  <c r="BW112" i="11"/>
  <c r="BW113" i="11"/>
  <c r="BW114" i="11"/>
  <c r="BW115" i="11"/>
  <c r="BW116" i="11"/>
  <c r="BW117" i="11"/>
  <c r="BW118" i="11"/>
  <c r="BW119" i="11"/>
  <c r="BW120" i="11"/>
  <c r="BW121" i="11"/>
  <c r="BW122" i="11"/>
  <c r="BW123" i="11"/>
  <c r="BW124" i="11"/>
  <c r="BW125" i="11"/>
  <c r="BW126" i="11"/>
  <c r="BW127" i="11"/>
  <c r="BW128" i="11"/>
  <c r="BW129" i="11"/>
  <c r="BW130" i="11"/>
  <c r="BW131" i="11"/>
  <c r="BW132" i="11"/>
  <c r="BW133" i="11"/>
  <c r="BW134" i="11"/>
  <c r="BW135" i="11"/>
  <c r="BW136" i="11"/>
  <c r="AQ17" i="9" l="1"/>
  <c r="CM17" i="8" s="1"/>
  <c r="AI12" i="9"/>
  <c r="J4" i="2"/>
  <c r="AT2" i="8"/>
  <c r="CO25" i="8"/>
  <c r="CO26" i="8"/>
  <c r="CO24" i="8"/>
  <c r="CA5" i="11"/>
  <c r="CA6" i="11" s="1"/>
  <c r="CA7" i="11" s="1"/>
  <c r="CA8" i="11" s="1"/>
  <c r="CA9" i="11" s="1"/>
  <c r="CA10" i="11" s="1"/>
  <c r="CA11" i="11" s="1"/>
  <c r="CA12" i="11" s="1"/>
  <c r="CA13" i="11" s="1"/>
  <c r="CA14" i="11" s="1"/>
  <c r="CA15" i="11" s="1"/>
  <c r="CA16" i="11" s="1"/>
  <c r="CA17" i="11" s="1"/>
  <c r="CA18" i="11" s="1"/>
  <c r="CA19" i="11" s="1"/>
  <c r="CA20" i="11" s="1"/>
  <c r="CA21" i="11" s="1"/>
  <c r="CA22" i="11" s="1"/>
  <c r="CA23" i="11" s="1"/>
  <c r="CA24" i="11" s="1"/>
  <c r="CA25" i="11" s="1"/>
  <c r="CA26" i="11" s="1"/>
  <c r="CA27" i="11" s="1"/>
  <c r="CA28" i="11" s="1"/>
  <c r="CA29" i="11" s="1"/>
  <c r="CA30" i="11" s="1"/>
  <c r="CA31" i="11" s="1"/>
  <c r="CA32" i="11" s="1"/>
  <c r="CA33" i="11" s="1"/>
  <c r="CA34" i="11" s="1"/>
  <c r="CA35" i="11" s="1"/>
  <c r="CA36" i="11" s="1"/>
  <c r="CA37" i="11" s="1"/>
  <c r="CA38" i="11" s="1"/>
  <c r="CA39" i="11" s="1"/>
  <c r="CA40" i="11" s="1"/>
  <c r="CA41" i="11" s="1"/>
  <c r="CA42" i="11" s="1"/>
  <c r="CA43" i="11" s="1"/>
  <c r="CA44" i="11" s="1"/>
  <c r="CA45" i="11" s="1"/>
  <c r="CA46" i="11" s="1"/>
  <c r="CA47" i="11" s="1"/>
  <c r="CA48" i="11" s="1"/>
  <c r="CA49" i="11" s="1"/>
  <c r="CA50" i="11" s="1"/>
  <c r="CA51" i="11" s="1"/>
  <c r="CA52" i="11" s="1"/>
  <c r="CA53" i="11" s="1"/>
  <c r="CA54" i="11" s="1"/>
  <c r="CA55" i="11" s="1"/>
  <c r="CA56" i="11" s="1"/>
  <c r="CA57" i="11" s="1"/>
  <c r="CA58" i="11" s="1"/>
  <c r="CA59" i="11" s="1"/>
  <c r="CA60" i="11" s="1"/>
  <c r="CA61" i="11" s="1"/>
  <c r="CA62" i="11" s="1"/>
  <c r="CA63" i="11" s="1"/>
  <c r="CA64" i="11" s="1"/>
  <c r="CA65" i="11" s="1"/>
  <c r="CA66" i="11" s="1"/>
  <c r="CA67" i="11" s="1"/>
  <c r="CA68" i="11" s="1"/>
  <c r="CA69" i="11" s="1"/>
  <c r="CA70" i="11" s="1"/>
  <c r="CA71" i="11" s="1"/>
  <c r="CA72" i="11" s="1"/>
  <c r="CA73" i="11" s="1"/>
  <c r="CA74" i="11" s="1"/>
  <c r="CA75" i="11" s="1"/>
  <c r="CA76" i="11" s="1"/>
  <c r="CA77" i="11" s="1"/>
  <c r="CA78" i="11" s="1"/>
  <c r="CA79" i="11" s="1"/>
  <c r="CA80" i="11" s="1"/>
  <c r="CA81" i="11" s="1"/>
  <c r="CA82" i="11" s="1"/>
  <c r="CA83" i="11" s="1"/>
  <c r="CA84" i="11" s="1"/>
  <c r="CA85" i="11" s="1"/>
  <c r="CA86" i="11" s="1"/>
  <c r="CA87" i="11" s="1"/>
  <c r="CA88" i="11" s="1"/>
  <c r="CA89" i="11" s="1"/>
  <c r="CA90" i="11" s="1"/>
  <c r="CA91" i="11" s="1"/>
  <c r="CA92" i="11" s="1"/>
  <c r="CA93" i="11" s="1"/>
  <c r="CA94" i="11" s="1"/>
  <c r="CA95" i="11" s="1"/>
  <c r="CA96" i="11" s="1"/>
  <c r="CA97" i="11" s="1"/>
  <c r="CA98" i="11" s="1"/>
  <c r="CA99" i="11" s="1"/>
  <c r="CA100" i="11" s="1"/>
  <c r="CA101" i="11" s="1"/>
  <c r="CA102" i="11" s="1"/>
  <c r="CA103" i="11" s="1"/>
  <c r="CA104" i="11" s="1"/>
  <c r="CA105" i="11" s="1"/>
  <c r="CA106" i="11" s="1"/>
  <c r="CA107" i="11" s="1"/>
  <c r="CA108" i="11" s="1"/>
  <c r="CA109" i="11" s="1"/>
  <c r="CA110" i="11" s="1"/>
  <c r="CA111" i="11" s="1"/>
  <c r="CA112" i="11" s="1"/>
  <c r="CA113" i="11" s="1"/>
  <c r="CA114" i="11" s="1"/>
  <c r="CA115" i="11" s="1"/>
  <c r="CA116" i="11" s="1"/>
  <c r="CA117" i="11" s="1"/>
  <c r="CA118" i="11" s="1"/>
  <c r="CA119" i="11" s="1"/>
  <c r="CA120" i="11" s="1"/>
  <c r="CA121" i="11" s="1"/>
  <c r="CA122" i="11" s="1"/>
  <c r="CA123" i="11" s="1"/>
  <c r="CA124" i="11" s="1"/>
  <c r="CA125" i="11" s="1"/>
  <c r="CA126" i="11" s="1"/>
  <c r="CA127" i="11" s="1"/>
  <c r="CA128" i="11" s="1"/>
  <c r="CA129" i="11" s="1"/>
  <c r="CA130" i="11" s="1"/>
  <c r="CA131" i="11" s="1"/>
  <c r="CA132" i="11" s="1"/>
  <c r="CA133" i="11" s="1"/>
  <c r="CA134" i="11" s="1"/>
  <c r="CA135" i="11" s="1"/>
  <c r="CA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N5" i="9" l="1"/>
  <c r="BK6" i="11" s="1"/>
  <c r="BK5" i="11"/>
  <c r="AI5" i="11" s="1"/>
  <c r="AQ21" i="9"/>
  <c r="CM21" i="8" s="1"/>
  <c r="AI16" i="9"/>
  <c r="AH6" i="9"/>
  <c r="AG6" i="9"/>
  <c r="AK6" i="9"/>
  <c r="AE6" i="9"/>
  <c r="AM6" i="9"/>
  <c r="AN6" i="9" l="1"/>
  <c r="AN7" i="9" s="1"/>
  <c r="AI6" i="11"/>
  <c r="AQ22" i="9"/>
  <c r="CM22" i="8" s="1"/>
  <c r="AI17" i="9"/>
  <c r="AM7" i="9"/>
  <c r="AH7" i="9"/>
  <c r="AG7" i="9"/>
  <c r="AK7" i="9"/>
  <c r="AE7" i="9"/>
  <c r="AN8" i="9" l="1"/>
  <c r="AQ23" i="9"/>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N9" i="9" l="1"/>
  <c r="AQ24" i="9"/>
  <c r="CM24" i="8" s="1"/>
  <c r="AI19" i="9"/>
  <c r="AO19" i="8" s="1"/>
  <c r="AM9" i="9"/>
  <c r="O6" i="1"/>
  <c r="AH9" i="9"/>
  <c r="AG9" i="9"/>
  <c r="AK9" i="9"/>
  <c r="AE9" i="9"/>
  <c r="AB4" i="1"/>
  <c r="AN10" i="9" l="1"/>
  <c r="AQ25" i="9"/>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AN11" i="9" l="1"/>
  <c r="AQ26" i="9"/>
  <c r="CM26" i="8" s="1"/>
  <c r="H53" i="8"/>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Z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9" i="6" s="1"/>
  <c r="C90" i="6" s="1"/>
  <c r="C91" i="6" s="1"/>
  <c r="C92"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X5" i="11" s="1"/>
  <c r="M6" i="11"/>
  <c r="BX6" i="11" s="1"/>
  <c r="M7" i="11"/>
  <c r="BX7" i="11" s="1"/>
  <c r="M8" i="11"/>
  <c r="BX8" i="11" s="1"/>
  <c r="M9" i="11"/>
  <c r="BX9" i="11" s="1"/>
  <c r="M10" i="11"/>
  <c r="BX10" i="11" s="1"/>
  <c r="M11" i="11"/>
  <c r="BX11" i="11" s="1"/>
  <c r="M12" i="11"/>
  <c r="BX12" i="11" s="1"/>
  <c r="M13" i="11"/>
  <c r="BX13" i="11" s="1"/>
  <c r="M14" i="11"/>
  <c r="BX14" i="11" s="1"/>
  <c r="M15" i="11"/>
  <c r="BX15" i="11" s="1"/>
  <c r="M16" i="11"/>
  <c r="BX16" i="11" s="1"/>
  <c r="M17" i="11"/>
  <c r="BX17" i="11" s="1"/>
  <c r="M18" i="11"/>
  <c r="BX18" i="11" s="1"/>
  <c r="M19" i="11"/>
  <c r="BX19" i="11" s="1"/>
  <c r="M20" i="11"/>
  <c r="BX20" i="11" s="1"/>
  <c r="M21" i="11"/>
  <c r="BX21" i="11" s="1"/>
  <c r="M22" i="11"/>
  <c r="BX22" i="11" s="1"/>
  <c r="M23" i="11"/>
  <c r="BX23" i="11" s="1"/>
  <c r="M24" i="11"/>
  <c r="BX24" i="11" s="1"/>
  <c r="M25" i="11"/>
  <c r="BX25" i="11" s="1"/>
  <c r="M26" i="11"/>
  <c r="BX26" i="11" s="1"/>
  <c r="M27" i="11"/>
  <c r="BX27" i="11" s="1"/>
  <c r="M28" i="11"/>
  <c r="BX28" i="11" s="1"/>
  <c r="M29" i="11"/>
  <c r="BX29" i="11" s="1"/>
  <c r="M30" i="11"/>
  <c r="BX30" i="11" s="1"/>
  <c r="M31" i="11"/>
  <c r="BX31" i="11" s="1"/>
  <c r="M32" i="11"/>
  <c r="BX32" i="11" s="1"/>
  <c r="M33" i="11"/>
  <c r="BX33" i="11" s="1"/>
  <c r="M34" i="11"/>
  <c r="BX34" i="11" s="1"/>
  <c r="M35" i="11"/>
  <c r="BX35" i="11" s="1"/>
  <c r="M36" i="11"/>
  <c r="BX36" i="11" s="1"/>
  <c r="M37" i="11"/>
  <c r="BX37" i="11" s="1"/>
  <c r="M38" i="11"/>
  <c r="BX38" i="11" s="1"/>
  <c r="M39" i="11"/>
  <c r="BX39" i="11" s="1"/>
  <c r="M40" i="11"/>
  <c r="BX40" i="11" s="1"/>
  <c r="M41" i="11"/>
  <c r="BX41" i="11" s="1"/>
  <c r="M42" i="11"/>
  <c r="BX42" i="11" s="1"/>
  <c r="M43" i="11"/>
  <c r="BX43" i="11" s="1"/>
  <c r="M44" i="11"/>
  <c r="BX44" i="11" s="1"/>
  <c r="M45" i="11"/>
  <c r="BX45" i="11" s="1"/>
  <c r="M46" i="11"/>
  <c r="BX46" i="11" s="1"/>
  <c r="M47" i="11"/>
  <c r="BX47" i="11" s="1"/>
  <c r="M48" i="11"/>
  <c r="BX48" i="11" s="1"/>
  <c r="M49" i="11"/>
  <c r="BX49" i="11" s="1"/>
  <c r="M50" i="11"/>
  <c r="BX50" i="11" s="1"/>
  <c r="M51" i="11"/>
  <c r="BX51" i="11" s="1"/>
  <c r="M52" i="11"/>
  <c r="BX52" i="11" s="1"/>
  <c r="M53" i="11"/>
  <c r="BX53" i="11" s="1"/>
  <c r="M54" i="11"/>
  <c r="BX54" i="11" s="1"/>
  <c r="M55" i="11"/>
  <c r="BX55" i="11" s="1"/>
  <c r="M56" i="11"/>
  <c r="BX56" i="11" s="1"/>
  <c r="M57" i="11"/>
  <c r="BX57" i="11" s="1"/>
  <c r="M58" i="11"/>
  <c r="BX58" i="11" s="1"/>
  <c r="M59" i="11"/>
  <c r="BX59" i="11" s="1"/>
  <c r="M60" i="11"/>
  <c r="BX60" i="11" s="1"/>
  <c r="M61" i="11"/>
  <c r="BX61" i="11" s="1"/>
  <c r="M62" i="11"/>
  <c r="BX62" i="11" s="1"/>
  <c r="M63" i="11"/>
  <c r="BX63" i="11" s="1"/>
  <c r="M64" i="11"/>
  <c r="BX64" i="11" s="1"/>
  <c r="M65" i="11"/>
  <c r="BX65" i="11" s="1"/>
  <c r="M66" i="11"/>
  <c r="BX66" i="11" s="1"/>
  <c r="M67" i="11"/>
  <c r="BX67" i="11" s="1"/>
  <c r="M68" i="11"/>
  <c r="BX68" i="11" s="1"/>
  <c r="M69" i="11"/>
  <c r="BX69" i="11" s="1"/>
  <c r="M70" i="11"/>
  <c r="BX70" i="11" s="1"/>
  <c r="M71" i="11"/>
  <c r="BX71" i="11" s="1"/>
  <c r="M72" i="11"/>
  <c r="BX72" i="11" s="1"/>
  <c r="M73" i="11"/>
  <c r="BX73" i="11" s="1"/>
  <c r="M74" i="11"/>
  <c r="BX74" i="11" s="1"/>
  <c r="M75" i="11"/>
  <c r="BX75" i="11" s="1"/>
  <c r="M76" i="11"/>
  <c r="BX76" i="11" s="1"/>
  <c r="M77" i="11"/>
  <c r="BX77" i="11" s="1"/>
  <c r="M78" i="11"/>
  <c r="BX78" i="11" s="1"/>
  <c r="M79" i="11"/>
  <c r="BX79" i="11" s="1"/>
  <c r="M80" i="11"/>
  <c r="BX80" i="11" s="1"/>
  <c r="M81" i="11"/>
  <c r="BX81" i="11" s="1"/>
  <c r="M82" i="11"/>
  <c r="BX82" i="11" s="1"/>
  <c r="M83" i="11"/>
  <c r="BX83" i="11" s="1"/>
  <c r="M84" i="11"/>
  <c r="BX84" i="11" s="1"/>
  <c r="M85" i="11"/>
  <c r="BX85" i="11" s="1"/>
  <c r="M86" i="11"/>
  <c r="BX86" i="11" s="1"/>
  <c r="M87" i="11"/>
  <c r="BX87" i="11" s="1"/>
  <c r="M88" i="11"/>
  <c r="BX88" i="11" s="1"/>
  <c r="M89" i="11"/>
  <c r="BX89" i="11" s="1"/>
  <c r="M90" i="11"/>
  <c r="BX90" i="11" s="1"/>
  <c r="M91" i="11"/>
  <c r="BX91" i="11" s="1"/>
  <c r="M92" i="11"/>
  <c r="BX92" i="11" s="1"/>
  <c r="M93" i="11"/>
  <c r="BX93" i="11" s="1"/>
  <c r="M94" i="11"/>
  <c r="BX94" i="11" s="1"/>
  <c r="M95" i="11"/>
  <c r="BX95" i="11" s="1"/>
  <c r="M96" i="11"/>
  <c r="BX96" i="11" s="1"/>
  <c r="M97" i="11"/>
  <c r="BX97" i="11" s="1"/>
  <c r="M98" i="11"/>
  <c r="BX98" i="11" s="1"/>
  <c r="M99" i="11"/>
  <c r="BX99" i="11" s="1"/>
  <c r="M100" i="11"/>
  <c r="BX100" i="11" s="1"/>
  <c r="M101" i="11"/>
  <c r="BX101" i="11" s="1"/>
  <c r="M102" i="11"/>
  <c r="BX102" i="11" s="1"/>
  <c r="M103" i="11"/>
  <c r="BX103" i="11" s="1"/>
  <c r="M104" i="11"/>
  <c r="BX104" i="11" s="1"/>
  <c r="M105" i="11"/>
  <c r="BX105" i="11" s="1"/>
  <c r="M106" i="11"/>
  <c r="BX106" i="11" s="1"/>
  <c r="M107" i="11"/>
  <c r="BX107" i="11" s="1"/>
  <c r="M108" i="11"/>
  <c r="BX108" i="11" s="1"/>
  <c r="M109" i="11"/>
  <c r="BX109" i="11" s="1"/>
  <c r="M110" i="11"/>
  <c r="BX110" i="11" s="1"/>
  <c r="M111" i="11"/>
  <c r="BX111" i="11" s="1"/>
  <c r="M112" i="11"/>
  <c r="BX112" i="11" s="1"/>
  <c r="M113" i="11"/>
  <c r="BX113" i="11" s="1"/>
  <c r="M114" i="11"/>
  <c r="BX114" i="11" s="1"/>
  <c r="M115" i="11"/>
  <c r="BX115" i="11" s="1"/>
  <c r="M116" i="11"/>
  <c r="BX116" i="11" s="1"/>
  <c r="M117" i="11"/>
  <c r="BX117" i="11" s="1"/>
  <c r="M118" i="11"/>
  <c r="BX118" i="11" s="1"/>
  <c r="M119" i="11"/>
  <c r="BX119" i="11" s="1"/>
  <c r="M120" i="11"/>
  <c r="BX120" i="11" s="1"/>
  <c r="M121" i="11"/>
  <c r="BX121" i="11" s="1"/>
  <c r="M122" i="11"/>
  <c r="BX122" i="11" s="1"/>
  <c r="M123" i="11"/>
  <c r="BX123" i="11" s="1"/>
  <c r="M124" i="11"/>
  <c r="BX124" i="11" s="1"/>
  <c r="M125" i="11"/>
  <c r="BX125" i="11" s="1"/>
  <c r="M126" i="11"/>
  <c r="BX126" i="11" s="1"/>
  <c r="M127" i="11"/>
  <c r="BX127" i="11" s="1"/>
  <c r="M128" i="11"/>
  <c r="BX128" i="11" s="1"/>
  <c r="M129" i="11"/>
  <c r="BX129" i="11" s="1"/>
  <c r="M130" i="11"/>
  <c r="BX130" i="11" s="1"/>
  <c r="M131" i="11"/>
  <c r="BX131" i="11" s="1"/>
  <c r="M132" i="11"/>
  <c r="BX132" i="11" s="1"/>
  <c r="M133" i="11"/>
  <c r="BX133" i="11" s="1"/>
  <c r="M134" i="11"/>
  <c r="BX134" i="11" s="1"/>
  <c r="M135" i="11"/>
  <c r="BX135" i="11" s="1"/>
  <c r="M136" i="11"/>
  <c r="BX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AN12" i="9" l="1"/>
  <c r="AQ27" i="9"/>
  <c r="CM27" i="8" s="1"/>
  <c r="E72" i="4"/>
  <c r="BX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Z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N13" i="9" l="1"/>
  <c r="AQ28" i="9"/>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Z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N14" i="9" l="1"/>
  <c r="AQ29" i="9"/>
  <c r="CM29" i="8"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Z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N15" i="9" l="1"/>
  <c r="AQ30" i="9"/>
  <c r="CM30" i="8" s="1"/>
  <c r="AV4" i="5"/>
  <c r="CL4" i="8"/>
  <c r="BL7" i="5" a="1"/>
  <c r="BL7" i="5" s="1"/>
  <c r="BL8" i="5" s="1" a="1"/>
  <c r="BL8" i="5" s="1"/>
  <c r="BD7" i="5" a="1"/>
  <c r="BD7" i="5" s="1"/>
  <c r="BD8" i="5" s="1" a="1"/>
  <c r="BD8" i="5" s="1"/>
  <c r="AI25" i="9"/>
  <c r="AO25" i="8" s="1"/>
  <c r="AZ7" i="5" a="1"/>
  <c r="AZ7"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Z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Z8" i="5" l="1" a="1"/>
  <c r="AZ8" i="5" s="1"/>
  <c r="BK8" i="11" s="1"/>
  <c r="BK7" i="11"/>
  <c r="AI7" i="11" s="1"/>
  <c r="AN16" i="9"/>
  <c r="AQ31" i="9"/>
  <c r="CM31" i="8" s="1"/>
  <c r="AO4" i="5"/>
  <c r="AM4" i="5"/>
  <c r="AV5" i="5"/>
  <c r="AW5" i="5"/>
  <c r="CL5" i="8"/>
  <c r="AD6" i="1"/>
  <c r="BF8" i="5" a="1"/>
  <c r="BF8" i="5" s="1"/>
  <c r="AE7" i="1" s="1"/>
  <c r="CC4" i="8"/>
  <c r="CV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CR4" i="8" s="1"/>
  <c r="BW5" i="8"/>
  <c r="CB4" i="8"/>
  <c r="CT4" i="8" s="1"/>
  <c r="CI4" i="8"/>
  <c r="DA4" i="8" s="1"/>
  <c r="CA4" i="8"/>
  <c r="BY4" i="8"/>
  <c r="CQ4" i="8" s="1"/>
  <c r="AE4" i="7"/>
  <c r="AF4" i="7" s="1"/>
  <c r="BZ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Z9" i="5" l="1" a="1"/>
  <c r="AZ9" i="5" s="1"/>
  <c r="BK9" i="11" s="1"/>
  <c r="AI8" i="11"/>
  <c r="AN17" i="9"/>
  <c r="CW4" i="8"/>
  <c r="AG4" i="7"/>
  <c r="AI4" i="7" s="1"/>
  <c r="AA4" i="8" s="1"/>
  <c r="AS4" i="8"/>
  <c r="AQ32" i="9"/>
  <c r="CM32" i="8" s="1"/>
  <c r="AO5" i="5"/>
  <c r="AM5" i="5"/>
  <c r="AN5" i="5"/>
  <c r="AR5" i="5" s="1"/>
  <c r="AV6" i="5"/>
  <c r="AW6" i="5"/>
  <c r="AG5"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K10" i="11" s="1"/>
  <c r="BI10" i="5" a="1"/>
  <c r="BI10" i="5" s="1"/>
  <c r="BE10" i="5" a="1"/>
  <c r="BE10" i="5" s="1"/>
  <c r="BM10" i="5" a="1"/>
  <c r="BM10" i="5" s="1"/>
  <c r="BX5" i="8"/>
  <c r="CD5" i="8" s="1"/>
  <c r="D6" i="9"/>
  <c r="V8" i="2"/>
  <c r="CU4" i="8"/>
  <c r="BP9" i="5" a="1"/>
  <c r="BP9" i="5" s="1"/>
  <c r="BT5" i="8"/>
  <c r="O14" i="1"/>
  <c r="CE4" i="8"/>
  <c r="CX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R5" i="8" s="1"/>
  <c r="DB4" i="8"/>
  <c r="AQ4" i="5"/>
  <c r="BY5" i="8"/>
  <c r="CQ5" i="8" s="1"/>
  <c r="CB5" i="8"/>
  <c r="CT5" i="8" s="1"/>
  <c r="CH5" i="8"/>
  <c r="CZ5" i="8" s="1"/>
  <c r="CC5" i="8"/>
  <c r="AH8" i="5"/>
  <c r="BU8" i="5"/>
  <c r="B8" i="1"/>
  <c r="BG8" i="1" s="1"/>
  <c r="B8" i="2"/>
  <c r="BZ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I9" i="11" l="1"/>
  <c r="AI10" i="11" s="1"/>
  <c r="AN18" i="9"/>
  <c r="CY4" i="8"/>
  <c r="CV5" i="8"/>
  <c r="CW5" i="8" s="1"/>
  <c r="AS5" i="8"/>
  <c r="AQ33" i="9"/>
  <c r="CM33" i="8" s="1"/>
  <c r="AO6" i="5"/>
  <c r="AM6" i="5"/>
  <c r="AN6" i="5"/>
  <c r="AR6" i="5" s="1"/>
  <c r="AV7" i="5"/>
  <c r="AW7" i="5"/>
  <c r="AI5" i="7"/>
  <c r="J9" i="2"/>
  <c r="CL7" i="8"/>
  <c r="BF10" i="5" a="1"/>
  <c r="BF10" i="5" s="1"/>
  <c r="AE9" i="1" s="1"/>
  <c r="P5" i="8"/>
  <c r="CC6" i="8"/>
  <c r="AC6" i="1"/>
  <c r="AI28" i="9"/>
  <c r="AO28" i="8" s="1"/>
  <c r="B4" i="8"/>
  <c r="D4" i="2" s="1"/>
  <c r="G12" i="8"/>
  <c r="CF11" i="8"/>
  <c r="O11" i="2"/>
  <c r="BN11" i="5" a="1"/>
  <c r="BN11" i="5" s="1"/>
  <c r="AW4" i="8"/>
  <c r="AD9" i="1"/>
  <c r="BC11" i="5" a="1"/>
  <c r="BC11" i="5" s="1"/>
  <c r="AM18" i="9"/>
  <c r="BR6" i="8"/>
  <c r="BS6" i="8"/>
  <c r="CE5" i="8"/>
  <c r="BM11" i="5" a="1"/>
  <c r="BM11" i="5" s="1"/>
  <c r="BE11" i="5" a="1"/>
  <c r="BE11" i="5" s="1"/>
  <c r="BI11" i="5" a="1"/>
  <c r="BI11" i="5" s="1"/>
  <c r="AZ11" i="5" a="1"/>
  <c r="AZ11" i="5" s="1"/>
  <c r="BK11" i="11"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F13" i="8"/>
  <c r="CU5" i="8"/>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Z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CR6" i="8" s="1"/>
  <c r="BY6" i="8"/>
  <c r="CQ6" i="8" s="1"/>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I11" i="11" l="1"/>
  <c r="AN19" i="9"/>
  <c r="BK20" i="11" s="1"/>
  <c r="CX5" i="8"/>
  <c r="CY5" i="8" s="1"/>
  <c r="DF4" i="8"/>
  <c r="G4" i="1" s="1"/>
  <c r="N4" i="8" s="1"/>
  <c r="CV6" i="8"/>
  <c r="CW6" i="8" s="1"/>
  <c r="AS6" i="8"/>
  <c r="AQ34" i="9"/>
  <c r="CM34" i="8" s="1"/>
  <c r="AO7" i="5"/>
  <c r="AM7" i="5"/>
  <c r="AN7" i="5"/>
  <c r="AR7" i="5" s="1"/>
  <c r="AV8" i="5"/>
  <c r="AW8" i="5"/>
  <c r="BF11" i="5" a="1"/>
  <c r="BF11" i="5" s="1"/>
  <c r="AE10" i="1" s="1"/>
  <c r="AG6" i="7"/>
  <c r="AI6" i="7" s="1"/>
  <c r="J10" i="2"/>
  <c r="CL8" i="8"/>
  <c r="P6" i="8"/>
  <c r="CC7" i="8"/>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K12" i="11" s="1"/>
  <c r="AI12" i="11" s="1"/>
  <c r="BO12" i="5" a="1"/>
  <c r="BO12" i="5" s="1"/>
  <c r="BI12" i="5" a="1"/>
  <c r="BI12" i="5" s="1"/>
  <c r="BA12" i="5" a="1"/>
  <c r="BA12" i="5" s="1"/>
  <c r="BE12" i="5" a="1"/>
  <c r="BE12" i="5" s="1"/>
  <c r="BM12" i="5" a="1"/>
  <c r="BM12" i="5" s="1"/>
  <c r="BC12" i="5" a="1"/>
  <c r="BC12" i="5" s="1"/>
  <c r="BN12" i="5" a="1"/>
  <c r="BN12" i="5" s="1"/>
  <c r="V10" i="2"/>
  <c r="CS5" i="8"/>
  <c r="F14" i="8"/>
  <c r="BP11" i="5" a="1"/>
  <c r="BP11" i="5" s="1"/>
  <c r="O16" i="1"/>
  <c r="BT7" i="8"/>
  <c r="BO7" i="8"/>
  <c r="BP7" i="8"/>
  <c r="BM7" i="8"/>
  <c r="BN7" i="8"/>
  <c r="BK7" i="8"/>
  <c r="BL7" i="8"/>
  <c r="BJ7" i="8"/>
  <c r="AC7" i="10"/>
  <c r="X7" i="10" s="1"/>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Z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U6" i="8"/>
  <c r="D8" i="9"/>
  <c r="DB6" i="8"/>
  <c r="CI7" i="8"/>
  <c r="DA7" i="8" s="1"/>
  <c r="DH8" i="8"/>
  <c r="DI8" i="8" s="1"/>
  <c r="K14" i="8"/>
  <c r="CK8" i="8"/>
  <c r="CG13" i="8"/>
  <c r="BW8" i="8"/>
  <c r="CE6" i="8"/>
  <c r="BX7" i="8"/>
  <c r="CE7" i="8" s="1"/>
  <c r="CX7" i="8" s="1"/>
  <c r="N7" i="7"/>
  <c r="BH8" i="8"/>
  <c r="BU8" i="8" s="1"/>
  <c r="BI8" i="8"/>
  <c r="AH19" i="9"/>
  <c r="B4" i="14"/>
  <c r="AD6" i="11"/>
  <c r="AI6" i="1" s="1"/>
  <c r="AQ6" i="5"/>
  <c r="CA7" i="8"/>
  <c r="BY7" i="8"/>
  <c r="CQ7" i="8" s="1"/>
  <c r="CH7" i="8"/>
  <c r="CZ7" i="8" s="1"/>
  <c r="Z6" i="11"/>
  <c r="AB6" i="11"/>
  <c r="Q6" i="8" s="1"/>
  <c r="BZ7" i="8"/>
  <c r="CR7" i="8" s="1"/>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N20" i="9" l="1"/>
  <c r="BK21" i="11" s="1"/>
  <c r="DF5" i="8"/>
  <c r="G5" i="1" s="1"/>
  <c r="N5" i="8" s="1"/>
  <c r="CX6" i="8"/>
  <c r="CY6" i="8" s="1"/>
  <c r="CV7" i="8"/>
  <c r="CW7" i="8" s="1"/>
  <c r="AS7" i="8"/>
  <c r="AQ35" i="9"/>
  <c r="CM35" i="8" s="1"/>
  <c r="AO8" i="5"/>
  <c r="AM8" i="5"/>
  <c r="AN8" i="5"/>
  <c r="AV9" i="5"/>
  <c r="AW9" i="5"/>
  <c r="BF12" i="5" a="1"/>
  <c r="BF12" i="5" s="1"/>
  <c r="AE11" i="1" s="1"/>
  <c r="J11" i="2"/>
  <c r="AG7" i="7"/>
  <c r="AI7" i="7" s="1"/>
  <c r="CL9" i="8"/>
  <c r="CC8" i="8"/>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K13" i="11" s="1"/>
  <c r="AI13" i="11" s="1"/>
  <c r="BD13" i="5" a="1"/>
  <c r="BD13" i="5" s="1"/>
  <c r="BG13" i="5" a="1"/>
  <c r="BG13" i="5" s="1"/>
  <c r="V11" i="2"/>
  <c r="F15" i="8"/>
  <c r="BP12" i="5" a="1"/>
  <c r="BP12" i="5" s="1"/>
  <c r="O17" i="1"/>
  <c r="BT8" i="8"/>
  <c r="BO8" i="8"/>
  <c r="BP8" i="8"/>
  <c r="BM8" i="8"/>
  <c r="BN8" i="8"/>
  <c r="BK8" i="8"/>
  <c r="BL8" i="8"/>
  <c r="BJ8" i="8"/>
  <c r="AC8" i="10"/>
  <c r="X8" i="10" s="1"/>
  <c r="AR8" i="5"/>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Z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CU7" i="8"/>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CX8" i="8" s="1"/>
  <c r="N8" i="7"/>
  <c r="BH9" i="8"/>
  <c r="BU9" i="8" s="1"/>
  <c r="BI9" i="8"/>
  <c r="AH20" i="9"/>
  <c r="CH8" i="8"/>
  <c r="CZ8" i="8" s="1"/>
  <c r="CA8" i="8"/>
  <c r="AC7" i="11"/>
  <c r="U7" i="8" s="1"/>
  <c r="AE8" i="7"/>
  <c r="AF8" i="7" s="1"/>
  <c r="BY8" i="8"/>
  <c r="CQ8" i="8" s="1"/>
  <c r="AA7" i="11"/>
  <c r="AK7" i="1" s="1"/>
  <c r="Z7" i="11"/>
  <c r="AQ7" i="5"/>
  <c r="BZ8" i="8"/>
  <c r="CR8" i="8" s="1"/>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N21" i="9" l="1"/>
  <c r="BK22" i="11" s="1"/>
  <c r="DF6" i="8"/>
  <c r="G6" i="1" s="1"/>
  <c r="N6" i="8" s="1"/>
  <c r="CV8" i="8"/>
  <c r="CW8" i="8" s="1"/>
  <c r="AS8" i="8"/>
  <c r="AQ36" i="9"/>
  <c r="CM36" i="8" s="1"/>
  <c r="AO9" i="5"/>
  <c r="AM9" i="5"/>
  <c r="AN9" i="5"/>
  <c r="AR9" i="5" s="1"/>
  <c r="J12" i="2"/>
  <c r="BF13" i="5" a="1"/>
  <c r="BF13" i="5" s="1"/>
  <c r="AE12" i="1" s="1"/>
  <c r="AV10" i="5"/>
  <c r="AW10" i="5"/>
  <c r="AG8" i="7"/>
  <c r="AI8" i="7" s="1"/>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K14" i="11" s="1"/>
  <c r="AI14" i="11"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Y7" i="8"/>
  <c r="BP13" i="5" a="1"/>
  <c r="BP13" i="5" s="1"/>
  <c r="X10" i="8"/>
  <c r="DD10" i="8" s="1"/>
  <c r="O18" i="1"/>
  <c r="BT9" i="8"/>
  <c r="BO9" i="8"/>
  <c r="BP9" i="8"/>
  <c r="BM9" i="8"/>
  <c r="BN9" i="8"/>
  <c r="BK9" i="8"/>
  <c r="BL9" i="8"/>
  <c r="BJ9" i="8"/>
  <c r="AC9" i="10"/>
  <c r="X9" i="10" s="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Z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U8" i="8"/>
  <c r="D10" i="9"/>
  <c r="DB8" i="8"/>
  <c r="CI9" i="8"/>
  <c r="DA9" i="8" s="1"/>
  <c r="CD8" i="8"/>
  <c r="P8" i="8" s="1"/>
  <c r="CG15" i="8"/>
  <c r="BX9" i="8"/>
  <c r="CD9" i="8" s="1"/>
  <c r="N9" i="7"/>
  <c r="AH21" i="9"/>
  <c r="AQ8" i="5"/>
  <c r="CZ12" i="5"/>
  <c r="BY9" i="8"/>
  <c r="CQ9" i="8" s="1"/>
  <c r="CC9" i="8"/>
  <c r="BZ9" i="8"/>
  <c r="CR9" i="8" s="1"/>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N22" i="9" l="1"/>
  <c r="BK23" i="11" s="1"/>
  <c r="CV9" i="8"/>
  <c r="CW9" i="8" s="1"/>
  <c r="AS9" i="8"/>
  <c r="AQ37" i="9"/>
  <c r="CM37" i="8" s="1"/>
  <c r="AO10" i="5"/>
  <c r="AM10" i="5"/>
  <c r="AN10" i="5"/>
  <c r="J13" i="2"/>
  <c r="BF14" i="5" a="1"/>
  <c r="BF14" i="5" s="1"/>
  <c r="AE13" i="1" s="1"/>
  <c r="AV11" i="5"/>
  <c r="AW11" i="5"/>
  <c r="E17" i="8"/>
  <c r="AG9" i="7"/>
  <c r="AI9" i="7" s="1"/>
  <c r="CL11" i="8"/>
  <c r="P9" i="8"/>
  <c r="CB10" i="8"/>
  <c r="CT10" i="8" s="1"/>
  <c r="AC10" i="1"/>
  <c r="AI32" i="9"/>
  <c r="AO32" i="8" s="1"/>
  <c r="G16" i="8"/>
  <c r="CF15" i="8"/>
  <c r="O15" i="2"/>
  <c r="AZ15" i="5" a="1"/>
  <c r="AZ15"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BP14" i="5" a="1"/>
  <c r="BP14" i="5" s="1"/>
  <c r="DH11" i="8"/>
  <c r="DI11" i="8" s="1"/>
  <c r="O19" i="1"/>
  <c r="BT10" i="8"/>
  <c r="BO10" i="8"/>
  <c r="BP10" i="8"/>
  <c r="BM10" i="8"/>
  <c r="BN10" i="8"/>
  <c r="AR10" i="5"/>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CR10" i="8" s="1"/>
  <c r="N10" i="7"/>
  <c r="CC10" i="8"/>
  <c r="N10" i="11"/>
  <c r="AA9" i="11"/>
  <c r="AK9" i="1" s="1"/>
  <c r="Z9" i="11"/>
  <c r="AB9" i="11"/>
  <c r="Q9" i="8" s="1"/>
  <c r="AD9" i="11"/>
  <c r="AI9" i="1" s="1"/>
  <c r="BX10" i="8"/>
  <c r="CE10" i="8" s="1"/>
  <c r="CX10" i="8" s="1"/>
  <c r="D11" i="9"/>
  <c r="AE10" i="7"/>
  <c r="AF10" i="7" s="1"/>
  <c r="CH10" i="8"/>
  <c r="CZ10" i="8" s="1"/>
  <c r="BY10" i="8"/>
  <c r="CQ10" i="8" s="1"/>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Z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U9" i="8"/>
  <c r="DB9" i="8"/>
  <c r="CY8" i="8"/>
  <c r="CG16" i="8"/>
  <c r="CE9" i="8"/>
  <c r="AH22" i="9"/>
  <c r="AQ9" i="5"/>
  <c r="CZ13" i="5"/>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Z16" i="5" l="1" a="1"/>
  <c r="AZ16" i="5" s="1"/>
  <c r="BK16" i="11" s="1"/>
  <c r="BK15" i="11"/>
  <c r="AI15" i="11" s="1"/>
  <c r="AN23" i="9"/>
  <c r="BK24" i="11" s="1"/>
  <c r="CX9" i="8"/>
  <c r="CY9" i="8" s="1"/>
  <c r="CV10" i="8"/>
  <c r="CW10" i="8" s="1"/>
  <c r="AS10" i="8"/>
  <c r="AQ38" i="9"/>
  <c r="CM38" i="8" s="1"/>
  <c r="AO11" i="5"/>
  <c r="AM11" i="5"/>
  <c r="AN11" i="5"/>
  <c r="AR11" i="5" s="1"/>
  <c r="J14" i="2"/>
  <c r="BF15" i="5" a="1"/>
  <c r="BF15" i="5" s="1"/>
  <c r="BF16" i="5" s="1" a="1"/>
  <c r="BF16" i="5" s="1"/>
  <c r="AE15" i="1" s="1"/>
  <c r="AV12" i="5"/>
  <c r="AW12" i="5"/>
  <c r="E18" i="8"/>
  <c r="AG11" i="7"/>
  <c r="AG10" i="7"/>
  <c r="AI10" i="7" s="1"/>
  <c r="CL12" i="8"/>
  <c r="BY11" i="8"/>
  <c r="CQ11" i="8" s="1"/>
  <c r="AC11" i="1"/>
  <c r="AI33" i="9"/>
  <c r="AO33" i="8" s="1"/>
  <c r="G17" i="8"/>
  <c r="CF16" i="8"/>
  <c r="O16" i="2"/>
  <c r="AM23" i="9"/>
  <c r="BR11" i="8"/>
  <c r="BS11" i="8"/>
  <c r="AD14" i="1"/>
  <c r="CV16" i="5"/>
  <c r="CT16" i="5"/>
  <c r="CS16" i="5"/>
  <c r="CR16" i="5"/>
  <c r="CU16" i="5"/>
  <c r="CW16" i="5"/>
  <c r="CQ16" i="5"/>
  <c r="V14" i="2"/>
  <c r="CI11" i="8"/>
  <c r="DA11" i="8" s="1"/>
  <c r="F19" i="8"/>
  <c r="CU10" i="8"/>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D10" i="8"/>
  <c r="P10" i="8" s="1"/>
  <c r="AQ10" i="5"/>
  <c r="AC10" i="11"/>
  <c r="U10" i="8" s="1"/>
  <c r="N11" i="7"/>
  <c r="Q11" i="7"/>
  <c r="AA10" i="11"/>
  <c r="AK10" i="1" s="1"/>
  <c r="BZ11" i="8"/>
  <c r="CR11" i="8" s="1"/>
  <c r="AD10" i="11"/>
  <c r="AI10" i="1" s="1"/>
  <c r="AB10" i="11"/>
  <c r="Q10" i="8" s="1"/>
  <c r="CA11" i="8"/>
  <c r="Y10" i="11"/>
  <c r="AH10" i="1" s="1"/>
  <c r="CH11" i="8"/>
  <c r="CZ11" i="8" s="1"/>
  <c r="CC11" i="8"/>
  <c r="Z10" i="11"/>
  <c r="CB11" i="8"/>
  <c r="CT11" i="8" s="1"/>
  <c r="BX11" i="8"/>
  <c r="CE11" i="8" s="1"/>
  <c r="CX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Z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CG17" i="8"/>
  <c r="AH23" i="9"/>
  <c r="CZ14" i="5"/>
  <c r="DA13" i="5"/>
  <c r="DG13" i="5" s="1" a="1"/>
  <c r="DG13" i="5" s="1"/>
  <c r="AB14" i="1"/>
  <c r="DI14" i="5"/>
  <c r="AG23" i="9"/>
  <c r="AK23" i="9"/>
  <c r="AE85" i="9"/>
  <c r="B7" i="14"/>
  <c r="S16" i="2"/>
  <c r="P17" i="2"/>
  <c r="N17" i="2"/>
  <c r="R17" i="2"/>
  <c r="Q16" i="2"/>
  <c r="M17" i="2"/>
  <c r="F15" i="12"/>
  <c r="E15" i="12" s="1"/>
  <c r="D16" i="12"/>
  <c r="J18" i="10"/>
  <c r="N18" i="5" s="1"/>
  <c r="AI16" i="11" l="1"/>
  <c r="AN24" i="9"/>
  <c r="BK25" i="11" s="1"/>
  <c r="DF9" i="8"/>
  <c r="G9" i="1" s="1"/>
  <c r="N9" i="8" s="1"/>
  <c r="CV11" i="8"/>
  <c r="CW11" i="8" s="1"/>
  <c r="CU11" i="8"/>
  <c r="AS11" i="8"/>
  <c r="AQ39" i="9"/>
  <c r="CM39" i="8" s="1"/>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K17" i="11"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Y10" i="8"/>
  <c r="F20" i="8"/>
  <c r="J16" i="2"/>
  <c r="B13" i="9"/>
  <c r="Y13" i="9" s="1"/>
  <c r="O21" i="1"/>
  <c r="BX12" i="8"/>
  <c r="CD12" i="8" s="1"/>
  <c r="BT12" i="8"/>
  <c r="BO12" i="8"/>
  <c r="BP12" i="8"/>
  <c r="BM12" i="8"/>
  <c r="BN12" i="8"/>
  <c r="BK12" i="8"/>
  <c r="BL12" i="8"/>
  <c r="BJ12" i="8"/>
  <c r="AC12" i="10"/>
  <c r="X12" i="10" s="1"/>
  <c r="AT16" i="5"/>
  <c r="AS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S11" i="8"/>
  <c r="CD11" i="8"/>
  <c r="P11" i="8" s="1"/>
  <c r="AQ11" i="5"/>
  <c r="AE12" i="7"/>
  <c r="AF12" i="7" s="1"/>
  <c r="BY12" i="8"/>
  <c r="CQ12" i="8" s="1"/>
  <c r="AB11" i="11"/>
  <c r="Q11" i="8" s="1"/>
  <c r="AC11" i="11"/>
  <c r="U11" i="8" s="1"/>
  <c r="Z11" i="11"/>
  <c r="Y11" i="11"/>
  <c r="AH11" i="1" s="1"/>
  <c r="N12" i="7"/>
  <c r="AD11" i="11"/>
  <c r="AI11" i="1" s="1"/>
  <c r="CB12" i="8"/>
  <c r="CT12" i="8" s="1"/>
  <c r="AA11" i="11"/>
  <c r="AK11" i="1" s="1"/>
  <c r="BZ12" i="8"/>
  <c r="CR12" i="8" s="1"/>
  <c r="CA12" i="8"/>
  <c r="CC12" i="8"/>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Z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I17" i="11" l="1"/>
  <c r="AN25" i="9"/>
  <c r="BK26" i="11" s="1"/>
  <c r="CV12" i="8"/>
  <c r="CW12" i="8" s="1"/>
  <c r="AS12" i="8"/>
  <c r="AQ40" i="9"/>
  <c r="CM40" i="8" s="1"/>
  <c r="AO13" i="5"/>
  <c r="AM13" i="5"/>
  <c r="AN13" i="5"/>
  <c r="AR13" i="5" s="1"/>
  <c r="AV14" i="5"/>
  <c r="AW14" i="5"/>
  <c r="E20" i="8"/>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K18" i="11" s="1"/>
  <c r="AI18" i="11"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U12" i="8"/>
  <c r="F21" i="8"/>
  <c r="BP17" i="5" a="1"/>
  <c r="BP17" i="5" s="1"/>
  <c r="J17" i="2" s="1"/>
  <c r="O22" i="1"/>
  <c r="CE12" i="8"/>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Y11" i="8"/>
  <c r="DF11" i="8" s="1"/>
  <c r="G11" i="1" s="1"/>
  <c r="N11" i="8" s="1"/>
  <c r="AB12" i="11"/>
  <c r="Q12" i="8" s="1"/>
  <c r="AQ12" i="5"/>
  <c r="Y12" i="11"/>
  <c r="AH12" i="1" s="1"/>
  <c r="AD12" i="11"/>
  <c r="AI12" i="1" s="1"/>
  <c r="AC12" i="11"/>
  <c r="U12" i="8" s="1"/>
  <c r="BY13" i="8"/>
  <c r="CQ13" i="8" s="1"/>
  <c r="N13" i="7"/>
  <c r="Z12" i="11"/>
  <c r="N13" i="11"/>
  <c r="D14" i="9"/>
  <c r="CC13" i="8"/>
  <c r="BX13" i="8"/>
  <c r="CE13" i="8" s="1"/>
  <c r="CX13" i="8" s="1"/>
  <c r="CH13" i="8"/>
  <c r="CZ13" i="8" s="1"/>
  <c r="CA13" i="8"/>
  <c r="BZ13" i="8"/>
  <c r="CR13" i="8" s="1"/>
  <c r="AE13" i="7"/>
  <c r="AF13" i="7" s="1"/>
  <c r="CI13" i="8"/>
  <c r="DA13" i="8" s="1"/>
  <c r="F15" i="5"/>
  <c r="B16" i="5"/>
  <c r="B16" i="2"/>
  <c r="AH16" i="5"/>
  <c r="BU16" i="5"/>
  <c r="B16" i="1"/>
  <c r="BG16" i="1" s="1"/>
  <c r="DB16" i="5"/>
  <c r="BZ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N26" i="9" l="1"/>
  <c r="BK27" i="11" s="1"/>
  <c r="CX12" i="8"/>
  <c r="CY12" i="8" s="1"/>
  <c r="CV13" i="8"/>
  <c r="CW13" i="8" s="1"/>
  <c r="AS13" i="8"/>
  <c r="AQ41" i="9"/>
  <c r="CM41" i="8" s="1"/>
  <c r="AO14" i="5"/>
  <c r="AM14" i="5"/>
  <c r="AN14" i="5"/>
  <c r="AV15" i="5"/>
  <c r="AW15" i="5"/>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K19" i="11" s="1"/>
  <c r="AI19" i="11" s="1"/>
  <c r="AI20" i="11" s="1"/>
  <c r="AI21" i="11" s="1"/>
  <c r="AI22" i="11" s="1"/>
  <c r="AI23" i="11" s="1"/>
  <c r="AI24" i="11" s="1"/>
  <c r="AI25" i="11" s="1"/>
  <c r="AI26" i="11" s="1"/>
  <c r="BI19" i="5" a="1"/>
  <c r="BI19" i="5" s="1"/>
  <c r="BG19" i="5" a="1"/>
  <c r="BG19" i="5" s="1"/>
  <c r="BM19" i="5" a="1"/>
  <c r="BM19" i="5" s="1"/>
  <c r="BQ19" i="5" a="1"/>
  <c r="BQ19" i="5" s="1"/>
  <c r="BD19" i="5" a="1"/>
  <c r="BD19" i="5" s="1"/>
  <c r="BC19" i="5" a="1"/>
  <c r="BC19" i="5" s="1"/>
  <c r="V17" i="2"/>
  <c r="CS12" i="8"/>
  <c r="CU13" i="8"/>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D15" i="9"/>
  <c r="X15" i="8"/>
  <c r="DD15" i="8" s="1"/>
  <c r="AC15" i="8"/>
  <c r="BQ15" i="8" s="1"/>
  <c r="AJ15" i="5"/>
  <c r="AP15" i="5" s="1"/>
  <c r="B15" i="7"/>
  <c r="Q15" i="7" s="1"/>
  <c r="A15" i="10"/>
  <c r="AA15" i="10" s="1"/>
  <c r="CK15" i="8"/>
  <c r="BT15" i="5"/>
  <c r="AI15" i="5"/>
  <c r="BI15" i="8"/>
  <c r="BW15" i="8"/>
  <c r="A15" i="11"/>
  <c r="N15" i="11" s="1"/>
  <c r="E15" i="1"/>
  <c r="BZ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Q14" i="8" s="1"/>
  <c r="CA14" i="8"/>
  <c r="BZ14" i="8"/>
  <c r="CR14" i="8" s="1"/>
  <c r="CH14" i="8"/>
  <c r="CZ14" i="8" s="1"/>
  <c r="CC14" i="8"/>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I27" i="11" l="1"/>
  <c r="AN27" i="9"/>
  <c r="BK28" i="11" s="1"/>
  <c r="AI28" i="11" s="1"/>
  <c r="DF12" i="8"/>
  <c r="G12" i="1" s="1"/>
  <c r="N12" i="8" s="1"/>
  <c r="CV14" i="8"/>
  <c r="CW14" i="8" s="1"/>
  <c r="AS14" i="8"/>
  <c r="AQ42" i="9"/>
  <c r="CM42" i="8" s="1"/>
  <c r="AO15" i="5"/>
  <c r="AM15" i="5"/>
  <c r="AN15" i="5"/>
  <c r="AR15" i="5" s="1"/>
  <c r="AV16" i="5"/>
  <c r="AW16" i="5"/>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CQ15" i="8" s="1"/>
  <c r="Z14" i="11"/>
  <c r="AB14" i="11"/>
  <c r="Q14" i="8" s="1"/>
  <c r="AD14" i="11"/>
  <c r="AI14" i="1" s="1"/>
  <c r="CI15" i="8"/>
  <c r="DA15" i="8" s="1"/>
  <c r="CC15" i="8"/>
  <c r="CA15" i="8"/>
  <c r="BZ15" i="8"/>
  <c r="CR15" i="8" s="1"/>
  <c r="N15" i="7"/>
  <c r="CY13" i="8"/>
  <c r="CB15" i="8"/>
  <c r="CT15" i="8" s="1"/>
  <c r="AA14" i="11"/>
  <c r="AK14" i="1" s="1"/>
  <c r="AE15" i="7"/>
  <c r="AF15" i="7" s="1"/>
  <c r="BU18" i="5"/>
  <c r="B18" i="2"/>
  <c r="B18" i="1"/>
  <c r="BG18" i="1" s="1"/>
  <c r="AH18" i="5"/>
  <c r="BZ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U14" i="8"/>
  <c r="CE14" i="8"/>
  <c r="DB14" i="8"/>
  <c r="DH16" i="8"/>
  <c r="DI16" i="8" s="1"/>
  <c r="CK16" i="8"/>
  <c r="BW16" i="8"/>
  <c r="AC16" i="1" s="1"/>
  <c r="BH16" i="8"/>
  <c r="BU16" i="8" s="1"/>
  <c r="BI16" i="8"/>
  <c r="AH27" i="9"/>
  <c r="AQ14" i="5"/>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N28" i="9" l="1"/>
  <c r="BK29" i="11" s="1"/>
  <c r="AI29" i="11" s="1"/>
  <c r="CX14" i="8"/>
  <c r="CY14" i="8" s="1"/>
  <c r="CV15" i="8"/>
  <c r="CW15" i="8" s="1"/>
  <c r="AS15" i="8"/>
  <c r="AQ43" i="9"/>
  <c r="CM43" i="8" s="1"/>
  <c r="AO16" i="5"/>
  <c r="AM16" i="5"/>
  <c r="AN16" i="5"/>
  <c r="AR16" i="5" s="1"/>
  <c r="AV17" i="5"/>
  <c r="AW17" i="5"/>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U15" i="8"/>
  <c r="F24" i="8"/>
  <c r="BP20" i="5" a="1"/>
  <c r="BP20" i="5" s="1"/>
  <c r="J20" i="2" s="1"/>
  <c r="O25" i="1"/>
  <c r="BT16" i="8"/>
  <c r="BO16" i="8"/>
  <c r="BP16" i="8"/>
  <c r="BM16" i="8"/>
  <c r="BN16" i="8"/>
  <c r="BK16" i="8"/>
  <c r="BL16" i="8"/>
  <c r="BJ16" i="8"/>
  <c r="AC16" i="10"/>
  <c r="X16" i="10" s="1"/>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AH19" i="5"/>
  <c r="BU19" i="5"/>
  <c r="B19" i="2"/>
  <c r="B19" i="1"/>
  <c r="BG19" i="1" s="1"/>
  <c r="BZ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17" i="9"/>
  <c r="DH17" i="8"/>
  <c r="DI17" i="8" s="1"/>
  <c r="CI16" i="8"/>
  <c r="DA16" i="8" s="1"/>
  <c r="CK17" i="8"/>
  <c r="BW17" i="8"/>
  <c r="AC17" i="1" s="1"/>
  <c r="BX16" i="8"/>
  <c r="CE16" i="8" s="1"/>
  <c r="CX16" i="8" s="1"/>
  <c r="N16" i="7"/>
  <c r="BH17" i="8"/>
  <c r="BU17" i="8" s="1"/>
  <c r="BI17" i="8"/>
  <c r="AH28" i="9"/>
  <c r="CC16" i="8"/>
  <c r="CH16" i="8"/>
  <c r="CZ16" i="8" s="1"/>
  <c r="CA16" i="8"/>
  <c r="BZ16" i="8"/>
  <c r="CR16" i="8" s="1"/>
  <c r="CB16" i="8"/>
  <c r="CT16" i="8" s="1"/>
  <c r="BY16" i="8"/>
  <c r="CQ16" i="8" s="1"/>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AN29" i="9" l="1"/>
  <c r="BK30" i="11" s="1"/>
  <c r="AI30" i="11" s="1"/>
  <c r="DF14" i="8"/>
  <c r="G14" i="1" s="1"/>
  <c r="N14" i="8" s="1"/>
  <c r="CX15" i="8"/>
  <c r="CY15" i="8" s="1"/>
  <c r="CV16" i="8"/>
  <c r="CW16" i="8" s="1"/>
  <c r="AS16" i="8"/>
  <c r="AQ44" i="9"/>
  <c r="CM44" i="8" s="1"/>
  <c r="AO17" i="5"/>
  <c r="AM17" i="5"/>
  <c r="AN17" i="5"/>
  <c r="AR17" i="5" s="1"/>
  <c r="AV18" i="5"/>
  <c r="AW18" i="5"/>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Z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U16" i="8"/>
  <c r="D18" i="9"/>
  <c r="CI17" i="8"/>
  <c r="DA17" i="8" s="1"/>
  <c r="DB16" i="8"/>
  <c r="CD16" i="8"/>
  <c r="P16" i="8" s="1"/>
  <c r="BX17" i="8"/>
  <c r="CD17" i="8" s="1"/>
  <c r="N17" i="7"/>
  <c r="AH29" i="9"/>
  <c r="AQ16" i="5"/>
  <c r="Q17" i="7"/>
  <c r="AE17" i="7"/>
  <c r="AF17" i="7" s="1"/>
  <c r="AC16" i="11"/>
  <c r="U16" i="8" s="1"/>
  <c r="Z16" i="11"/>
  <c r="AA16" i="11"/>
  <c r="AK16" i="1" s="1"/>
  <c r="Y16" i="11"/>
  <c r="AH16" i="1" s="1"/>
  <c r="AB16" i="11"/>
  <c r="Q16" i="8" s="1"/>
  <c r="AD16" i="11"/>
  <c r="AI16" i="1" s="1"/>
  <c r="N17" i="11"/>
  <c r="CZ20" i="5"/>
  <c r="CC17" i="8"/>
  <c r="CH17" i="8"/>
  <c r="CZ17" i="8" s="1"/>
  <c r="CA17" i="8"/>
  <c r="CB17" i="8"/>
  <c r="CT17" i="8" s="1"/>
  <c r="BZ17" i="8"/>
  <c r="CR17" i="8" s="1"/>
  <c r="BY17" i="8"/>
  <c r="CQ17" i="8" s="1"/>
  <c r="C19" i="5"/>
  <c r="F19" i="5" s="1"/>
  <c r="AB20" i="1"/>
  <c r="DI20" i="5"/>
  <c r="DA19" i="5"/>
  <c r="DG19" i="5" s="1" a="1"/>
  <c r="DG19" i="5" s="1"/>
  <c r="AG29" i="9"/>
  <c r="AK29" i="9"/>
  <c r="AE91" i="9"/>
  <c r="B16" i="14"/>
  <c r="N5" i="1"/>
  <c r="S22" i="2"/>
  <c r="N23" i="2"/>
  <c r="R23" i="2"/>
  <c r="Q22" i="2"/>
  <c r="P24" i="2"/>
  <c r="J24" i="10"/>
  <c r="N24" i="5" s="1"/>
  <c r="AN30" i="9" l="1"/>
  <c r="BK31" i="11" s="1"/>
  <c r="AI31" i="11" s="1"/>
  <c r="DF15" i="8"/>
  <c r="G15" i="1" s="1"/>
  <c r="N15" i="8" s="1"/>
  <c r="CV17" i="8"/>
  <c r="CW17" i="8" s="1"/>
  <c r="AS17" i="8"/>
  <c r="AQ45" i="9"/>
  <c r="CM45" i="8" s="1"/>
  <c r="AO18" i="5"/>
  <c r="AM18" i="5"/>
  <c r="AN18" i="5"/>
  <c r="AR18" i="5" s="1"/>
  <c r="AV19" i="5"/>
  <c r="AW19" i="5"/>
  <c r="AG17" i="7"/>
  <c r="AI17" i="7" s="1"/>
  <c r="CL19" i="8"/>
  <c r="P17" i="8"/>
  <c r="CC18" i="8"/>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Y16" i="8"/>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R18" i="8" s="1"/>
  <c r="CB18" i="8"/>
  <c r="CT18" i="8" s="1"/>
  <c r="AE18" i="7"/>
  <c r="AF18" i="7" s="1"/>
  <c r="D19" i="9"/>
  <c r="BY18" i="8"/>
  <c r="CQ18" i="8" s="1"/>
  <c r="CH18" i="8"/>
  <c r="CZ18" i="8" s="1"/>
  <c r="N18" i="7"/>
  <c r="CI18" i="8"/>
  <c r="DA18" i="8" s="1"/>
  <c r="AB17" i="11"/>
  <c r="Q17" i="8" s="1"/>
  <c r="AD17" i="11"/>
  <c r="AI17" i="1" s="1"/>
  <c r="Z17" i="11"/>
  <c r="AA17" i="11"/>
  <c r="AK17" i="1" s="1"/>
  <c r="AC17" i="11"/>
  <c r="U17" i="8" s="1"/>
  <c r="Y17" i="11"/>
  <c r="AH17" i="1" s="1"/>
  <c r="B21" i="2"/>
  <c r="B21" i="1"/>
  <c r="BG21" i="1" s="1"/>
  <c r="AH21" i="5"/>
  <c r="BU21" i="5"/>
  <c r="BZ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U17" i="8"/>
  <c r="DB17" i="8"/>
  <c r="CE17" i="8"/>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21" i="5"/>
  <c r="DA20" i="5"/>
  <c r="DG20" i="5" s="1" a="1"/>
  <c r="DG20" i="5" s="1"/>
  <c r="AB21" i="1"/>
  <c r="DI21" i="5"/>
  <c r="AG30" i="9"/>
  <c r="AK30" i="9"/>
  <c r="AE92" i="9"/>
  <c r="N6" i="1"/>
  <c r="S23" i="2"/>
  <c r="N24" i="2"/>
  <c r="R24" i="2"/>
  <c r="Q23" i="2"/>
  <c r="J25" i="10"/>
  <c r="N25" i="5" s="1"/>
  <c r="P25" i="2"/>
  <c r="AN31" i="9" l="1"/>
  <c r="BK32" i="11" s="1"/>
  <c r="AI32" i="11" s="1"/>
  <c r="CX17" i="8"/>
  <c r="CY17" i="8" s="1"/>
  <c r="CV18" i="8"/>
  <c r="CW18" i="8" s="1"/>
  <c r="AS18" i="8"/>
  <c r="AQ46" i="9"/>
  <c r="CM46" i="8" s="1"/>
  <c r="AO19" i="5"/>
  <c r="AM19" i="5"/>
  <c r="AN19" i="5"/>
  <c r="AR19" i="5" s="1"/>
  <c r="AV20" i="5"/>
  <c r="AW20" i="5"/>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U18" i="8"/>
  <c r="F27" i="8"/>
  <c r="AQ18" i="5"/>
  <c r="BP23" i="5" a="1"/>
  <c r="BP23" i="5" s="1"/>
  <c r="J23" i="2" s="1"/>
  <c r="O28" i="1"/>
  <c r="BT19" i="8"/>
  <c r="BU19" i="8"/>
  <c r="BO19" i="8"/>
  <c r="BP19" i="8"/>
  <c r="BM19" i="8"/>
  <c r="BN19" i="8"/>
  <c r="BK19" i="8"/>
  <c r="BL19" i="8"/>
  <c r="BJ19" i="8"/>
  <c r="AC19" i="10"/>
  <c r="X19" i="10" s="1"/>
  <c r="AH23" i="11"/>
  <c r="AS23" i="5"/>
  <c r="CE18" i="8"/>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D20" i="9"/>
  <c r="DB18" i="8"/>
  <c r="B22" i="1"/>
  <c r="BG22" i="1" s="1"/>
  <c r="B22" i="2"/>
  <c r="AH22" i="5"/>
  <c r="BU22" i="5"/>
  <c r="BZ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CI19" i="8"/>
  <c r="DA19" i="8" s="1"/>
  <c r="DH20" i="8"/>
  <c r="DI20" i="8" s="1"/>
  <c r="CK20" i="8"/>
  <c r="BW20" i="8"/>
  <c r="AC20" i="1" s="1"/>
  <c r="BX19" i="8"/>
  <c r="CE19" i="8" s="1"/>
  <c r="CX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H19" i="8"/>
  <c r="CZ19" i="8" s="1"/>
  <c r="CA19" i="8"/>
  <c r="CB19" i="8"/>
  <c r="CT19" i="8" s="1"/>
  <c r="BY19" i="8"/>
  <c r="CQ19" i="8" s="1"/>
  <c r="BZ19" i="8"/>
  <c r="CR19" i="8" s="1"/>
  <c r="DI22" i="5"/>
  <c r="AB22" i="1"/>
  <c r="DA21" i="5"/>
  <c r="DG21" i="5" s="1" a="1"/>
  <c r="DG21" i="5" s="1"/>
  <c r="AG31" i="9"/>
  <c r="AK31" i="9"/>
  <c r="AE93" i="9"/>
  <c r="B17" i="14"/>
  <c r="N7" i="1"/>
  <c r="S24" i="2"/>
  <c r="N25" i="2"/>
  <c r="R25" i="2"/>
  <c r="Q24" i="2"/>
  <c r="P26" i="2"/>
  <c r="J26" i="10"/>
  <c r="N26" i="5" s="1"/>
  <c r="AN32" i="9" l="1"/>
  <c r="BK33" i="11" s="1"/>
  <c r="AI33" i="11" s="1"/>
  <c r="DF17" i="8"/>
  <c r="G17" i="1" s="1"/>
  <c r="N17" i="8" s="1"/>
  <c r="CX18" i="8"/>
  <c r="CY18" i="8" s="1"/>
  <c r="CV19" i="8"/>
  <c r="CW19" i="8" s="1"/>
  <c r="AS19" i="8"/>
  <c r="AQ47" i="9"/>
  <c r="CM47" i="8" s="1"/>
  <c r="AO20" i="5"/>
  <c r="AM20" i="5"/>
  <c r="AN20" i="5"/>
  <c r="AR20" i="5" s="1"/>
  <c r="AV21" i="5"/>
  <c r="AW21" i="5"/>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F28" i="8"/>
  <c r="BP24" i="5" a="1"/>
  <c r="BP24" i="5" s="1"/>
  <c r="J24" i="2" s="1"/>
  <c r="DH21" i="8"/>
  <c r="DI21" i="8" s="1"/>
  <c r="O29" i="1"/>
  <c r="BT20" i="8"/>
  <c r="BO20" i="8"/>
  <c r="BP20" i="8"/>
  <c r="BM20" i="8"/>
  <c r="BN20" i="8"/>
  <c r="BK20" i="8"/>
  <c r="BL20" i="8"/>
  <c r="BJ20" i="8"/>
  <c r="AC20" i="10"/>
  <c r="X20" i="10"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Z25" i="11"/>
  <c r="K24" i="10"/>
  <c r="AA24" i="7"/>
  <c r="AF24" i="8" s="1"/>
  <c r="L24" i="5"/>
  <c r="G23" i="10"/>
  <c r="I23" i="7"/>
  <c r="G24" i="5"/>
  <c r="D23" i="7"/>
  <c r="B23" i="10"/>
  <c r="K24" i="5"/>
  <c r="F23" i="10"/>
  <c r="H23" i="7"/>
  <c r="DD23" i="5"/>
  <c r="M24" i="5"/>
  <c r="H23" i="10"/>
  <c r="J23" i="7"/>
  <c r="H24" i="5"/>
  <c r="C23" i="10"/>
  <c r="E23" i="7"/>
  <c r="I24" i="5"/>
  <c r="D23" i="10"/>
  <c r="F23" i="7"/>
  <c r="J24" i="5"/>
  <c r="E23" i="10"/>
  <c r="G23" i="7"/>
  <c r="CU19" i="8"/>
  <c r="D21" i="9"/>
  <c r="DB19" i="8"/>
  <c r="CI20" i="8"/>
  <c r="DA20" i="8" s="1"/>
  <c r="CD19" i="8"/>
  <c r="P19" i="8" s="1"/>
  <c r="BX20" i="8"/>
  <c r="CD20" i="8" s="1"/>
  <c r="N20" i="7"/>
  <c r="AH32" i="9"/>
  <c r="C22" i="5"/>
  <c r="F22" i="5" s="1"/>
  <c r="CZ23" i="5"/>
  <c r="Z19" i="11"/>
  <c r="N20" i="11"/>
  <c r="AC19" i="11"/>
  <c r="U19" i="8" s="1"/>
  <c r="AB19" i="11"/>
  <c r="Q19" i="8" s="1"/>
  <c r="AA19" i="11"/>
  <c r="AK19" i="1" s="1"/>
  <c r="AD19" i="11"/>
  <c r="AI19" i="1" s="1"/>
  <c r="Y19" i="11"/>
  <c r="AH19" i="1" s="1"/>
  <c r="Q20" i="7"/>
  <c r="AE20" i="7"/>
  <c r="AF20" i="7" s="1"/>
  <c r="AQ19" i="5"/>
  <c r="BY20" i="8"/>
  <c r="CQ20" i="8" s="1"/>
  <c r="BZ20" i="8"/>
  <c r="CR20" i="8" s="1"/>
  <c r="CC20" i="8"/>
  <c r="CH20" i="8"/>
  <c r="CZ20" i="8" s="1"/>
  <c r="CA20" i="8"/>
  <c r="CB20" i="8"/>
  <c r="CT20" i="8" s="1"/>
  <c r="C23" i="5"/>
  <c r="DA22" i="5"/>
  <c r="DG22" i="5" s="1" a="1"/>
  <c r="DG22" i="5" s="1"/>
  <c r="DI23" i="5"/>
  <c r="AB23" i="1"/>
  <c r="AG32" i="9"/>
  <c r="AK32" i="9"/>
  <c r="AE94" i="9"/>
  <c r="B18" i="14"/>
  <c r="N8" i="1"/>
  <c r="S25" i="2"/>
  <c r="N26" i="2"/>
  <c r="R26" i="2"/>
  <c r="Q25" i="2"/>
  <c r="J27" i="10"/>
  <c r="N27" i="5" s="1"/>
  <c r="P27" i="2"/>
  <c r="AN33" i="9" l="1"/>
  <c r="BK34" i="11" s="1"/>
  <c r="AI34" i="11" s="1"/>
  <c r="DF18" i="8"/>
  <c r="G18" i="1" s="1"/>
  <c r="N18" i="8" s="1"/>
  <c r="CV20" i="8"/>
  <c r="CW20" i="8" s="1"/>
  <c r="AS20" i="8"/>
  <c r="AQ48" i="9"/>
  <c r="CM48" i="8" s="1"/>
  <c r="AO21" i="5"/>
  <c r="AM21" i="5"/>
  <c r="AN21" i="5"/>
  <c r="AR21" i="5" s="1"/>
  <c r="AV22" i="5"/>
  <c r="AW22" i="5"/>
  <c r="AG21"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Y19" i="8"/>
  <c r="F29" i="8"/>
  <c r="BP25" i="5" a="1"/>
  <c r="BP25" i="5" s="1"/>
  <c r="J25" i="2" s="1"/>
  <c r="O30" i="1"/>
  <c r="BT21" i="8"/>
  <c r="BO21" i="8"/>
  <c r="BP21" i="8"/>
  <c r="BM21" i="8"/>
  <c r="BN21" i="8"/>
  <c r="BK21" i="8"/>
  <c r="BL21" i="8"/>
  <c r="BJ21" i="8"/>
  <c r="AC21" i="10"/>
  <c r="X21" i="10" s="1"/>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CX21" i="8" s="1"/>
  <c r="AC20" i="11"/>
  <c r="U20" i="8" s="1"/>
  <c r="CB21" i="8"/>
  <c r="CT21" i="8" s="1"/>
  <c r="F23" i="5"/>
  <c r="Z20" i="11"/>
  <c r="AA20" i="11"/>
  <c r="AK20" i="1" s="1"/>
  <c r="Y20" i="11"/>
  <c r="AH20" i="1" s="1"/>
  <c r="AB20" i="11"/>
  <c r="Q20" i="8" s="1"/>
  <c r="BY21" i="8"/>
  <c r="CQ21" i="8" s="1"/>
  <c r="BZ21" i="8"/>
  <c r="CR21" i="8" s="1"/>
  <c r="CC21" i="8"/>
  <c r="N21" i="7"/>
  <c r="CH21" i="8"/>
  <c r="CZ21" i="8" s="1"/>
  <c r="Q21" i="7"/>
  <c r="AD20" i="11"/>
  <c r="AI20" i="1" s="1"/>
  <c r="BZ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U20" i="8"/>
  <c r="DB20" i="8"/>
  <c r="DH22" i="8"/>
  <c r="DI22" i="8" s="1"/>
  <c r="CE20" i="8"/>
  <c r="CK22" i="8"/>
  <c r="BW22" i="8"/>
  <c r="AC22" i="1" s="1"/>
  <c r="BH22" i="8"/>
  <c r="BU22" i="8" s="1"/>
  <c r="BI22" i="8"/>
  <c r="AH33" i="9"/>
  <c r="AQ20" i="5"/>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N34" i="9" l="1"/>
  <c r="BK35" i="11" s="1"/>
  <c r="AI35" i="11" s="1"/>
  <c r="CX20" i="8"/>
  <c r="CY20" i="8" s="1"/>
  <c r="CV21" i="8"/>
  <c r="CW21" i="8" s="1"/>
  <c r="AS21" i="8"/>
  <c r="AQ49" i="9"/>
  <c r="CM49" i="8" s="1"/>
  <c r="AO22" i="5"/>
  <c r="AM22" i="5"/>
  <c r="AN22" i="5"/>
  <c r="AR22" i="5" s="1"/>
  <c r="AV23" i="5"/>
  <c r="AW23" i="5"/>
  <c r="AI21" i="7"/>
  <c r="CL23"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U21" i="8"/>
  <c r="F30" i="8"/>
  <c r="BP26" i="5" a="1"/>
  <c r="BP26" i="5" s="1"/>
  <c r="J26" i="2" s="1"/>
  <c r="DH23" i="8"/>
  <c r="DI23" i="8" s="1"/>
  <c r="O31" i="1"/>
  <c r="BT22" i="8"/>
  <c r="BO22" i="8"/>
  <c r="BP22" i="8"/>
  <c r="BM22" i="8"/>
  <c r="BN22" i="8"/>
  <c r="BK22" i="8"/>
  <c r="BL22" i="8"/>
  <c r="BJ22" i="8"/>
  <c r="AC22" i="10"/>
  <c r="X22" i="10" s="1"/>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Z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23" i="9"/>
  <c r="CI22" i="8"/>
  <c r="DA22" i="8" s="1"/>
  <c r="BX22" i="8"/>
  <c r="CD22" i="8" s="1"/>
  <c r="N22" i="7"/>
  <c r="AH34" i="9"/>
  <c r="CZ25" i="5"/>
  <c r="CH22" i="8"/>
  <c r="CZ22" i="8" s="1"/>
  <c r="CA22" i="8"/>
  <c r="CB22" i="8"/>
  <c r="CT22" i="8" s="1"/>
  <c r="BY22" i="8"/>
  <c r="CQ22" i="8" s="1"/>
  <c r="BZ22" i="8"/>
  <c r="CR22" i="8" s="1"/>
  <c r="CC22" i="8"/>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AN35" i="9" l="1"/>
  <c r="BK36" i="11" s="1"/>
  <c r="AI36" i="11" s="1"/>
  <c r="DF20" i="8"/>
  <c r="G20" i="1" s="1"/>
  <c r="N20" i="8" s="1"/>
  <c r="CV22" i="8"/>
  <c r="CW22" i="8" s="1"/>
  <c r="AS22" i="8"/>
  <c r="AQ50" i="9"/>
  <c r="CM50" i="8" s="1"/>
  <c r="AO23" i="5"/>
  <c r="AM23" i="5"/>
  <c r="AN23" i="5"/>
  <c r="AR23" i="5" s="1"/>
  <c r="AV24" i="5"/>
  <c r="AW24" i="5"/>
  <c r="AG22" i="7"/>
  <c r="AI22" i="7" s="1"/>
  <c r="AG23" i="7"/>
  <c r="CL24" i="8"/>
  <c r="AI45" i="9"/>
  <c r="AO45" i="8" s="1"/>
  <c r="CC23" i="8"/>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Y21" i="8"/>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CR23" i="8" s="1"/>
  <c r="BY23" i="8"/>
  <c r="CQ23" i="8" s="1"/>
  <c r="Y22" i="11"/>
  <c r="AH22" i="1" s="1"/>
  <c r="N23" i="7"/>
  <c r="AA22" i="11"/>
  <c r="AK22" i="1" s="1"/>
  <c r="AB22" i="11"/>
  <c r="Q22" i="8" s="1"/>
  <c r="BX23" i="8"/>
  <c r="CE23" i="8" s="1"/>
  <c r="CX23" i="8" s="1"/>
  <c r="D24" i="9"/>
  <c r="AC22" i="11"/>
  <c r="U22" i="8" s="1"/>
  <c r="AD22" i="11"/>
  <c r="AI22" i="1" s="1"/>
  <c r="F25" i="5"/>
  <c r="Z22" i="11"/>
  <c r="BZ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U22" i="8"/>
  <c r="DB22" i="8"/>
  <c r="DH24" i="8"/>
  <c r="DI24" i="8" s="1"/>
  <c r="CE22" i="8"/>
  <c r="CK24" i="8"/>
  <c r="BW24" i="8"/>
  <c r="AC24" i="1" s="1"/>
  <c r="BH24" i="8"/>
  <c r="BI24" i="8"/>
  <c r="AH35" i="9"/>
  <c r="AI24" i="5"/>
  <c r="A24" i="11"/>
  <c r="E24" i="1"/>
  <c r="AC24" i="8"/>
  <c r="BQ24" i="8" s="1"/>
  <c r="BT24" i="5"/>
  <c r="A24" i="10"/>
  <c r="AA24" i="10" s="1"/>
  <c r="B24" i="7"/>
  <c r="B24" i="9"/>
  <c r="Y24" i="9" s="1"/>
  <c r="AJ24" i="5"/>
  <c r="AP24" i="5" s="1"/>
  <c r="X24" i="8"/>
  <c r="DD24" i="8" s="1"/>
  <c r="CZ26" i="5"/>
  <c r="AQ22" i="5"/>
  <c r="AB26" i="1"/>
  <c r="DI26" i="5"/>
  <c r="DA25" i="5"/>
  <c r="DG25" i="5" s="1" a="1"/>
  <c r="DG25" i="5" s="1"/>
  <c r="AG35" i="9"/>
  <c r="AK35" i="9"/>
  <c r="AE97" i="9"/>
  <c r="B21" i="14"/>
  <c r="N11" i="1"/>
  <c r="S28" i="2"/>
  <c r="N29" i="2"/>
  <c r="R29" i="2"/>
  <c r="Q28" i="2"/>
  <c r="J30" i="10"/>
  <c r="N30" i="5" s="1"/>
  <c r="P30" i="2"/>
  <c r="AN36" i="9" l="1"/>
  <c r="BK37" i="11" s="1"/>
  <c r="AI37" i="11" s="1"/>
  <c r="CX22" i="8"/>
  <c r="CY22" i="8" s="1"/>
  <c r="CV23" i="8"/>
  <c r="CW23" i="8" s="1"/>
  <c r="AS23" i="8"/>
  <c r="AQ51" i="9"/>
  <c r="CM51" i="8" s="1"/>
  <c r="AO24" i="5"/>
  <c r="AM24" i="5"/>
  <c r="AN24" i="5"/>
  <c r="AR24" i="5" s="1"/>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U23" i="8"/>
  <c r="F32" i="8"/>
  <c r="BP28" i="5" a="1"/>
  <c r="BP28" i="5" s="1"/>
  <c r="J28" i="2" s="1"/>
  <c r="BI25" i="8"/>
  <c r="AT28" i="5"/>
  <c r="O33" i="1"/>
  <c r="BT24" i="8"/>
  <c r="BU24" i="8"/>
  <c r="BO24" i="8"/>
  <c r="BP24" i="8"/>
  <c r="BM24" i="8"/>
  <c r="BN24" i="8"/>
  <c r="BK24" i="8"/>
  <c r="BL24" i="8"/>
  <c r="BJ24" i="8"/>
  <c r="AC24" i="10"/>
  <c r="X24" i="10"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B25" i="9"/>
  <c r="Y25" i="9" s="1"/>
  <c r="CD23" i="8"/>
  <c r="AI25" i="5"/>
  <c r="DH25" i="8"/>
  <c r="DI25" i="8" s="1"/>
  <c r="E25" i="1"/>
  <c r="AJ25" i="5"/>
  <c r="AP25" i="5" s="1"/>
  <c r="BH25" i="8"/>
  <c r="BU25" i="8" s="1"/>
  <c r="BW25" i="8"/>
  <c r="D25" i="9"/>
  <c r="BT25" i="5"/>
  <c r="AC25" i="8"/>
  <c r="BQ25" i="8" s="1"/>
  <c r="B25" i="7"/>
  <c r="Q25" i="7" s="1"/>
  <c r="X25" i="8"/>
  <c r="DD25" i="8" s="1"/>
  <c r="BZ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AF24" i="7" s="1"/>
  <c r="Q24" i="7"/>
  <c r="C26" i="5"/>
  <c r="F26" i="5" s="1"/>
  <c r="Z23" i="11"/>
  <c r="AA23" i="11"/>
  <c r="AK23" i="1" s="1"/>
  <c r="AD23" i="11"/>
  <c r="AI23" i="1" s="1"/>
  <c r="Y23" i="11"/>
  <c r="AH23" i="1" s="1"/>
  <c r="N24" i="11"/>
  <c r="AC23" i="11"/>
  <c r="U23" i="8" s="1"/>
  <c r="AB23" i="11"/>
  <c r="Q23" i="8" s="1"/>
  <c r="BY24" i="8"/>
  <c r="CQ24" i="8" s="1"/>
  <c r="BZ24" i="8"/>
  <c r="CR24" i="8" s="1"/>
  <c r="CC24" i="8"/>
  <c r="CH24" i="8"/>
  <c r="CZ24" i="8" s="1"/>
  <c r="CA24" i="8"/>
  <c r="CB24" i="8"/>
  <c r="CT24" i="8" s="1"/>
  <c r="CZ27" i="5"/>
  <c r="DA26" i="5"/>
  <c r="DG26" i="5" s="1" a="1"/>
  <c r="DG26" i="5" s="1"/>
  <c r="AB27" i="1"/>
  <c r="DI27" i="5"/>
  <c r="AG36" i="9"/>
  <c r="AK36" i="9"/>
  <c r="AE98" i="9"/>
  <c r="B22" i="14"/>
  <c r="N12" i="1"/>
  <c r="S29" i="2"/>
  <c r="N30" i="2"/>
  <c r="R30" i="2"/>
  <c r="Q29" i="2"/>
  <c r="J31" i="10"/>
  <c r="N31" i="5" s="1"/>
  <c r="P31" i="2"/>
  <c r="AN37" i="9" l="1"/>
  <c r="BK38" i="11" s="1"/>
  <c r="AI38" i="11" s="1"/>
  <c r="CV24" i="8"/>
  <c r="CW24" i="8" s="1"/>
  <c r="AS24" i="8"/>
  <c r="AQ52" i="9"/>
  <c r="CM52" i="8" s="1"/>
  <c r="AO25" i="5"/>
  <c r="AM25" i="5"/>
  <c r="AN25" i="5"/>
  <c r="AV26" i="5"/>
  <c r="AW26" i="5"/>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Y23" i="8"/>
  <c r="AC24" i="11"/>
  <c r="U24" i="8" s="1"/>
  <c r="AB24" i="11"/>
  <c r="Q24" i="8" s="1"/>
  <c r="BZ25" i="8"/>
  <c r="CR25" i="8" s="1"/>
  <c r="CC25" i="8"/>
  <c r="CI25" i="8"/>
  <c r="DA25" i="8" s="1"/>
  <c r="CA25" i="8"/>
  <c r="CH25" i="8"/>
  <c r="CZ25" i="8" s="1"/>
  <c r="N25" i="7"/>
  <c r="BY25" i="8"/>
  <c r="CQ25" i="8" s="1"/>
  <c r="BX25" i="8"/>
  <c r="CE25" i="8" s="1"/>
  <c r="CX25" i="8" s="1"/>
  <c r="D26" i="9"/>
  <c r="AE25" i="7"/>
  <c r="AF25" i="7" s="1"/>
  <c r="BZ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U24" i="8"/>
  <c r="DB24" i="8"/>
  <c r="DH26" i="8"/>
  <c r="DI26" i="8" s="1"/>
  <c r="CE24" i="8"/>
  <c r="CK26" i="8"/>
  <c r="BW26" i="8"/>
  <c r="AC26" i="1" s="1"/>
  <c r="BH26" i="8"/>
  <c r="BI26" i="8"/>
  <c r="AH37" i="9"/>
  <c r="C27" i="5"/>
  <c r="F27" i="5" s="1"/>
  <c r="CZ28" i="5"/>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N38" i="9" l="1"/>
  <c r="BK39" i="11" s="1"/>
  <c r="AI39" i="11" s="1"/>
  <c r="CX24" i="8"/>
  <c r="CY24" i="8" s="1"/>
  <c r="CV25" i="8"/>
  <c r="CW25" i="8" s="1"/>
  <c r="AS25" i="8"/>
  <c r="AQ53" i="9"/>
  <c r="CM53" i="8" s="1"/>
  <c r="AO26" i="5"/>
  <c r="AM26" i="5"/>
  <c r="AN26" i="5"/>
  <c r="AR26" i="5" s="1"/>
  <c r="AV27" i="5"/>
  <c r="AW27" i="5"/>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U25" i="8"/>
  <c r="F34" i="8"/>
  <c r="BP30" i="5" a="1"/>
  <c r="BP30" i="5" s="1"/>
  <c r="J30" i="2" s="1"/>
  <c r="O35" i="1"/>
  <c r="BT26" i="8"/>
  <c r="BU26" i="8"/>
  <c r="BO26" i="8"/>
  <c r="BP26" i="8"/>
  <c r="BM26" i="8"/>
  <c r="BN26" i="8"/>
  <c r="BK26" i="8"/>
  <c r="BL26" i="8"/>
  <c r="BJ26" i="8"/>
  <c r="AC26" i="10"/>
  <c r="X26" i="10" s="1"/>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DB25" i="8"/>
  <c r="B25" i="14"/>
  <c r="D27" i="9"/>
  <c r="AH29" i="5"/>
  <c r="BU29" i="5"/>
  <c r="B29" i="2"/>
  <c r="B29" i="1"/>
  <c r="BG29" i="1" s="1"/>
  <c r="BZ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CQ26" i="8" s="1"/>
  <c r="BZ26" i="8"/>
  <c r="CR26" i="8" s="1"/>
  <c r="CC26" i="8"/>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AN39" i="9" l="1"/>
  <c r="BK40" i="11" s="1"/>
  <c r="AI40" i="11" s="1"/>
  <c r="CV26" i="8"/>
  <c r="CW26" i="8" s="1"/>
  <c r="AS26" i="8"/>
  <c r="AQ54" i="9"/>
  <c r="CM54" i="8" s="1"/>
  <c r="AO27" i="5"/>
  <c r="AM27" i="5"/>
  <c r="AN27" i="5"/>
  <c r="AV28" i="5"/>
  <c r="AW28" i="5"/>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Y25" i="8"/>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Z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U26" i="8"/>
  <c r="D28" i="9"/>
  <c r="CE26" i="8"/>
  <c r="DB26" i="8"/>
  <c r="CI27" i="8"/>
  <c r="DA27" i="8" s="1"/>
  <c r="DH28" i="8"/>
  <c r="DI28" i="8" s="1"/>
  <c r="CK28" i="8"/>
  <c r="BW28" i="8"/>
  <c r="AC28" i="1" s="1"/>
  <c r="N27" i="7"/>
  <c r="BH28" i="8"/>
  <c r="BU28" i="8" s="1"/>
  <c r="BI28" i="8"/>
  <c r="AH39" i="9"/>
  <c r="AQ26" i="5"/>
  <c r="CZ30" i="5"/>
  <c r="BZ27" i="8"/>
  <c r="CR27" i="8" s="1"/>
  <c r="CC27" i="8"/>
  <c r="CH27" i="8"/>
  <c r="CZ27" i="8" s="1"/>
  <c r="CB27" i="8"/>
  <c r="CT27" i="8" s="1"/>
  <c r="BY27" i="8"/>
  <c r="CQ27" i="8" s="1"/>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AN40" i="9" l="1"/>
  <c r="BK41" i="11" s="1"/>
  <c r="AI41" i="11" s="1"/>
  <c r="CX26" i="8"/>
  <c r="CY26" i="8" s="1"/>
  <c r="CV27" i="8"/>
  <c r="CW27" i="8" s="1"/>
  <c r="AS27" i="8"/>
  <c r="AQ55" i="9"/>
  <c r="CM55" i="8" s="1"/>
  <c r="AO28" i="5"/>
  <c r="AM28" i="5"/>
  <c r="AN28" i="5"/>
  <c r="AR28" i="5" s="1"/>
  <c r="AV29" i="5"/>
  <c r="AW29" i="5"/>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Z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U27" i="8"/>
  <c r="D29" i="9"/>
  <c r="DB27" i="8"/>
  <c r="CI28" i="8"/>
  <c r="DA28" i="8" s="1"/>
  <c r="N28" i="7"/>
  <c r="AH40" i="9"/>
  <c r="B27" i="14"/>
  <c r="AQ27" i="5"/>
  <c r="BZ28" i="8"/>
  <c r="CR28" i="8" s="1"/>
  <c r="CC28" i="8"/>
  <c r="BY28" i="8"/>
  <c r="CQ28" i="8" s="1"/>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J35" i="10"/>
  <c r="N35" i="5" s="1"/>
  <c r="P35" i="2"/>
  <c r="AN41" i="9" l="1"/>
  <c r="BK42" i="11" s="1"/>
  <c r="AI42" i="11" s="1"/>
  <c r="CX27" i="8"/>
  <c r="CY27" i="8" s="1"/>
  <c r="CV28" i="8"/>
  <c r="CW28" i="8" s="1"/>
  <c r="AS28" i="8"/>
  <c r="AQ56" i="9"/>
  <c r="CM56" i="8" s="1"/>
  <c r="AO29" i="5"/>
  <c r="AM29" i="5"/>
  <c r="AN29" i="5"/>
  <c r="AR29" i="5" s="1"/>
  <c r="AV30" i="5"/>
  <c r="AW30" i="5"/>
  <c r="AG28" i="7"/>
  <c r="AI28" i="7" s="1"/>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BT29" i="8"/>
  <c r="BO29" i="8"/>
  <c r="BP29" i="8"/>
  <c r="BM29" i="8"/>
  <c r="BN29" i="8"/>
  <c r="BK29" i="8"/>
  <c r="BL29" i="8"/>
  <c r="BJ29" i="8"/>
  <c r="AC29" i="10"/>
  <c r="X29" i="10" s="1"/>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R29" i="8" s="1"/>
  <c r="CC29" i="8"/>
  <c r="BY29" i="8"/>
  <c r="CQ29" i="8" s="1"/>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Z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U28" i="8"/>
  <c r="DB28" i="8"/>
  <c r="AH41" i="9"/>
  <c r="B28" i="14"/>
  <c r="AQ28" i="5"/>
  <c r="CZ32" i="5"/>
  <c r="C32" i="5"/>
  <c r="DA31" i="5"/>
  <c r="DG31" i="5" s="1" a="1"/>
  <c r="DG31" i="5" s="1"/>
  <c r="AB32" i="1"/>
  <c r="DI32" i="5"/>
  <c r="AG41" i="9"/>
  <c r="AK41" i="9"/>
  <c r="AE103" i="9"/>
  <c r="B29" i="14"/>
  <c r="N17" i="1"/>
  <c r="S34" i="2"/>
  <c r="N35" i="2"/>
  <c r="R35" i="2"/>
  <c r="Q34" i="2"/>
  <c r="P36" i="2"/>
  <c r="J36" i="10"/>
  <c r="N36" i="5" s="1"/>
  <c r="AN42" i="9" l="1"/>
  <c r="BK43" i="11" s="1"/>
  <c r="AI43" i="11" s="1"/>
  <c r="CX28" i="8"/>
  <c r="CY28" i="8" s="1"/>
  <c r="CV29" i="8"/>
  <c r="CW29" i="8" s="1"/>
  <c r="AS29" i="8"/>
  <c r="AQ57" i="9"/>
  <c r="CM57" i="8" s="1"/>
  <c r="AO30" i="5"/>
  <c r="AM30" i="5"/>
  <c r="AN30" i="5"/>
  <c r="AR30" i="5" s="1"/>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U29" i="8"/>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E29" i="8"/>
  <c r="N30" i="7"/>
  <c r="DH31" i="8"/>
  <c r="DI31" i="8" s="1"/>
  <c r="D31" i="9"/>
  <c r="BX30" i="8"/>
  <c r="CD30" i="8" s="1"/>
  <c r="AC29" i="11"/>
  <c r="U29" i="8" s="1"/>
  <c r="Y29" i="11"/>
  <c r="AH29" i="1" s="1"/>
  <c r="Z29" i="11"/>
  <c r="CC30" i="8"/>
  <c r="CA30" i="8"/>
  <c r="AB29" i="11"/>
  <c r="Q29" i="8" s="1"/>
  <c r="N30" i="11"/>
  <c r="BZ30" i="8"/>
  <c r="CR30" i="8" s="1"/>
  <c r="BY30" i="8"/>
  <c r="CQ30" i="8" s="1"/>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Z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N43" i="9" l="1"/>
  <c r="BK44" i="11" s="1"/>
  <c r="AI44" i="11" s="1"/>
  <c r="CX29" i="8"/>
  <c r="CY29" i="8" s="1"/>
  <c r="CV30" i="8"/>
  <c r="CW30" i="8" s="1"/>
  <c r="AS30" i="8"/>
  <c r="AQ58" i="9"/>
  <c r="CM58" i="8" s="1"/>
  <c r="AO31" i="5"/>
  <c r="AM31" i="5"/>
  <c r="AN31" i="5"/>
  <c r="AR31" i="5" s="1"/>
  <c r="AV32" i="5"/>
  <c r="AW32" i="5"/>
  <c r="AI53" i="9"/>
  <c r="AO53" i="8" s="1"/>
  <c r="AG31" i="7"/>
  <c r="AG30" i="7"/>
  <c r="AI30" i="7" s="1"/>
  <c r="CL32" i="8"/>
  <c r="DB30" i="8"/>
  <c r="CC31" i="8"/>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U30" i="8"/>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DH32" i="8"/>
  <c r="DI32" i="8" s="1"/>
  <c r="CI31" i="8"/>
  <c r="DA31" i="8" s="1"/>
  <c r="AQ30" i="5"/>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R31" i="8" s="1"/>
  <c r="CB31" i="8"/>
  <c r="CT31" i="8" s="1"/>
  <c r="D32" i="9"/>
  <c r="CA31" i="8"/>
  <c r="BY31" i="8"/>
  <c r="CQ31" i="8" s="1"/>
  <c r="B34" i="5"/>
  <c r="AH34" i="5"/>
  <c r="BU34" i="5"/>
  <c r="B34" i="1"/>
  <c r="BG34" i="1" s="1"/>
  <c r="B34" i="2"/>
  <c r="BZ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N44" i="9" l="1"/>
  <c r="BK45" i="11" s="1"/>
  <c r="AI45" i="11" s="1"/>
  <c r="CX30" i="8"/>
  <c r="CY30" i="8" s="1"/>
  <c r="CV31" i="8"/>
  <c r="CW31" i="8" s="1"/>
  <c r="AS31" i="8"/>
  <c r="AQ59" i="9"/>
  <c r="CM59" i="8" s="1"/>
  <c r="AO32" i="5"/>
  <c r="AM32" i="5"/>
  <c r="AN32" i="5"/>
  <c r="AR32" i="5" s="1"/>
  <c r="AV33" i="5"/>
  <c r="AW33" i="5"/>
  <c r="AI54" i="9"/>
  <c r="AO54" i="8" s="1"/>
  <c r="AI31" i="7"/>
  <c r="AG32" i="7"/>
  <c r="CL33" i="8"/>
  <c r="CC32" i="8"/>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U31" i="8"/>
  <c r="F40" i="8"/>
  <c r="BP36" i="5" a="1"/>
  <c r="BP36" i="5" s="1"/>
  <c r="J36" i="2" s="1"/>
  <c r="BT32" i="8"/>
  <c r="BX32" i="8"/>
  <c r="CD32" i="8" s="1"/>
  <c r="D33" i="9"/>
  <c r="O41" i="1"/>
  <c r="CE31" i="8"/>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CQ32" i="8" s="1"/>
  <c r="Z31" i="11"/>
  <c r="N32" i="11"/>
  <c r="CA32" i="8"/>
  <c r="BZ32" i="8"/>
  <c r="CR32" i="8" s="1"/>
  <c r="DB31" i="8"/>
  <c r="N32" i="7"/>
  <c r="CI32" i="8"/>
  <c r="DA32" i="8" s="1"/>
  <c r="CB32" i="8"/>
  <c r="CT32" i="8" s="1"/>
  <c r="CH32" i="8"/>
  <c r="CZ32" i="8" s="1"/>
  <c r="AB31" i="11"/>
  <c r="Q31" i="8" s="1"/>
  <c r="AA31" i="11"/>
  <c r="AK31" i="1" s="1"/>
  <c r="Y31" i="11"/>
  <c r="AH31" i="1" s="1"/>
  <c r="AC31" i="11"/>
  <c r="U31" i="8" s="1"/>
  <c r="Q32" i="7"/>
  <c r="B35" i="5"/>
  <c r="BZ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N45" i="9" l="1"/>
  <c r="BK46" i="11" s="1"/>
  <c r="AI46" i="11" s="1"/>
  <c r="CX31" i="8"/>
  <c r="CY31" i="8" s="1"/>
  <c r="CV32" i="8"/>
  <c r="CW32" i="8" s="1"/>
  <c r="AS32" i="8"/>
  <c r="AQ60" i="9"/>
  <c r="CM60" i="8" s="1"/>
  <c r="AO33" i="5"/>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U32" i="8"/>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DB32" i="8"/>
  <c r="AQ32" i="5"/>
  <c r="F35" i="5"/>
  <c r="BZ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CX33" i="8" s="1"/>
  <c r="N33" i="7"/>
  <c r="BH34" i="8"/>
  <c r="BU34" i="8" s="1"/>
  <c r="BI34" i="8"/>
  <c r="AH45" i="9"/>
  <c r="AD32" i="11"/>
  <c r="AI32" i="1" s="1"/>
  <c r="Y32" i="11"/>
  <c r="AH32" i="1" s="1"/>
  <c r="Z32" i="11"/>
  <c r="AA32" i="11"/>
  <c r="AK32" i="1" s="1"/>
  <c r="AB32" i="11"/>
  <c r="Q32" i="8" s="1"/>
  <c r="AC32" i="11"/>
  <c r="U32" i="8" s="1"/>
  <c r="N33" i="11"/>
  <c r="Q33" i="7"/>
  <c r="AE33" i="7"/>
  <c r="AF33" i="7" s="1"/>
  <c r="CC33" i="8"/>
  <c r="BY33" i="8"/>
  <c r="CQ33" i="8" s="1"/>
  <c r="BZ33" i="8"/>
  <c r="CR33" i="8" s="1"/>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N46" i="9" l="1"/>
  <c r="BK47" i="11" s="1"/>
  <c r="AI47" i="11" s="1"/>
  <c r="CX32" i="8"/>
  <c r="CY32" i="8" s="1"/>
  <c r="CV33" i="8"/>
  <c r="CW33" i="8" s="1"/>
  <c r="AS33" i="8"/>
  <c r="AQ61" i="9"/>
  <c r="CM61" i="8" s="1"/>
  <c r="AO34" i="5"/>
  <c r="AM34" i="5"/>
  <c r="AN34" i="5"/>
  <c r="AR34" i="5" s="1"/>
  <c r="AI56" i="9"/>
  <c r="AO56" i="8" s="1"/>
  <c r="AV35" i="5"/>
  <c r="AW35" i="5"/>
  <c r="AG33" i="7"/>
  <c r="AI33" i="7" s="1"/>
  <c r="CL35" i="8"/>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Z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U33" i="8"/>
  <c r="DB33" i="8"/>
  <c r="D35" i="9"/>
  <c r="CI34" i="8"/>
  <c r="DA34" i="8" s="1"/>
  <c r="AQ33" i="5"/>
  <c r="CD33" i="8"/>
  <c r="N34" i="7"/>
  <c r="AH46" i="9"/>
  <c r="B33" i="14"/>
  <c r="C36" i="5"/>
  <c r="F36" i="5" s="1"/>
  <c r="CB34" i="8"/>
  <c r="CT34" i="8" s="1"/>
  <c r="BY34" i="8"/>
  <c r="CQ34" i="8" s="1"/>
  <c r="CH34" i="8"/>
  <c r="CZ34" i="8" s="1"/>
  <c r="BZ34" i="8"/>
  <c r="CR34" i="8" s="1"/>
  <c r="CC34" i="8"/>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AN47" i="9" l="1"/>
  <c r="BK48" i="11" s="1"/>
  <c r="AI48" i="11" s="1"/>
  <c r="CV34" i="8"/>
  <c r="CW34" i="8" s="1"/>
  <c r="AS34" i="8"/>
  <c r="AQ62" i="9"/>
  <c r="CM62" i="8" s="1"/>
  <c r="AO35" i="5"/>
  <c r="AM35" i="5"/>
  <c r="AN35" i="5"/>
  <c r="AR35" i="5" s="1"/>
  <c r="AI57" i="9"/>
  <c r="AO57" i="8" s="1"/>
  <c r="AV36" i="5"/>
  <c r="AW36" i="5"/>
  <c r="AG35" i="7"/>
  <c r="AG34" i="7"/>
  <c r="AI34" i="7" s="1"/>
  <c r="CL36" i="8"/>
  <c r="CB35" i="8"/>
  <c r="CT35" i="8" s="1"/>
  <c r="AC35" i="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Y33" i="8"/>
  <c r="F43" i="8"/>
  <c r="BP39" i="5" a="1"/>
  <c r="BP39" i="5" s="1"/>
  <c r="J39" i="2" s="1"/>
  <c r="O44" i="1"/>
  <c r="CE34" i="8"/>
  <c r="BT35" i="8"/>
  <c r="BO35" i="8"/>
  <c r="BP35" i="8"/>
  <c r="BM35" i="8"/>
  <c r="BN35" i="8"/>
  <c r="BK35" i="8"/>
  <c r="BL35" i="8"/>
  <c r="BJ35" i="8"/>
  <c r="AC35" i="10"/>
  <c r="X35" i="10" s="1"/>
  <c r="AK39" i="11"/>
  <c r="AS39" i="5"/>
  <c r="BX35" i="8"/>
  <c r="CE35" i="8" s="1"/>
  <c r="CX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BY35" i="8"/>
  <c r="CQ35" i="8" s="1"/>
  <c r="BZ35" i="8"/>
  <c r="CR35" i="8" s="1"/>
  <c r="CH35" i="8"/>
  <c r="CZ35" i="8" s="1"/>
  <c r="AB34" i="11"/>
  <c r="Q34" i="8" s="1"/>
  <c r="D36" i="9"/>
  <c r="AC34" i="11"/>
  <c r="U34" i="8" s="1"/>
  <c r="Y34" i="11"/>
  <c r="AH34" i="1" s="1"/>
  <c r="Z34" i="11"/>
  <c r="N35" i="7"/>
  <c r="Q35" i="7"/>
  <c r="CA35" i="8"/>
  <c r="F37" i="5"/>
  <c r="BZ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U34" i="8"/>
  <c r="DB34" i="8"/>
  <c r="DH36" i="8"/>
  <c r="DI36" i="8" s="1"/>
  <c r="CK36" i="8"/>
  <c r="BW36" i="8"/>
  <c r="AC36" i="1" s="1"/>
  <c r="BH36" i="8"/>
  <c r="BU36" i="8" s="1"/>
  <c r="BI36" i="8"/>
  <c r="AH47" i="9"/>
  <c r="B34" i="14"/>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N48" i="9" l="1"/>
  <c r="BK49" i="11" s="1"/>
  <c r="AI49" i="11" s="1"/>
  <c r="AI58" i="9"/>
  <c r="AO58" i="8" s="1"/>
  <c r="CX34" i="8"/>
  <c r="CY34" i="8" s="1"/>
  <c r="CV35" i="8"/>
  <c r="CW35" i="8" s="1"/>
  <c r="AS35" i="8"/>
  <c r="AQ63" i="9"/>
  <c r="CM63" i="8" s="1"/>
  <c r="AO36" i="5"/>
  <c r="AM36" i="5"/>
  <c r="AN36" i="5"/>
  <c r="AR36" i="5" s="1"/>
  <c r="AV37" i="5"/>
  <c r="AW37" i="5"/>
  <c r="AI35" i="7"/>
  <c r="CL37" i="8"/>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U35" i="8"/>
  <c r="F44" i="8"/>
  <c r="BP40" i="5" a="1"/>
  <c r="BP40" i="5" s="1"/>
  <c r="J40" i="2"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Z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H36" i="8"/>
  <c r="CZ36" i="8" s="1"/>
  <c r="CA36" i="8"/>
  <c r="CB36" i="8"/>
  <c r="CT36" i="8" s="1"/>
  <c r="BY36" i="8"/>
  <c r="CQ36" i="8" s="1"/>
  <c r="BZ36" i="8"/>
  <c r="CR36" i="8" s="1"/>
  <c r="AE36" i="7"/>
  <c r="AF36" i="7" s="1"/>
  <c r="Q36" i="7"/>
  <c r="AB39" i="1"/>
  <c r="DI39" i="5"/>
  <c r="C39" i="5"/>
  <c r="DA38" i="5"/>
  <c r="DG38" i="5" s="1" a="1"/>
  <c r="DG38" i="5" s="1"/>
  <c r="AG48" i="9"/>
  <c r="AK48" i="9"/>
  <c r="AE110" i="9"/>
  <c r="N24" i="1"/>
  <c r="S41" i="2"/>
  <c r="N42" i="2"/>
  <c r="R42" i="2"/>
  <c r="Q41" i="2"/>
  <c r="J43" i="10"/>
  <c r="N43" i="5" s="1"/>
  <c r="P43" i="2"/>
  <c r="AN49" i="9" l="1"/>
  <c r="BK50" i="11" s="1"/>
  <c r="AI50" i="11" s="1"/>
  <c r="AI59" i="9"/>
  <c r="AO59" i="8" s="1"/>
  <c r="CV36" i="8"/>
  <c r="CW36" i="8" s="1"/>
  <c r="AS36" i="8"/>
  <c r="AQ64" i="9"/>
  <c r="CM64" i="8" s="1"/>
  <c r="AO37" i="5"/>
  <c r="AM37" i="5"/>
  <c r="AN37" i="5"/>
  <c r="AR37" i="5" s="1"/>
  <c r="AV38" i="5"/>
  <c r="AW38" i="5"/>
  <c r="AG37" i="7"/>
  <c r="AG36" i="7"/>
  <c r="AI36" i="7" s="1"/>
  <c r="CL38" i="8"/>
  <c r="CH37" i="8"/>
  <c r="CZ37" i="8" s="1"/>
  <c r="AC37" i="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BT37" i="8"/>
  <c r="BO37" i="8"/>
  <c r="BP37" i="8"/>
  <c r="BM37" i="8"/>
  <c r="BN37" i="8"/>
  <c r="BK37" i="8"/>
  <c r="BL37" i="8"/>
  <c r="BJ37" i="8"/>
  <c r="AC37" i="10"/>
  <c r="X37" i="10" s="1"/>
  <c r="AH41" i="11"/>
  <c r="AK41" i="11"/>
  <c r="AS41" i="5"/>
  <c r="CY35" i="8"/>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R37" i="8" s="1"/>
  <c r="CC37" i="8"/>
  <c r="CA37" i="8"/>
  <c r="B37" i="14"/>
  <c r="BY37" i="8"/>
  <c r="CQ37" i="8" s="1"/>
  <c r="Q37" i="7"/>
  <c r="N37" i="7"/>
  <c r="BX37" i="8"/>
  <c r="CD37" i="8" s="1"/>
  <c r="D38" i="9"/>
  <c r="CI37" i="8"/>
  <c r="DA37" i="8" s="1"/>
  <c r="F39" i="5"/>
  <c r="B40" i="5"/>
  <c r="BZ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U36" i="8"/>
  <c r="DH38" i="8"/>
  <c r="DI38" i="8" s="1"/>
  <c r="CK38" i="8"/>
  <c r="BW38" i="8"/>
  <c r="AC38" i="1" s="1"/>
  <c r="BH38" i="8"/>
  <c r="BI38" i="8"/>
  <c r="AH49" i="9"/>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I60" i="9" l="1"/>
  <c r="AO60" i="8" s="1"/>
  <c r="AN50" i="9"/>
  <c r="BK51" i="11" s="1"/>
  <c r="AI51" i="11" s="1"/>
  <c r="CX36" i="8"/>
  <c r="CY36" i="8" s="1"/>
  <c r="CV37" i="8"/>
  <c r="CW37" i="8" s="1"/>
  <c r="AS37" i="8"/>
  <c r="AQ65" i="9"/>
  <c r="CM65" i="8" s="1"/>
  <c r="AO38" i="5"/>
  <c r="AM38" i="5"/>
  <c r="AN38" i="5"/>
  <c r="AR38" i="5" s="1"/>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U37" i="8"/>
  <c r="F46" i="8"/>
  <c r="BP42" i="5" a="1"/>
  <c r="BP42" i="5" s="1"/>
  <c r="J42" i="2" s="1"/>
  <c r="BH39" i="8"/>
  <c r="BU39" i="8" s="1"/>
  <c r="O47" i="1"/>
  <c r="BT38" i="8"/>
  <c r="BU38" i="8"/>
  <c r="BO38" i="8"/>
  <c r="BP38" i="8"/>
  <c r="BM38" i="8"/>
  <c r="BN38" i="8"/>
  <c r="BK38" i="8"/>
  <c r="BL38" i="8"/>
  <c r="BJ38" i="8"/>
  <c r="AC38" i="10"/>
  <c r="X38" i="10" s="1"/>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B39" i="7"/>
  <c r="Q39" i="7" s="1"/>
  <c r="CE37" i="8"/>
  <c r="AI39" i="5"/>
  <c r="E39" i="1"/>
  <c r="BT39" i="5"/>
  <c r="A39" i="10"/>
  <c r="AA39" i="10" s="1"/>
  <c r="D39" i="9"/>
  <c r="B39" i="9"/>
  <c r="Y39" i="9" s="1"/>
  <c r="AC39" i="8"/>
  <c r="BQ39" i="8" s="1"/>
  <c r="CK39" i="8"/>
  <c r="DH39" i="8"/>
  <c r="DI39" i="8" s="1"/>
  <c r="AJ39" i="5"/>
  <c r="AP39" i="5" s="1"/>
  <c r="A39" i="11"/>
  <c r="N39" i="11" s="1"/>
  <c r="X39" i="8"/>
  <c r="DD39" i="8" s="1"/>
  <c r="BI39" i="8"/>
  <c r="BW39" i="8"/>
  <c r="F40" i="5"/>
  <c r="BZ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CQ38" i="8" s="1"/>
  <c r="BZ38" i="8"/>
  <c r="CR38" i="8" s="1"/>
  <c r="CC38" i="8"/>
  <c r="CH38" i="8"/>
  <c r="CZ38" i="8" s="1"/>
  <c r="CA38" i="8"/>
  <c r="AE38" i="7"/>
  <c r="AF38" i="7" s="1"/>
  <c r="Q38" i="7"/>
  <c r="CZ41" i="5"/>
  <c r="AB41" i="1"/>
  <c r="DI41" i="5"/>
  <c r="DA40" i="5"/>
  <c r="DG40" i="5" s="1" a="1"/>
  <c r="DG40" i="5" s="1"/>
  <c r="AG50" i="9"/>
  <c r="AK50" i="9"/>
  <c r="AE112" i="9"/>
  <c r="N26" i="1"/>
  <c r="S43" i="2"/>
  <c r="N44" i="2"/>
  <c r="R44" i="2"/>
  <c r="Q43" i="2"/>
  <c r="J45" i="10"/>
  <c r="N45" i="5" s="1"/>
  <c r="P45" i="2"/>
  <c r="AN51" i="9" l="1"/>
  <c r="BK52" i="11" s="1"/>
  <c r="AI52" i="11" s="1"/>
  <c r="CX37" i="8"/>
  <c r="CY37" i="8" s="1"/>
  <c r="CV38" i="8"/>
  <c r="CW38" i="8" s="1"/>
  <c r="AS38" i="8"/>
  <c r="AQ66" i="9"/>
  <c r="CM66" i="8" s="1"/>
  <c r="AO39" i="5"/>
  <c r="AM39" i="5"/>
  <c r="AN39" i="5"/>
  <c r="AR39" i="5" s="1"/>
  <c r="AV40" i="5"/>
  <c r="AW40" i="5"/>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AC40" i="8"/>
  <c r="BQ40" i="8" s="1"/>
  <c r="BY39" i="8"/>
  <c r="CQ39" i="8" s="1"/>
  <c r="CC39" i="8"/>
  <c r="BZ39" i="8"/>
  <c r="CR39" i="8" s="1"/>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Z44" i="11"/>
  <c r="K43" i="10"/>
  <c r="AA43" i="7"/>
  <c r="AF43" i="8" s="1"/>
  <c r="I43" i="5"/>
  <c r="D42" i="10"/>
  <c r="F42" i="7"/>
  <c r="L43" i="5"/>
  <c r="G42" i="10"/>
  <c r="I42" i="7"/>
  <c r="G43" i="5"/>
  <c r="D42" i="7"/>
  <c r="B42" i="10"/>
  <c r="K43" i="5"/>
  <c r="F42" i="10"/>
  <c r="H42" i="7"/>
  <c r="DD42" i="5"/>
  <c r="J43" i="5"/>
  <c r="E42" i="10"/>
  <c r="G42" i="7"/>
  <c r="H43" i="5"/>
  <c r="C42" i="10"/>
  <c r="E42" i="7"/>
  <c r="M43" i="5"/>
  <c r="H42" i="10"/>
  <c r="J42" i="7"/>
  <c r="CU38" i="8"/>
  <c r="CE38" i="8"/>
  <c r="AH51" i="9"/>
  <c r="AQ38" i="5"/>
  <c r="CZ42" i="5"/>
  <c r="C41" i="5"/>
  <c r="F41" i="5" s="1"/>
  <c r="B38" i="14"/>
  <c r="DA41" i="5"/>
  <c r="DG41" i="5" s="1" a="1"/>
  <c r="DG41" i="5" s="1"/>
  <c r="AB42" i="1"/>
  <c r="DI42" i="5"/>
  <c r="AG51" i="9"/>
  <c r="AK51" i="9"/>
  <c r="AE113" i="9"/>
  <c r="N27" i="1"/>
  <c r="S44" i="2"/>
  <c r="N45" i="2"/>
  <c r="R45" i="2"/>
  <c r="Q44" i="2"/>
  <c r="P46" i="2"/>
  <c r="J46" i="10"/>
  <c r="N46" i="5" s="1"/>
  <c r="AN52" i="9" l="1"/>
  <c r="BK53" i="11" s="1"/>
  <c r="AI53" i="11" s="1"/>
  <c r="CX38" i="8"/>
  <c r="CY38" i="8" s="1"/>
  <c r="CV39" i="8"/>
  <c r="CW39" i="8" s="1"/>
  <c r="AS39" i="8"/>
  <c r="AQ67" i="9"/>
  <c r="CM67" i="8" s="1"/>
  <c r="AO40" i="5"/>
  <c r="AM40" i="5"/>
  <c r="AN40" i="5"/>
  <c r="AR40" i="5" s="1"/>
  <c r="AV41" i="5"/>
  <c r="AW41" i="5"/>
  <c r="DB39" i="8"/>
  <c r="AG39" i="7"/>
  <c r="AI39" i="7" s="1"/>
  <c r="CL41" i="8"/>
  <c r="CC40" i="8"/>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U39" i="8"/>
  <c r="BP44" i="5" a="1"/>
  <c r="BP44" i="5" s="1"/>
  <c r="J44" i="2" s="1"/>
  <c r="CE39" i="8"/>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A40" i="8"/>
  <c r="CB40" i="8"/>
  <c r="CT40" i="8" s="1"/>
  <c r="AE40" i="7"/>
  <c r="AF40" i="7" s="1"/>
  <c r="D41" i="9"/>
  <c r="Y39" i="11"/>
  <c r="AH39" i="1" s="1"/>
  <c r="N40" i="7"/>
  <c r="BX40" i="8"/>
  <c r="CD40" i="8" s="1"/>
  <c r="Z39" i="11"/>
  <c r="BZ40" i="8"/>
  <c r="CR40" i="8" s="1"/>
  <c r="N40" i="11"/>
  <c r="AA39" i="11"/>
  <c r="AK39" i="1" s="1"/>
  <c r="BY40" i="8"/>
  <c r="CQ40" i="8" s="1"/>
  <c r="CI40" i="8"/>
  <c r="DA40" i="8" s="1"/>
  <c r="CH40" i="8"/>
  <c r="CZ40" i="8" s="1"/>
  <c r="BZ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N53" i="9" l="1"/>
  <c r="BK54" i="11" s="1"/>
  <c r="AI54" i="11" s="1"/>
  <c r="CX39" i="8"/>
  <c r="CY39" i="8" s="1"/>
  <c r="CV40" i="8"/>
  <c r="CW40" i="8" s="1"/>
  <c r="AS40" i="8"/>
  <c r="AQ68" i="9"/>
  <c r="CM68" i="8" s="1"/>
  <c r="AO41" i="5"/>
  <c r="AM41" i="5"/>
  <c r="AN41" i="5"/>
  <c r="AR41" i="5" s="1"/>
  <c r="AV42" i="5"/>
  <c r="AW42" i="5"/>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U40" i="8"/>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DB40" i="8"/>
  <c r="B44" i="5"/>
  <c r="AH44" i="5"/>
  <c r="B44" i="1"/>
  <c r="BG44" i="1" s="1"/>
  <c r="B44" i="2"/>
  <c r="BU44" i="5"/>
  <c r="BZ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AF41" i="7" s="1"/>
  <c r="Q41" i="7"/>
  <c r="CA41" i="8"/>
  <c r="CB41" i="8"/>
  <c r="CT41" i="8" s="1"/>
  <c r="BY41" i="8"/>
  <c r="CQ41" i="8" s="1"/>
  <c r="BZ41" i="8"/>
  <c r="CR41" i="8" s="1"/>
  <c r="CC41" i="8"/>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N54" i="9" l="1"/>
  <c r="BK55" i="11" s="1"/>
  <c r="AI55" i="11" s="1"/>
  <c r="CX40" i="8"/>
  <c r="CY40" i="8" s="1"/>
  <c r="CV41" i="8"/>
  <c r="CW41" i="8" s="1"/>
  <c r="AS41" i="8"/>
  <c r="AQ69" i="9"/>
  <c r="CM69" i="8" s="1"/>
  <c r="AO42" i="5"/>
  <c r="AM42" i="5"/>
  <c r="AN42" i="5"/>
  <c r="AR42" i="5" s="1"/>
  <c r="AV43" i="5"/>
  <c r="AW43" i="5"/>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Z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U41" i="8"/>
  <c r="CI42" i="8"/>
  <c r="DA42" i="8" s="1"/>
  <c r="D43" i="9"/>
  <c r="DB41" i="8"/>
  <c r="DH43" i="8"/>
  <c r="DI43" i="8" s="1"/>
  <c r="CE41" i="8"/>
  <c r="CK43"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CQ42" i="8" s="1"/>
  <c r="BZ42" i="8"/>
  <c r="CR42" i="8" s="1"/>
  <c r="CA42" i="8"/>
  <c r="CB42" i="8"/>
  <c r="CT42" i="8" s="1"/>
  <c r="CH42" i="8"/>
  <c r="CZ42" i="8" s="1"/>
  <c r="CC42" i="8"/>
  <c r="DA44" i="5"/>
  <c r="DG44" i="5" s="1" a="1"/>
  <c r="DG44" i="5" s="1"/>
  <c r="AB45" i="1"/>
  <c r="DI45" i="5"/>
  <c r="AG54" i="9"/>
  <c r="AK54" i="9"/>
  <c r="AE116" i="9"/>
  <c r="N30" i="1"/>
  <c r="S47" i="2"/>
  <c r="N48" i="2"/>
  <c r="R48" i="2"/>
  <c r="Q47" i="2"/>
  <c r="P49" i="2"/>
  <c r="J49" i="10"/>
  <c r="N49" i="5" s="1"/>
  <c r="AN55" i="9" l="1"/>
  <c r="BK56" i="11" s="1"/>
  <c r="AI56" i="11" s="1"/>
  <c r="CX41" i="8"/>
  <c r="CY41" i="8" s="1"/>
  <c r="CV42" i="8"/>
  <c r="CW42" i="8" s="1"/>
  <c r="AS42" i="8"/>
  <c r="AQ70" i="9"/>
  <c r="CM70" i="8" s="1"/>
  <c r="AO43" i="5"/>
  <c r="AM43" i="5"/>
  <c r="AN43" i="5"/>
  <c r="AR43" i="5" s="1"/>
  <c r="AV44" i="5"/>
  <c r="AW44" i="5"/>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Z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U42" i="8"/>
  <c r="CE42" i="8"/>
  <c r="DB42" i="8"/>
  <c r="CI43" i="8"/>
  <c r="DA43" i="8" s="1"/>
  <c r="D44" i="9"/>
  <c r="BX43" i="8"/>
  <c r="CE43" i="8" s="1"/>
  <c r="CX43" i="8" s="1"/>
  <c r="N43" i="7"/>
  <c r="AH55" i="9"/>
  <c r="CC43" i="8"/>
  <c r="BY43" i="8"/>
  <c r="CQ43" i="8" s="1"/>
  <c r="CH43" i="8"/>
  <c r="CZ43" i="8" s="1"/>
  <c r="CA43" i="8"/>
  <c r="CB43" i="8"/>
  <c r="CT43" i="8" s="1"/>
  <c r="BZ43" i="8"/>
  <c r="CR43" i="8" s="1"/>
  <c r="AE43" i="7"/>
  <c r="AF43" i="7" s="1"/>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N56" i="9" l="1"/>
  <c r="BK57" i="11" s="1"/>
  <c r="AI57" i="11" s="1"/>
  <c r="CX42" i="8"/>
  <c r="CY42" i="8" s="1"/>
  <c r="CV43" i="8"/>
  <c r="CW43" i="8" s="1"/>
  <c r="AS43" i="8"/>
  <c r="AQ71" i="9"/>
  <c r="CM71" i="8" s="1"/>
  <c r="AO44" i="5"/>
  <c r="AM44" i="5"/>
  <c r="AN44" i="5"/>
  <c r="AR44" i="5" s="1"/>
  <c r="AV45" i="5"/>
  <c r="AW45" i="5"/>
  <c r="AG43" i="7"/>
  <c r="AI43" i="7" s="1"/>
  <c r="CL45" i="8"/>
  <c r="BZ44" i="8"/>
  <c r="CR44" i="8" s="1"/>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BP48" i="5" a="1"/>
  <c r="BP48" i="5" s="1"/>
  <c r="J48" i="2" s="1"/>
  <c r="O53" i="1"/>
  <c r="BT44" i="8"/>
  <c r="BO44" i="8"/>
  <c r="BP44" i="8"/>
  <c r="BM44" i="8"/>
  <c r="BN44" i="8"/>
  <c r="BK44" i="8"/>
  <c r="BL44" i="8"/>
  <c r="BJ44" i="8"/>
  <c r="AC44" i="10"/>
  <c r="X44" i="10" s="1"/>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AA43" i="11"/>
  <c r="AK43" i="1" s="1"/>
  <c r="AD43" i="11"/>
  <c r="AI43" i="1" s="1"/>
  <c r="AB43" i="11"/>
  <c r="Q43" i="8" s="1"/>
  <c r="N44" i="7"/>
  <c r="AE44" i="7"/>
  <c r="AF44" i="7" s="1"/>
  <c r="AC43" i="11"/>
  <c r="U43" i="8" s="1"/>
  <c r="Z43" i="11"/>
  <c r="CA44" i="8"/>
  <c r="CB44" i="8"/>
  <c r="CT44" i="8" s="1"/>
  <c r="BX44" i="8"/>
  <c r="CE44" i="8" s="1"/>
  <c r="CX44" i="8" s="1"/>
  <c r="N44" i="11"/>
  <c r="D45" i="9"/>
  <c r="CH44" i="8"/>
  <c r="CZ44" i="8" s="1"/>
  <c r="BY44" i="8"/>
  <c r="CQ44" i="8" s="1"/>
  <c r="B47" i="5"/>
  <c r="DF47" i="5"/>
  <c r="BU47" i="5"/>
  <c r="AH47" i="5"/>
  <c r="B47" i="2"/>
  <c r="B47" i="1"/>
  <c r="BG47" i="1" s="1"/>
  <c r="BZ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U43" i="8"/>
  <c r="DB43" i="8"/>
  <c r="DH45" i="8"/>
  <c r="DI45" i="8" s="1"/>
  <c r="CK45" i="8"/>
  <c r="BW45" i="8"/>
  <c r="AC45" i="1" s="1"/>
  <c r="BH45" i="8"/>
  <c r="BI45" i="8"/>
  <c r="AH56" i="9"/>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N57" i="9" l="1"/>
  <c r="BK58" i="11" s="1"/>
  <c r="AI58" i="11" s="1"/>
  <c r="CV44" i="8"/>
  <c r="CW44" i="8" s="1"/>
  <c r="AS44" i="8"/>
  <c r="AQ72" i="9"/>
  <c r="CM72" i="8" s="1"/>
  <c r="AO45" i="5"/>
  <c r="AM45" i="5"/>
  <c r="AN45" i="5"/>
  <c r="AR45" i="5" s="1"/>
  <c r="AV46" i="5"/>
  <c r="AW46" i="5"/>
  <c r="AG44" i="7"/>
  <c r="CL46"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Y43" i="8"/>
  <c r="CU44" i="8"/>
  <c r="F53" i="8"/>
  <c r="BP49" i="5" a="1"/>
  <c r="BP49" i="5" s="1"/>
  <c r="J49" i="2" s="1"/>
  <c r="O54" i="1"/>
  <c r="BT45" i="8"/>
  <c r="BU45" i="8"/>
  <c r="BO45" i="8"/>
  <c r="BP45" i="8"/>
  <c r="BM45" i="8"/>
  <c r="BN45" i="8"/>
  <c r="BK45" i="8"/>
  <c r="BL45" i="8"/>
  <c r="BJ45" i="8"/>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Z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CQ45" i="8" s="1"/>
  <c r="BZ45" i="8"/>
  <c r="CR45" i="8" s="1"/>
  <c r="CB45" i="8"/>
  <c r="CT45" i="8" s="1"/>
  <c r="CC45" i="8"/>
  <c r="CH45" i="8"/>
  <c r="CZ45" i="8" s="1"/>
  <c r="CA45" i="8"/>
  <c r="CZ48" i="5"/>
  <c r="AE45" i="7"/>
  <c r="AF45" i="7" s="1"/>
  <c r="Q45" i="7"/>
  <c r="AB48" i="1"/>
  <c r="DI48" i="5"/>
  <c r="DA47" i="5"/>
  <c r="DG47" i="5" s="1" a="1"/>
  <c r="DG47" i="5" s="1"/>
  <c r="AG57" i="9"/>
  <c r="AK57" i="9"/>
  <c r="AE119" i="9"/>
  <c r="N33" i="1"/>
  <c r="S50" i="2"/>
  <c r="N51" i="2"/>
  <c r="R51" i="2"/>
  <c r="Q50" i="2"/>
  <c r="P52" i="2"/>
  <c r="J52" i="10"/>
  <c r="N52" i="5" s="1"/>
  <c r="AN58" i="9" l="1"/>
  <c r="BK59" i="11" s="1"/>
  <c r="AI59" i="11" s="1"/>
  <c r="CV45" i="8"/>
  <c r="CW45" i="8" s="1"/>
  <c r="AS45" i="8"/>
  <c r="AQ73" i="9"/>
  <c r="CM73" i="8" s="1"/>
  <c r="AO46" i="5"/>
  <c r="AM46" i="5"/>
  <c r="AN46" i="5"/>
  <c r="AR46" i="5" s="1"/>
  <c r="AV47" i="5"/>
  <c r="AW47" i="5"/>
  <c r="AG45" i="7"/>
  <c r="CL47" i="8"/>
  <c r="AI69" i="9"/>
  <c r="AO69" i="8" s="1"/>
  <c r="G52" i="8"/>
  <c r="B41"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Y44" i="8"/>
  <c r="B49" i="5"/>
  <c r="BZ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U45" i="8"/>
  <c r="D47" i="9"/>
  <c r="DB45" i="8"/>
  <c r="DH47" i="8"/>
  <c r="DI47" i="8" s="1"/>
  <c r="CE45" i="8"/>
  <c r="CK47"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C47" i="8"/>
  <c r="BQ47" i="8" s="1"/>
  <c r="BY46" i="8"/>
  <c r="CQ46" i="8" s="1"/>
  <c r="CC46" i="8"/>
  <c r="CH46" i="8"/>
  <c r="CZ46" i="8" s="1"/>
  <c r="CA46" i="8"/>
  <c r="CB46" i="8"/>
  <c r="CT46" i="8" s="1"/>
  <c r="BZ46" i="8"/>
  <c r="CR46" i="8" s="1"/>
  <c r="C48" i="5"/>
  <c r="F48" i="5" s="1"/>
  <c r="CZ49" i="5"/>
  <c r="DA48" i="5"/>
  <c r="DG48" i="5" s="1" a="1"/>
  <c r="DG48" i="5" s="1"/>
  <c r="AB49" i="1"/>
  <c r="DI49" i="5"/>
  <c r="AG58" i="9"/>
  <c r="AK58" i="9"/>
  <c r="AE120" i="9"/>
  <c r="N34" i="1"/>
  <c r="S51" i="2"/>
  <c r="N52" i="2"/>
  <c r="R52" i="2"/>
  <c r="Q51" i="2"/>
  <c r="J53" i="10"/>
  <c r="N53" i="5" s="1"/>
  <c r="P53" i="2"/>
  <c r="AN59" i="9" l="1"/>
  <c r="BK60" i="11" s="1"/>
  <c r="AI60" i="11" s="1"/>
  <c r="CX45" i="8"/>
  <c r="CY45" i="8" s="1"/>
  <c r="CV46" i="8"/>
  <c r="CW46" i="8" s="1"/>
  <c r="AS46" i="8"/>
  <c r="AQ74" i="9"/>
  <c r="CM74" i="8" s="1"/>
  <c r="AO47" i="5"/>
  <c r="AM47" i="5"/>
  <c r="AN47" i="5"/>
  <c r="AR47" i="5" s="1"/>
  <c r="AV48" i="5"/>
  <c r="AW48" i="5"/>
  <c r="AG46" i="7"/>
  <c r="CL48" i="8"/>
  <c r="CH47" i="8"/>
  <c r="CZ47" i="8" s="1"/>
  <c r="AC47" i="1"/>
  <c r="AI70" i="9"/>
  <c r="AO70" i="8" s="1"/>
  <c r="G53" i="8"/>
  <c r="CF52" i="8"/>
  <c r="O52" i="2"/>
  <c r="AT51" i="5"/>
  <c r="BI52" i="5" a="1"/>
  <c r="BI52" i="5" s="1"/>
  <c r="E62" i="4" s="1"/>
  <c r="BF52" i="5" a="1"/>
  <c r="BF52" i="5" s="1"/>
  <c r="AM59" i="9"/>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BP51" i="5" a="1"/>
  <c r="BP51" i="5" s="1"/>
  <c r="J51" i="2" s="1"/>
  <c r="O56" i="1"/>
  <c r="BX47" i="8"/>
  <c r="CD47" i="8" s="1"/>
  <c r="BT47" i="8"/>
  <c r="BO47" i="8"/>
  <c r="BP47" i="8"/>
  <c r="BM47" i="8"/>
  <c r="BN47" i="8"/>
  <c r="BK47" i="8"/>
  <c r="BL47" i="8"/>
  <c r="BJ47" i="8"/>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Z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U46" i="8"/>
  <c r="D48" i="9"/>
  <c r="CI47" i="8"/>
  <c r="DA47" i="8" s="1"/>
  <c r="DH48" i="8"/>
  <c r="DI48" i="8" s="1"/>
  <c r="CE46" i="8"/>
  <c r="CK48" i="8"/>
  <c r="BW48" i="8"/>
  <c r="AC48" i="1" s="1"/>
  <c r="N47" i="7"/>
  <c r="BH48" i="8"/>
  <c r="BU48" i="8" s="1"/>
  <c r="BI48" i="8"/>
  <c r="AH59" i="9"/>
  <c r="B46" i="14"/>
  <c r="AQ46" i="5"/>
  <c r="CA47" i="8"/>
  <c r="AE47" i="7"/>
  <c r="AF47" i="7" s="1"/>
  <c r="CC47" i="8"/>
  <c r="AB46" i="11"/>
  <c r="Q46" i="8" s="1"/>
  <c r="Z46" i="11"/>
  <c r="Y46" i="11"/>
  <c r="AH46" i="1" s="1"/>
  <c r="AC46" i="11"/>
  <c r="U46" i="8" s="1"/>
  <c r="N47" i="11"/>
  <c r="AA46" i="11"/>
  <c r="AK46" i="1" s="1"/>
  <c r="AD46" i="11"/>
  <c r="AI46" i="1" s="1"/>
  <c r="BZ47" i="8"/>
  <c r="CR47" i="8" s="1"/>
  <c r="CB47" i="8"/>
  <c r="CT47" i="8" s="1"/>
  <c r="BY47" i="8"/>
  <c r="CQ47" i="8" s="1"/>
  <c r="C49" i="5"/>
  <c r="F49" i="5" s="1"/>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N60" i="9" l="1"/>
  <c r="BK61" i="11" s="1"/>
  <c r="AI61" i="11" s="1"/>
  <c r="CX46" i="8"/>
  <c r="CY46" i="8" s="1"/>
  <c r="CV47" i="8"/>
  <c r="CW47" i="8" s="1"/>
  <c r="AS47" i="8"/>
  <c r="AQ75" i="9"/>
  <c r="CM75" i="8" s="1"/>
  <c r="AO48" i="5"/>
  <c r="AM48" i="5"/>
  <c r="AN48" i="5"/>
  <c r="AV49" i="5"/>
  <c r="AW49" i="5"/>
  <c r="AG47" i="7"/>
  <c r="AE51" i="1"/>
  <c r="E58" i="4"/>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Z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U47" i="8"/>
  <c r="D49" i="9"/>
  <c r="CI48" i="8"/>
  <c r="DA48" i="8" s="1"/>
  <c r="DH49" i="8"/>
  <c r="DI49" i="8" s="1"/>
  <c r="CK49" i="8"/>
  <c r="BW49" i="8"/>
  <c r="AC49" i="1" s="1"/>
  <c r="BI49" i="8"/>
  <c r="BX48" i="8"/>
  <c r="CE48" i="8" s="1"/>
  <c r="CX48" i="8" s="1"/>
  <c r="N48" i="7"/>
  <c r="B49" i="9"/>
  <c r="Y49" i="9" s="1"/>
  <c r="BH49" i="8"/>
  <c r="BU49" i="8" s="1"/>
  <c r="AH60" i="9"/>
  <c r="B47" i="14"/>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CR48" i="8" s="1"/>
  <c r="BY48" i="8"/>
  <c r="CQ48" i="8" s="1"/>
  <c r="CC48" i="8"/>
  <c r="CA48" i="8"/>
  <c r="DA50" i="5"/>
  <c r="DG50" i="5" s="1" a="1"/>
  <c r="DG50" i="5" s="1"/>
  <c r="AB51" i="1"/>
  <c r="DI51" i="5"/>
  <c r="AG60" i="9"/>
  <c r="AK60" i="9"/>
  <c r="AE122" i="9"/>
  <c r="N36" i="1"/>
  <c r="S53" i="2"/>
  <c r="N54" i="2"/>
  <c r="R54" i="2"/>
  <c r="Q53" i="2"/>
  <c r="P55" i="2"/>
  <c r="J55" i="10"/>
  <c r="N55" i="5" s="1"/>
  <c r="AN61" i="9" l="1"/>
  <c r="BK62" i="11" s="1"/>
  <c r="AI62" i="11" s="1"/>
  <c r="CX47" i="8"/>
  <c r="CY47" i="8" s="1"/>
  <c r="CV48" i="8"/>
  <c r="CW48" i="8" s="1"/>
  <c r="AS48" i="8"/>
  <c r="AQ76" i="9"/>
  <c r="CM76" i="8" s="1"/>
  <c r="AO49" i="5"/>
  <c r="AM49" i="5"/>
  <c r="AN49" i="5"/>
  <c r="AR49" i="5" s="1"/>
  <c r="AV50" i="5"/>
  <c r="AW50" i="5"/>
  <c r="AG48" i="7"/>
  <c r="J52" i="2"/>
  <c r="E68" i="4"/>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B52" i="5"/>
  <c r="DE52" i="5"/>
  <c r="BZ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U48" i="8"/>
  <c r="D50" i="9"/>
  <c r="CI49" i="8"/>
  <c r="DA49" i="8" s="1"/>
  <c r="CD48" i="8"/>
  <c r="BX49" i="8"/>
  <c r="CE49" i="8" s="1"/>
  <c r="CX49" i="8" s="1"/>
  <c r="N49" i="7"/>
  <c r="AH61" i="9"/>
  <c r="B48" i="14"/>
  <c r="AE49" i="7"/>
  <c r="AF49" i="7" s="1"/>
  <c r="AB48" i="11"/>
  <c r="Q48" i="8" s="1"/>
  <c r="AD48" i="11"/>
  <c r="AI48" i="1" s="1"/>
  <c r="Z48" i="11"/>
  <c r="AC48" i="11"/>
  <c r="U48" i="8" s="1"/>
  <c r="N49" i="11"/>
  <c r="Y48" i="11"/>
  <c r="AH48" i="1" s="1"/>
  <c r="CA49" i="8"/>
  <c r="CB49" i="8"/>
  <c r="CT49" i="8" s="1"/>
  <c r="CC49" i="8"/>
  <c r="CH49" i="8"/>
  <c r="CZ49" i="8" s="1"/>
  <c r="BY49" i="8"/>
  <c r="CQ49" i="8" s="1"/>
  <c r="BZ49" i="8"/>
  <c r="CR49" i="8" s="1"/>
  <c r="AQ48" i="5"/>
  <c r="CZ52" i="5"/>
  <c r="C51" i="5"/>
  <c r="F51" i="5" s="1"/>
  <c r="DI52" i="5"/>
  <c r="AB52" i="1"/>
  <c r="DA51" i="5"/>
  <c r="DG51" i="5" s="1" a="1"/>
  <c r="DG51" i="5" s="1"/>
  <c r="AQ5" i="5"/>
  <c r="AG61" i="9"/>
  <c r="AK61" i="9"/>
  <c r="AE123" i="9"/>
  <c r="N37" i="1"/>
  <c r="S54" i="2"/>
  <c r="N55" i="2"/>
  <c r="R55" i="2"/>
  <c r="Q54" i="2"/>
  <c r="J56" i="10"/>
  <c r="N56" i="5" s="1"/>
  <c r="P56" i="2"/>
  <c r="AN62" i="9" l="1"/>
  <c r="BK63" i="11" s="1"/>
  <c r="AI63" i="11" s="1"/>
  <c r="CV49" i="8"/>
  <c r="CW49" i="8" s="1"/>
  <c r="AS49" i="8"/>
  <c r="AQ77" i="9"/>
  <c r="CM77" i="8" s="1"/>
  <c r="AO50" i="5"/>
  <c r="AM50" i="5"/>
  <c r="AN50" i="5"/>
  <c r="AR50" i="5" s="1"/>
  <c r="AV51" i="5"/>
  <c r="AW51" i="5"/>
  <c r="AG50"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Y48" i="8"/>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B50" i="8"/>
  <c r="CT50" i="8" s="1"/>
  <c r="B50" i="14"/>
  <c r="CA50" i="8"/>
  <c r="Q50" i="7"/>
  <c r="BZ50" i="8"/>
  <c r="CR50" i="8" s="1"/>
  <c r="BY50" i="8"/>
  <c r="CQ50" i="8" s="1"/>
  <c r="BX50" i="8"/>
  <c r="CE50" i="8" s="1"/>
  <c r="CX50" i="8" s="1"/>
  <c r="D51" i="9"/>
  <c r="B53" i="5"/>
  <c r="AH53" i="5"/>
  <c r="BU53" i="5"/>
  <c r="B53" i="2"/>
  <c r="B53" i="1"/>
  <c r="BG53" i="1" s="1"/>
  <c r="BZ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U49" i="8"/>
  <c r="DB49" i="8"/>
  <c r="DH51" i="8"/>
  <c r="DI51" i="8" s="1"/>
  <c r="CK51" i="8"/>
  <c r="CD49" i="8"/>
  <c r="BW51" i="8"/>
  <c r="AC51" i="1" s="1"/>
  <c r="BH51" i="8"/>
  <c r="BU51" i="8" s="1"/>
  <c r="BI51" i="8"/>
  <c r="AH62" i="9"/>
  <c r="B49" i="14"/>
  <c r="AQ49" i="5"/>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AN63" i="9" l="1"/>
  <c r="BK64" i="11" s="1"/>
  <c r="AI64" i="11" s="1"/>
  <c r="CV50" i="8"/>
  <c r="CW50" i="8" s="1"/>
  <c r="AS50" i="8"/>
  <c r="AQ78" i="9"/>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Y49" i="8"/>
  <c r="CU50" i="8"/>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D50" i="8"/>
  <c r="AQ50" i="5"/>
  <c r="CS49" i="8"/>
  <c r="B54" i="5"/>
  <c r="BZ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CR51" i="8" s="1"/>
  <c r="BY51" i="8"/>
  <c r="CQ51" i="8" s="1"/>
  <c r="CA51" i="8"/>
  <c r="CC51" i="8"/>
  <c r="CH51" i="8"/>
  <c r="CZ51" i="8" s="1"/>
  <c r="C53" i="5"/>
  <c r="F53" i="5" s="1"/>
  <c r="AB54" i="1"/>
  <c r="DI54" i="5"/>
  <c r="DA53" i="5"/>
  <c r="DG53" i="5" s="1" a="1"/>
  <c r="DG53" i="5" s="1"/>
  <c r="AG63" i="9"/>
  <c r="AK63" i="9"/>
  <c r="AE125" i="9"/>
  <c r="N39" i="1"/>
  <c r="S56" i="2"/>
  <c r="N57" i="2"/>
  <c r="R57" i="2"/>
  <c r="Q56" i="2"/>
  <c r="P58" i="2"/>
  <c r="J58" i="10"/>
  <c r="N58" i="5" s="1"/>
  <c r="AN64" i="9" l="1"/>
  <c r="BK65" i="11" s="1"/>
  <c r="AI65" i="11" s="1"/>
  <c r="CV51" i="8"/>
  <c r="CW51" i="8" s="1"/>
  <c r="AS51" i="8"/>
  <c r="AQ79" i="9"/>
  <c r="CM79" i="8" s="1"/>
  <c r="AO52" i="5"/>
  <c r="AM52" i="5"/>
  <c r="AN52" i="5"/>
  <c r="AR52" i="5" s="1"/>
  <c r="AV53" i="5"/>
  <c r="AW53" i="5"/>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Y50" i="8"/>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Z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U51" i="8"/>
  <c r="D53" i="9"/>
  <c r="DB51" i="8"/>
  <c r="DH53" i="8"/>
  <c r="DI53" i="8" s="1"/>
  <c r="CE51" i="8"/>
  <c r="CK53" i="8"/>
  <c r="BW53" i="8"/>
  <c r="AC53" i="1" s="1"/>
  <c r="N52" i="7"/>
  <c r="BH53" i="8"/>
  <c r="BU53" i="8" s="1"/>
  <c r="BI53" i="8"/>
  <c r="AH64" i="9"/>
  <c r="B51" i="14"/>
  <c r="C54" i="5"/>
  <c r="F54" i="5" s="1"/>
  <c r="CZ55" i="5"/>
  <c r="CH52" i="8"/>
  <c r="CZ52" i="8" s="1"/>
  <c r="CC52" i="8"/>
  <c r="CA52" i="8"/>
  <c r="CB52" i="8"/>
  <c r="CT52" i="8" s="1"/>
  <c r="BY52" i="8"/>
  <c r="CQ52" i="8" s="1"/>
  <c r="BZ52" i="8"/>
  <c r="CR52" i="8" s="1"/>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AN65" i="9" l="1"/>
  <c r="BK66" i="11" s="1"/>
  <c r="AI66" i="11" s="1"/>
  <c r="CX51" i="8"/>
  <c r="CY51" i="8" s="1"/>
  <c r="CV52" i="8"/>
  <c r="CW52" i="8" s="1"/>
  <c r="AS52" i="8"/>
  <c r="AQ80" i="9"/>
  <c r="CM80" i="8" s="1"/>
  <c r="AO53" i="5"/>
  <c r="AM53" i="5"/>
  <c r="AN53" i="5"/>
  <c r="AR53" i="5" s="1"/>
  <c r="AV54" i="5"/>
  <c r="AW54" i="5"/>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Z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U52" i="8"/>
  <c r="D54" i="9"/>
  <c r="CI53" i="8"/>
  <c r="DA53" i="8" s="1"/>
  <c r="DH54" i="8"/>
  <c r="DI54" i="8" s="1"/>
  <c r="CK54" i="8"/>
  <c r="BW54" i="8"/>
  <c r="AC54" i="1" s="1"/>
  <c r="BX53" i="8"/>
  <c r="CD53" i="8" s="1"/>
  <c r="N53" i="7"/>
  <c r="BH54" i="8"/>
  <c r="BU54" i="8" s="1"/>
  <c r="BI54" i="8"/>
  <c r="AH65" i="9"/>
  <c r="B52" i="14"/>
  <c r="AQ52" i="5"/>
  <c r="I64" i="4" s="1"/>
  <c r="AE53" i="7"/>
  <c r="AF53" i="7" s="1"/>
  <c r="Q53" i="7"/>
  <c r="CZ56" i="5"/>
  <c r="AC52" i="11"/>
  <c r="U52" i="8" s="1"/>
  <c r="G39" i="4" s="1"/>
  <c r="N53" i="11"/>
  <c r="Z52" i="11"/>
  <c r="AA52" i="11"/>
  <c r="AK52" i="1" s="1"/>
  <c r="Y52" i="11"/>
  <c r="AH52" i="1" s="1"/>
  <c r="AB52" i="11"/>
  <c r="Q52" i="8" s="1"/>
  <c r="D39" i="4" s="1"/>
  <c r="AD52" i="11"/>
  <c r="AI52" i="1" s="1"/>
  <c r="BZ53" i="8"/>
  <c r="CR53" i="8" s="1"/>
  <c r="CC53" i="8"/>
  <c r="CH53" i="8"/>
  <c r="CZ53" i="8" s="1"/>
  <c r="CA53" i="8"/>
  <c r="CB53" i="8"/>
  <c r="CT53" i="8" s="1"/>
  <c r="BY53" i="8"/>
  <c r="CQ53" i="8" s="1"/>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N66" i="9" l="1"/>
  <c r="BK67" i="11" s="1"/>
  <c r="AI67" i="11" s="1"/>
  <c r="CX52" i="8"/>
  <c r="CY52" i="8" s="1"/>
  <c r="CV53" i="8"/>
  <c r="CW53" i="8" s="1"/>
  <c r="AS53" i="8"/>
  <c r="AQ81" i="9"/>
  <c r="CM81" i="8" s="1"/>
  <c r="AO54" i="5"/>
  <c r="AM54" i="5"/>
  <c r="AN54" i="5"/>
  <c r="AR54" i="5" s="1"/>
  <c r="AV55" i="5"/>
  <c r="AW55" i="5"/>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Z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U53" i="8"/>
  <c r="CI54" i="8"/>
  <c r="DA54" i="8" s="1"/>
  <c r="DB53" i="8"/>
  <c r="D55" i="9"/>
  <c r="CE53" i="8"/>
  <c r="N54" i="7"/>
  <c r="AH66" i="9"/>
  <c r="BZ54" i="8"/>
  <c r="CR54" i="8" s="1"/>
  <c r="CC54" i="8"/>
  <c r="CH54" i="8"/>
  <c r="CZ54" i="8" s="1"/>
  <c r="CA54" i="8"/>
  <c r="CB54" i="8"/>
  <c r="CT54" i="8" s="1"/>
  <c r="BY54" i="8"/>
  <c r="CQ54" i="8" s="1"/>
  <c r="C56" i="5"/>
  <c r="F56" i="5" s="1"/>
  <c r="AA53" i="11"/>
  <c r="AK53" i="1" s="1"/>
  <c r="Y53" i="11"/>
  <c r="AH53" i="1" s="1"/>
  <c r="N54" i="11"/>
  <c r="Z53" i="11"/>
  <c r="AB53" i="11"/>
  <c r="Q53" i="8" s="1"/>
  <c r="AD53" i="11"/>
  <c r="AI53" i="1" s="1"/>
  <c r="AC53" i="11"/>
  <c r="U53" i="8" s="1"/>
  <c r="AQ53" i="5"/>
  <c r="CZ57" i="5"/>
  <c r="AE54" i="7"/>
  <c r="AF54" i="7" s="1"/>
  <c r="Q54" i="7"/>
  <c r="DA56" i="5"/>
  <c r="DG56" i="5" s="1" a="1"/>
  <c r="DG56" i="5" s="1"/>
  <c r="AB57" i="1"/>
  <c r="DI57" i="5"/>
  <c r="AG66" i="9"/>
  <c r="AK66" i="9"/>
  <c r="AE128" i="9"/>
  <c r="N42" i="1"/>
  <c r="S59" i="2"/>
  <c r="N60" i="2"/>
  <c r="R60" i="2"/>
  <c r="Q59" i="2"/>
  <c r="J61" i="10"/>
  <c r="N61" i="5" s="1"/>
  <c r="P61" i="2"/>
  <c r="AN67" i="9" l="1"/>
  <c r="BK68" i="11" s="1"/>
  <c r="AI68" i="11" s="1"/>
  <c r="CX53" i="8"/>
  <c r="CY53" i="8" s="1"/>
  <c r="CV54" i="8"/>
  <c r="CW54" i="8" s="1"/>
  <c r="AS54" i="8"/>
  <c r="AQ82" i="9"/>
  <c r="CM82" i="8" s="1"/>
  <c r="AO55" i="5"/>
  <c r="AM55" i="5"/>
  <c r="AN55" i="5"/>
  <c r="AR55" i="5" s="1"/>
  <c r="AV56" i="5"/>
  <c r="AW56" i="5"/>
  <c r="AG54" i="7"/>
  <c r="CL56" i="8"/>
  <c r="BY55" i="8"/>
  <c r="CQ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BT55" i="8"/>
  <c r="BO55" i="8"/>
  <c r="BP55" i="8"/>
  <c r="BM55" i="8"/>
  <c r="BN55" i="8"/>
  <c r="BK55" i="8"/>
  <c r="BL55" i="8"/>
  <c r="BJ55" i="8"/>
  <c r="AC55" i="10"/>
  <c r="X55" i="10" s="1"/>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CX55" i="8" s="1"/>
  <c r="D56" i="9"/>
  <c r="AA54" i="11"/>
  <c r="AK54" i="1" s="1"/>
  <c r="N55" i="7"/>
  <c r="AE55" i="7"/>
  <c r="AF55" i="7" s="1"/>
  <c r="CC55" i="8"/>
  <c r="BZ55" i="8"/>
  <c r="CR55" i="8" s="1"/>
  <c r="CA55" i="8"/>
  <c r="CI55" i="8"/>
  <c r="DA55" i="8" s="1"/>
  <c r="CH55" i="8"/>
  <c r="CZ55" i="8" s="1"/>
  <c r="CB55" i="8"/>
  <c r="CT55" i="8" s="1"/>
  <c r="B58" i="5"/>
  <c r="CS53" i="8"/>
  <c r="BZ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U54" i="8"/>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AB58" i="1"/>
  <c r="DI58" i="5"/>
  <c r="DA57" i="5"/>
  <c r="DG57" i="5" s="1" a="1"/>
  <c r="DG57" i="5" s="1"/>
  <c r="AG67" i="9"/>
  <c r="AK67" i="9"/>
  <c r="AE129" i="9"/>
  <c r="N43" i="1"/>
  <c r="S60" i="2"/>
  <c r="N61" i="2"/>
  <c r="R61" i="2"/>
  <c r="Q60" i="2"/>
  <c r="J62" i="10"/>
  <c r="N62" i="5" s="1"/>
  <c r="P62" i="2"/>
  <c r="AN68" i="9" l="1"/>
  <c r="BK69" i="11" s="1"/>
  <c r="AI69" i="11" s="1"/>
  <c r="CX54" i="8"/>
  <c r="CY54" i="8" s="1"/>
  <c r="CV55" i="8"/>
  <c r="CW55" i="8" s="1"/>
  <c r="CU55" i="8"/>
  <c r="AS55" i="8"/>
  <c r="AQ83" i="9"/>
  <c r="CM83" i="8" s="1"/>
  <c r="AO56" i="5"/>
  <c r="AM56" i="5"/>
  <c r="AN56" i="5"/>
  <c r="AR56" i="5" s="1"/>
  <c r="AV57" i="5"/>
  <c r="AW57" i="5"/>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S55" i="8"/>
  <c r="DB55" i="8"/>
  <c r="B59" i="5"/>
  <c r="B59" i="2"/>
  <c r="B59" i="1"/>
  <c r="BG59" i="1" s="1"/>
  <c r="AH59" i="5"/>
  <c r="BU59" i="5"/>
  <c r="BZ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CQ56" i="8" s="1"/>
  <c r="BZ56" i="8"/>
  <c r="CR56" i="8" s="1"/>
  <c r="CC56" i="8"/>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N69" i="9" l="1"/>
  <c r="BK70" i="11" s="1"/>
  <c r="AI70" i="11" s="1"/>
  <c r="CV56" i="8"/>
  <c r="CW56" i="8" s="1"/>
  <c r="AS56" i="8"/>
  <c r="AQ84" i="9"/>
  <c r="CM84" i="8" s="1"/>
  <c r="AO57" i="5"/>
  <c r="AM57" i="5"/>
  <c r="AN57" i="5"/>
  <c r="AR57" i="5" s="1"/>
  <c r="AV58" i="5"/>
  <c r="AW58" i="5"/>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CX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Y55" i="8"/>
  <c r="B60" i="5"/>
  <c r="B60" i="2"/>
  <c r="BU60" i="5"/>
  <c r="B60" i="1"/>
  <c r="BG60" i="1" s="1"/>
  <c r="AH60" i="5"/>
  <c r="BZ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U56" i="8"/>
  <c r="D58" i="9"/>
  <c r="DB56" i="8"/>
  <c r="CI57" i="8"/>
  <c r="DA57" i="8" s="1"/>
  <c r="DH58" i="8"/>
  <c r="DI58" i="8" s="1"/>
  <c r="CE56" i="8"/>
  <c r="CK58" i="8"/>
  <c r="BW58" i="8"/>
  <c r="AC58" i="1" s="1"/>
  <c r="N57" i="7"/>
  <c r="BH58" i="8"/>
  <c r="BU58" i="8" s="1"/>
  <c r="BI58" i="8"/>
  <c r="AH69" i="9"/>
  <c r="B56" i="14"/>
  <c r="AQ56" i="5"/>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CQ57" i="8" s="1"/>
  <c r="BZ57" i="8"/>
  <c r="CR57" i="8" s="1"/>
  <c r="CC57" i="8"/>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AN70" i="9" l="1"/>
  <c r="BK71" i="11" s="1"/>
  <c r="AI71" i="11" s="1"/>
  <c r="CX56" i="8"/>
  <c r="CY56" i="8" s="1"/>
  <c r="CV57" i="8"/>
  <c r="CW57" i="8" s="1"/>
  <c r="AS57" i="8"/>
  <c r="AQ85" i="9"/>
  <c r="CM85" i="8" s="1"/>
  <c r="AO58" i="5"/>
  <c r="AM58" i="5"/>
  <c r="AN58" i="5"/>
  <c r="AR58" i="5" s="1"/>
  <c r="AV59" i="5"/>
  <c r="AW59" i="5"/>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Z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U57" i="8"/>
  <c r="D59" i="9"/>
  <c r="DB57" i="8"/>
  <c r="CI58" i="8"/>
  <c r="DA58" i="8" s="1"/>
  <c r="DH59" i="8"/>
  <c r="DI59" i="8" s="1"/>
  <c r="CK59" i="8"/>
  <c r="BW59" i="8"/>
  <c r="AC59" i="1" s="1"/>
  <c r="N58" i="7"/>
  <c r="BH59" i="8"/>
  <c r="BU59" i="8" s="1"/>
  <c r="BI59" i="8"/>
  <c r="AH70" i="9"/>
  <c r="B57" i="14"/>
  <c r="AQ57" i="5"/>
  <c r="CZ61" i="5"/>
  <c r="C60" i="5"/>
  <c r="F60" i="5" s="1"/>
  <c r="AE58" i="7"/>
  <c r="AF58" i="7" s="1"/>
  <c r="Q58" i="7"/>
  <c r="Y57" i="11"/>
  <c r="AH57" i="1" s="1"/>
  <c r="N58" i="11"/>
  <c r="AB57" i="11"/>
  <c r="Q57" i="8" s="1"/>
  <c r="Z57" i="11"/>
  <c r="AD57" i="11"/>
  <c r="AI57" i="1" s="1"/>
  <c r="AA57" i="11"/>
  <c r="AK57" i="1" s="1"/>
  <c r="AC57" i="11"/>
  <c r="U57" i="8" s="1"/>
  <c r="BY58" i="8"/>
  <c r="CQ58" i="8" s="1"/>
  <c r="BZ58" i="8"/>
  <c r="CR58" i="8" s="1"/>
  <c r="CB58" i="8"/>
  <c r="CT58" i="8" s="1"/>
  <c r="CC58" i="8"/>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N71" i="9" l="1"/>
  <c r="BK72" i="11" s="1"/>
  <c r="AI72" i="11" s="1"/>
  <c r="CV58" i="8"/>
  <c r="CW58" i="8" s="1"/>
  <c r="AS58" i="8"/>
  <c r="AQ86" i="9"/>
  <c r="CM86" i="8" s="1"/>
  <c r="AO59" i="5"/>
  <c r="AM59" i="5"/>
  <c r="AN59" i="5"/>
  <c r="AR59" i="5" s="1"/>
  <c r="AV60" i="5"/>
  <c r="AW60" i="5"/>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Y57" i="8"/>
  <c r="F67" i="8"/>
  <c r="BP63" i="5" a="1"/>
  <c r="BP63" i="5" s="1"/>
  <c r="J63" i="2" s="1"/>
  <c r="O68" i="1"/>
  <c r="CE58" i="8"/>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Z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U58" i="8"/>
  <c r="CI59" i="8"/>
  <c r="DA59" i="8" s="1"/>
  <c r="DB58" i="8"/>
  <c r="D60" i="9"/>
  <c r="DH60" i="8"/>
  <c r="DI60" i="8" s="1"/>
  <c r="CK60" i="8"/>
  <c r="BW60" i="8"/>
  <c r="AC60" i="1" s="1"/>
  <c r="N59" i="7"/>
  <c r="BH60" i="8"/>
  <c r="BU60" i="8" s="1"/>
  <c r="BI60" i="8"/>
  <c r="AH71" i="9"/>
  <c r="B58" i="14"/>
  <c r="AQ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C59" i="8"/>
  <c r="CA59" i="8"/>
  <c r="CB59" i="8"/>
  <c r="CT59" i="8" s="1"/>
  <c r="BY59" i="8"/>
  <c r="CQ59" i="8" s="1"/>
  <c r="BZ59" i="8"/>
  <c r="CR59" i="8" s="1"/>
  <c r="CH59" i="8"/>
  <c r="CZ59" i="8" s="1"/>
  <c r="DI62" i="5"/>
  <c r="AB62" i="1"/>
  <c r="DA61" i="5"/>
  <c r="DG61" i="5" s="1" a="1"/>
  <c r="DG61" i="5" s="1"/>
  <c r="AG71" i="9"/>
  <c r="AK71" i="9"/>
  <c r="AE133" i="9"/>
  <c r="N47" i="1"/>
  <c r="S64" i="2"/>
  <c r="N65" i="2"/>
  <c r="R65" i="2"/>
  <c r="Q64" i="2"/>
  <c r="J66" i="10"/>
  <c r="N66" i="5" s="1"/>
  <c r="P66" i="2"/>
  <c r="AN72" i="9" l="1"/>
  <c r="BK73" i="11" s="1"/>
  <c r="AI73" i="11" s="1"/>
  <c r="CX58" i="8"/>
  <c r="CY58" i="8" s="1"/>
  <c r="CV59" i="8"/>
  <c r="CW59" i="8" s="1"/>
  <c r="AS59" i="8"/>
  <c r="AQ87" i="9"/>
  <c r="CM87" i="8" s="1"/>
  <c r="AO60" i="5"/>
  <c r="AM60" i="5"/>
  <c r="AN60" i="5"/>
  <c r="AR60" i="5" s="1"/>
  <c r="AV61" i="5"/>
  <c r="AW61" i="5"/>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BT60" i="8"/>
  <c r="BO60" i="8"/>
  <c r="BP60" i="8"/>
  <c r="BM60" i="8"/>
  <c r="BN60" i="8"/>
  <c r="BK60" i="8"/>
  <c r="BL60" i="8"/>
  <c r="BJ60" i="8"/>
  <c r="AC60" i="10"/>
  <c r="X60" i="10"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Z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U59" i="8"/>
  <c r="CI60" i="8"/>
  <c r="DA60" i="8" s="1"/>
  <c r="D61" i="9"/>
  <c r="DH61" i="8"/>
  <c r="DI61" i="8" s="1"/>
  <c r="CK61" i="8"/>
  <c r="BW61" i="8"/>
  <c r="AC61" i="1" s="1"/>
  <c r="BX60" i="8"/>
  <c r="CD60" i="8" s="1"/>
  <c r="N60" i="7"/>
  <c r="BH61" i="8"/>
  <c r="BU61" i="8" s="1"/>
  <c r="BI61" i="8"/>
  <c r="AH72" i="9"/>
  <c r="B59" i="14"/>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AF60" i="7" s="1"/>
  <c r="Q60" i="7"/>
  <c r="C62" i="5"/>
  <c r="F62" i="5" s="1"/>
  <c r="CC60" i="8"/>
  <c r="CH60" i="8"/>
  <c r="CZ60" i="8" s="1"/>
  <c r="CA60" i="8"/>
  <c r="CB60" i="8"/>
  <c r="CT60" i="8" s="1"/>
  <c r="BZ60" i="8"/>
  <c r="CR60" i="8" s="1"/>
  <c r="BY60" i="8"/>
  <c r="CQ60" i="8" s="1"/>
  <c r="DA62" i="5"/>
  <c r="DG62" i="5" s="1" a="1"/>
  <c r="DG62" i="5" s="1"/>
  <c r="AB63" i="1"/>
  <c r="DI63" i="5"/>
  <c r="AG72" i="9"/>
  <c r="AK72" i="9"/>
  <c r="AE134" i="9"/>
  <c r="N48" i="1"/>
  <c r="S65" i="2"/>
  <c r="N66" i="2"/>
  <c r="R66" i="2"/>
  <c r="Q65" i="2"/>
  <c r="J67" i="10"/>
  <c r="N67" i="5" s="1"/>
  <c r="P67" i="2"/>
  <c r="AN73" i="9" l="1"/>
  <c r="BK74" i="11" s="1"/>
  <c r="AI74" i="11" s="1"/>
  <c r="CX59" i="8"/>
  <c r="CY59" i="8" s="1"/>
  <c r="CV60" i="8"/>
  <c r="CW60" i="8" s="1"/>
  <c r="AS60" i="8"/>
  <c r="AQ88" i="9"/>
  <c r="CM88" i="8" s="1"/>
  <c r="AO61" i="5"/>
  <c r="AM61" i="5"/>
  <c r="AN61" i="5"/>
  <c r="AR61" i="5" s="1"/>
  <c r="AV62" i="5"/>
  <c r="AW62" i="5"/>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CX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Z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U60" i="8"/>
  <c r="DB60" i="8"/>
  <c r="D62" i="9"/>
  <c r="CI61" i="8"/>
  <c r="DA61" i="8" s="1"/>
  <c r="DH62" i="8"/>
  <c r="DI62" i="8" s="1"/>
  <c r="CE60" i="8"/>
  <c r="CK62" i="8"/>
  <c r="BW62" i="8"/>
  <c r="AC62" i="1" s="1"/>
  <c r="N61" i="7"/>
  <c r="BH62" i="8"/>
  <c r="BU62" i="8" s="1"/>
  <c r="BI62" i="8"/>
  <c r="AH73" i="9"/>
  <c r="CZ64" i="5"/>
  <c r="CH61" i="8"/>
  <c r="CZ61" i="8" s="1"/>
  <c r="CB61" i="8"/>
  <c r="CT61" i="8" s="1"/>
  <c r="BY61" i="8"/>
  <c r="CQ61" i="8" s="1"/>
  <c r="BZ61" i="8"/>
  <c r="CR61" i="8" s="1"/>
  <c r="CC61" i="8"/>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N74" i="9" l="1"/>
  <c r="BK75" i="11" s="1"/>
  <c r="AI75" i="11" s="1"/>
  <c r="CX60" i="8"/>
  <c r="CY60" i="8" s="1"/>
  <c r="CV61" i="8"/>
  <c r="CW61" i="8" s="1"/>
  <c r="AS61" i="8"/>
  <c r="AQ89" i="9"/>
  <c r="CM89" i="8" s="1"/>
  <c r="AO62" i="5"/>
  <c r="AM62" i="5"/>
  <c r="AN62" i="5"/>
  <c r="AR62" i="5" s="1"/>
  <c r="AV63" i="5"/>
  <c r="AW63" i="5"/>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Z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U61" i="8"/>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H62" i="8"/>
  <c r="CZ62" i="8" s="1"/>
  <c r="CA62" i="8"/>
  <c r="CB62" i="8"/>
  <c r="CT62" i="8" s="1"/>
  <c r="BY62" i="8"/>
  <c r="CQ62" i="8" s="1"/>
  <c r="BZ62" i="8"/>
  <c r="CR62" i="8" s="1"/>
  <c r="C64" i="5"/>
  <c r="F64" i="5" s="1"/>
  <c r="AE62" i="7"/>
  <c r="AF62" i="7" s="1"/>
  <c r="Q62" i="7"/>
  <c r="C65" i="5"/>
  <c r="DA64" i="5"/>
  <c r="DG64" i="5" s="1" a="1"/>
  <c r="DG64" i="5" s="1"/>
  <c r="AB65" i="1"/>
  <c r="DI65" i="5"/>
  <c r="AG74" i="9"/>
  <c r="AK74" i="9"/>
  <c r="AE136" i="9"/>
  <c r="N50" i="1"/>
  <c r="S67" i="2"/>
  <c r="N68" i="2"/>
  <c r="R68" i="2"/>
  <c r="Q67" i="2"/>
  <c r="J69" i="10"/>
  <c r="N69" i="5" s="1"/>
  <c r="P69" i="2"/>
  <c r="AN75" i="9" l="1"/>
  <c r="BK76" i="11" s="1"/>
  <c r="AI76" i="11" s="1"/>
  <c r="CV62" i="8"/>
  <c r="CW62" i="8" s="1"/>
  <c r="AS62" i="8"/>
  <c r="AQ90" i="9"/>
  <c r="CM90" i="8" s="1"/>
  <c r="AO63" i="5"/>
  <c r="AM63" i="5"/>
  <c r="AN63" i="5"/>
  <c r="AR63" i="5" s="1"/>
  <c r="AV64" i="5"/>
  <c r="AW64" i="5"/>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Y61" i="8"/>
  <c r="F71" i="8"/>
  <c r="BP67" i="5" a="1"/>
  <c r="BP67" i="5" s="1"/>
  <c r="J67" i="2" s="1"/>
  <c r="O72" i="1"/>
  <c r="CE62" i="8"/>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Z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U62" i="8"/>
  <c r="DB62" i="8"/>
  <c r="CI63" i="8"/>
  <c r="DA63" i="8" s="1"/>
  <c r="D64" i="9"/>
  <c r="DH64" i="8"/>
  <c r="DI64" i="8" s="1"/>
  <c r="CK64" i="8"/>
  <c r="BW64" i="8"/>
  <c r="AC64" i="1" s="1"/>
  <c r="BX63" i="8"/>
  <c r="CD63" i="8" s="1"/>
  <c r="N63" i="7"/>
  <c r="BH64" i="8"/>
  <c r="BU64" i="8" s="1"/>
  <c r="BI64" i="8"/>
  <c r="AH75" i="9"/>
  <c r="AA62" i="11"/>
  <c r="AK62" i="1" s="1"/>
  <c r="Z62" i="11"/>
  <c r="AB62" i="11"/>
  <c r="Q62" i="8" s="1"/>
  <c r="AD62" i="11"/>
  <c r="AI62" i="1" s="1"/>
  <c r="AC62" i="11"/>
  <c r="U62" i="8" s="1"/>
  <c r="Y62" i="11"/>
  <c r="AH62" i="1" s="1"/>
  <c r="N63" i="11"/>
  <c r="CA63" i="8"/>
  <c r="CB63" i="8"/>
  <c r="CT63" i="8" s="1"/>
  <c r="BY63" i="8"/>
  <c r="CQ63" i="8" s="1"/>
  <c r="BZ63" i="8"/>
  <c r="CR63" i="8" s="1"/>
  <c r="CC63" i="8"/>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N76" i="9" l="1"/>
  <c r="BK77" i="11" s="1"/>
  <c r="AI77" i="11" s="1"/>
  <c r="CX62" i="8"/>
  <c r="CY62" i="8" s="1"/>
  <c r="CV63" i="8"/>
  <c r="CW63" i="8" s="1"/>
  <c r="AS63" i="8"/>
  <c r="AQ91" i="9"/>
  <c r="CM91" i="8" s="1"/>
  <c r="AO64" i="5"/>
  <c r="AM64" i="5"/>
  <c r="AN64" i="5"/>
  <c r="AR64" i="5" s="1"/>
  <c r="AV65" i="5"/>
  <c r="AW65" i="5"/>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CX64" i="8" s="1"/>
  <c r="BT64" i="8"/>
  <c r="BO64" i="8"/>
  <c r="BP64" i="8"/>
  <c r="BM64" i="8"/>
  <c r="BN64" i="8"/>
  <c r="BK64" i="8"/>
  <c r="BL64" i="8"/>
  <c r="BJ64" i="8"/>
  <c r="AC64" i="10"/>
  <c r="X64" i="10"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Z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U63" i="8"/>
  <c r="DB63" i="8"/>
  <c r="D65" i="9"/>
  <c r="CI64" i="8"/>
  <c r="DA64" i="8" s="1"/>
  <c r="CE63" i="8"/>
  <c r="N64" i="7"/>
  <c r="AH76" i="9"/>
  <c r="AD63" i="11"/>
  <c r="AI63" i="1" s="1"/>
  <c r="AB63" i="11"/>
  <c r="Q63" i="8" s="1"/>
  <c r="AC63" i="11"/>
  <c r="U63" i="8" s="1"/>
  <c r="Y63" i="11"/>
  <c r="AH63" i="1" s="1"/>
  <c r="N64" i="11"/>
  <c r="Z63" i="11"/>
  <c r="AA63" i="11"/>
  <c r="AK63" i="1" s="1"/>
  <c r="Q64" i="7"/>
  <c r="AE64" i="7"/>
  <c r="AF64" i="7" s="1"/>
  <c r="CZ67" i="5"/>
  <c r="B63" i="14"/>
  <c r="BY64" i="8"/>
  <c r="CQ64" i="8" s="1"/>
  <c r="BZ64" i="8"/>
  <c r="CR64" i="8" s="1"/>
  <c r="CH64" i="8"/>
  <c r="CZ64" i="8" s="1"/>
  <c r="CC64" i="8"/>
  <c r="CA64" i="8"/>
  <c r="CB64" i="8"/>
  <c r="CT64" i="8" s="1"/>
  <c r="DA66" i="5"/>
  <c r="DG66" i="5" s="1" a="1"/>
  <c r="DG66" i="5" s="1"/>
  <c r="AB67" i="1"/>
  <c r="DI67" i="5"/>
  <c r="AG76" i="9"/>
  <c r="AK76" i="9"/>
  <c r="N52" i="1"/>
  <c r="S69" i="2"/>
  <c r="N70" i="2"/>
  <c r="R70" i="2"/>
  <c r="Q69" i="2"/>
  <c r="J71" i="10"/>
  <c r="N71" i="5" s="1"/>
  <c r="P71" i="2"/>
  <c r="AN77" i="9" l="1"/>
  <c r="BK78" i="11" s="1"/>
  <c r="AI78" i="11" s="1"/>
  <c r="CX63" i="8"/>
  <c r="CY63" i="8" s="1"/>
  <c r="CV64" i="8"/>
  <c r="CW64" i="8" s="1"/>
  <c r="AS64" i="8"/>
  <c r="AQ92" i="9"/>
  <c r="CM92" i="8" s="1"/>
  <c r="AO65" i="5"/>
  <c r="AM65" i="5"/>
  <c r="AN65" i="5"/>
  <c r="AR65" i="5" s="1"/>
  <c r="AV66" i="5"/>
  <c r="AW66" i="5"/>
  <c r="AG64" i="7"/>
  <c r="AI64" i="7" s="1"/>
  <c r="B69" i="4"/>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Q65" i="8" s="1"/>
  <c r="CB65" i="8"/>
  <c r="CT65" i="8" s="1"/>
  <c r="E66" i="1"/>
  <c r="CC65" i="8"/>
  <c r="BZ65" i="8"/>
  <c r="CR65" i="8" s="1"/>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BZ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U64" i="8"/>
  <c r="DB64" i="8"/>
  <c r="AH77" i="9"/>
  <c r="CZ68" i="5"/>
  <c r="B64" i="14"/>
  <c r="C67" i="5"/>
  <c r="F67" i="5" s="1"/>
  <c r="AB68" i="1"/>
  <c r="DI68" i="5"/>
  <c r="DA67" i="5"/>
  <c r="DG67" i="5" s="1" a="1"/>
  <c r="DG67" i="5" s="1"/>
  <c r="AG77" i="9"/>
  <c r="AK77" i="9"/>
  <c r="N53" i="1"/>
  <c r="S70" i="2"/>
  <c r="N71" i="2"/>
  <c r="R71" i="2"/>
  <c r="Q70" i="2"/>
  <c r="J72" i="10"/>
  <c r="N72" i="5" s="1"/>
  <c r="P72" i="2"/>
  <c r="AN78" i="9" l="1"/>
  <c r="BK79" i="11" s="1"/>
  <c r="AI79" i="11" s="1"/>
  <c r="CV65" i="8"/>
  <c r="CW65" i="8" s="1"/>
  <c r="AS65" i="8"/>
  <c r="AQ93" i="9"/>
  <c r="CM93" i="8" s="1"/>
  <c r="AO66" i="5"/>
  <c r="AM66" i="5"/>
  <c r="AN66" i="5"/>
  <c r="AR66" i="5" s="1"/>
  <c r="AV67" i="5"/>
  <c r="AW67" i="5"/>
  <c r="AG66" i="7"/>
  <c r="AG65" i="7"/>
  <c r="AI65" i="7" s="1"/>
  <c r="CL67"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Y64" i="8"/>
  <c r="CU65" i="8"/>
  <c r="F74" i="8"/>
  <c r="BP70" i="5" a="1"/>
  <c r="BP70" i="5" s="1"/>
  <c r="J70" i="2" s="1"/>
  <c r="O75" i="1"/>
  <c r="BX66" i="8"/>
  <c r="CE66" i="8" s="1"/>
  <c r="CX66" i="8" s="1"/>
  <c r="BT66" i="8"/>
  <c r="BO66" i="8"/>
  <c r="BP66" i="8"/>
  <c r="BM66" i="8"/>
  <c r="BN66" i="8"/>
  <c r="BK66" i="8"/>
  <c r="BL66" i="8"/>
  <c r="BJ66" i="8"/>
  <c r="AC66" i="10"/>
  <c r="X66" i="10" s="1"/>
  <c r="AH70" i="11"/>
  <c r="CB66" i="8"/>
  <c r="CT66" i="8" s="1"/>
  <c r="BY66" i="8"/>
  <c r="CQ66" i="8" s="1"/>
  <c r="BZ66" i="8"/>
  <c r="CR66" i="8" s="1"/>
  <c r="CC66" i="8"/>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S64" i="8"/>
  <c r="B69" i="5"/>
  <c r="AH69" i="5"/>
  <c r="BU69" i="5"/>
  <c r="B69" i="1"/>
  <c r="BG69" i="1" s="1"/>
  <c r="B69" i="2"/>
  <c r="BZ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N79" i="9" l="1"/>
  <c r="BK80" i="11" s="1"/>
  <c r="AI80" i="11" s="1"/>
  <c r="CX65" i="8"/>
  <c r="CY65" i="8" s="1"/>
  <c r="CV66" i="8"/>
  <c r="CW66" i="8" s="1"/>
  <c r="AS66" i="8"/>
  <c r="AQ94" i="9"/>
  <c r="CM94" i="8" s="1"/>
  <c r="AO67" i="5"/>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U66" i="8"/>
  <c r="BP71" i="5" a="1"/>
  <c r="BP71" i="5" s="1"/>
  <c r="J71" i="2" s="1"/>
  <c r="O76" i="1"/>
  <c r="CD66" i="8"/>
  <c r="BT67" i="8"/>
  <c r="BU67" i="8"/>
  <c r="AH71" i="11"/>
  <c r="BO67" i="8"/>
  <c r="BP67" i="8"/>
  <c r="BM67" i="8"/>
  <c r="BN67" i="8"/>
  <c r="BK67" i="8"/>
  <c r="BL67" i="8"/>
  <c r="BJ67" i="8"/>
  <c r="AC67" i="10"/>
  <c r="X67" i="10" s="1"/>
  <c r="AJ71" i="1"/>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Z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CX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CQ67" i="8" s="1"/>
  <c r="BZ67" i="8"/>
  <c r="CR67" i="8" s="1"/>
  <c r="CC67" i="8"/>
  <c r="CH67" i="8"/>
  <c r="CZ67" i="8" s="1"/>
  <c r="AB70" i="1"/>
  <c r="DI70" i="5"/>
  <c r="C70" i="5"/>
  <c r="DA69" i="5"/>
  <c r="DG69" i="5" s="1" a="1"/>
  <c r="DG69" i="5" s="1"/>
  <c r="AG79" i="9"/>
  <c r="AK79" i="9"/>
  <c r="N55" i="1"/>
  <c r="S72" i="2"/>
  <c r="N73" i="2"/>
  <c r="R73" i="2"/>
  <c r="Q72" i="2"/>
  <c r="P74" i="2"/>
  <c r="J74" i="10"/>
  <c r="N74" i="5" s="1"/>
  <c r="AN80" i="9" l="1"/>
  <c r="BK81" i="11" s="1"/>
  <c r="AI81" i="11" s="1"/>
  <c r="CV67" i="8"/>
  <c r="CW67" i="8" s="1"/>
  <c r="AS67" i="8"/>
  <c r="AQ95" i="9"/>
  <c r="CM95" i="8" s="1"/>
  <c r="AO68" i="5"/>
  <c r="AM68" i="5"/>
  <c r="AN68" i="5"/>
  <c r="AV69" i="5"/>
  <c r="AW69" i="5"/>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Y66" i="8"/>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Z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U67" i="8"/>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CQ68" i="8" s="1"/>
  <c r="BZ68" i="8"/>
  <c r="CR68" i="8" s="1"/>
  <c r="CH68" i="8"/>
  <c r="CZ68" i="8" s="1"/>
  <c r="CC68" i="8"/>
  <c r="CA68" i="8"/>
  <c r="B67" i="14"/>
  <c r="AB67" i="11"/>
  <c r="Q67" i="8" s="1"/>
  <c r="Z67" i="11"/>
  <c r="AA67" i="11"/>
  <c r="AK67" i="1" s="1"/>
  <c r="AC67" i="11"/>
  <c r="U67" i="8" s="1"/>
  <c r="Y67" i="11"/>
  <c r="AH67" i="1" s="1"/>
  <c r="AD67" i="11"/>
  <c r="AI67" i="1" s="1"/>
  <c r="N68" i="11"/>
  <c r="CI68" i="8"/>
  <c r="DA68" i="8" s="1"/>
  <c r="DA70" i="5"/>
  <c r="DG70" i="5" s="1" a="1"/>
  <c r="DG70" i="5" s="1"/>
  <c r="AB71" i="1"/>
  <c r="DI71" i="5"/>
  <c r="AG80" i="9"/>
  <c r="AK80" i="9"/>
  <c r="N56" i="1"/>
  <c r="S73" i="2"/>
  <c r="N74" i="2"/>
  <c r="R74" i="2"/>
  <c r="Q73" i="2"/>
  <c r="J75" i="10"/>
  <c r="N75" i="5" s="1"/>
  <c r="P75" i="2"/>
  <c r="AN81" i="9" l="1"/>
  <c r="BK82" i="11" s="1"/>
  <c r="AI82" i="11" s="1"/>
  <c r="CV68" i="8"/>
  <c r="CW68" i="8" s="1"/>
  <c r="AS68" i="8"/>
  <c r="AQ96" i="9"/>
  <c r="CM96" i="8" s="1"/>
  <c r="AO69" i="5"/>
  <c r="AM69" i="5"/>
  <c r="AN69" i="5"/>
  <c r="AR69" i="5" s="1"/>
  <c r="AV70" i="5"/>
  <c r="AW70" i="5"/>
  <c r="AG68" i="7"/>
  <c r="AI68" i="7" s="1"/>
  <c r="CL70" i="8"/>
  <c r="CC69" i="8"/>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Y67" i="8"/>
  <c r="F77" i="8"/>
  <c r="BP73" i="5" a="1"/>
  <c r="BP73" i="5" s="1"/>
  <c r="J73" i="2" s="1"/>
  <c r="O78" i="1"/>
  <c r="AH73" i="11"/>
  <c r="CE68" i="8"/>
  <c r="BT69" i="8"/>
  <c r="BO69" i="8"/>
  <c r="BP69" i="8"/>
  <c r="BM69" i="8"/>
  <c r="BN69" i="8"/>
  <c r="BK69" i="8"/>
  <c r="BL69" i="8"/>
  <c r="BJ69" i="8"/>
  <c r="AC69" i="10"/>
  <c r="X69" i="10"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Z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U68" i="8"/>
  <c r="AE69" i="7"/>
  <c r="AF69" i="7" s="1"/>
  <c r="D70" i="9"/>
  <c r="BX69" i="8"/>
  <c r="CD69" i="8" s="1"/>
  <c r="N69" i="7"/>
  <c r="AH81" i="9"/>
  <c r="CB69" i="8"/>
  <c r="CT69" i="8" s="1"/>
  <c r="CA69" i="8"/>
  <c r="BY69" i="8"/>
  <c r="CQ69" i="8" s="1"/>
  <c r="CH69" i="8"/>
  <c r="CZ69" i="8" s="1"/>
  <c r="BZ69" i="8"/>
  <c r="CR69" i="8" s="1"/>
  <c r="CI69" i="8"/>
  <c r="DA69" i="8" s="1"/>
  <c r="N69" i="11"/>
  <c r="Z68" i="11"/>
  <c r="AC68" i="11"/>
  <c r="U68" i="8" s="1"/>
  <c r="AD68" i="11"/>
  <c r="AI68" i="1" s="1"/>
  <c r="Y68" i="11"/>
  <c r="AH68" i="1" s="1"/>
  <c r="AB68" i="11"/>
  <c r="Q68" i="8" s="1"/>
  <c r="DB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N82" i="9" l="1"/>
  <c r="BK83" i="11" s="1"/>
  <c r="AI83" i="11" s="1"/>
  <c r="CX68" i="8"/>
  <c r="CY68" i="8" s="1"/>
  <c r="CV69" i="8"/>
  <c r="CW69" i="8" s="1"/>
  <c r="AS69" i="8"/>
  <c r="AQ97" i="9"/>
  <c r="CM97" i="8" s="1"/>
  <c r="AO70" i="5"/>
  <c r="AM70" i="5"/>
  <c r="AN70" i="5"/>
  <c r="AR70" i="5" s="1"/>
  <c r="AV71" i="5"/>
  <c r="AW71" i="5"/>
  <c r="AG70" i="7"/>
  <c r="AG69" i="7"/>
  <c r="AI69" i="7" s="1"/>
  <c r="CL71" i="8"/>
  <c r="CC70" i="8"/>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BZ70" i="8"/>
  <c r="CR70" i="8" s="1"/>
  <c r="BY70" i="8"/>
  <c r="CQ70" i="8" s="1"/>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Z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U69" i="8"/>
  <c r="B69" i="14"/>
  <c r="CE69" i="8"/>
  <c r="DH71" i="8"/>
  <c r="DI71" i="8" s="1"/>
  <c r="CK71" i="8"/>
  <c r="BW71" i="8"/>
  <c r="AC71" i="1" s="1"/>
  <c r="BH71" i="8"/>
  <c r="BU71" i="8" s="1"/>
  <c r="BI71" i="8"/>
  <c r="AH82" i="9"/>
  <c r="DB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N83" i="9" l="1"/>
  <c r="BK84" i="11" s="1"/>
  <c r="AI84" i="11" s="1"/>
  <c r="CX69" i="8"/>
  <c r="CY69" i="8" s="1"/>
  <c r="CV70" i="8"/>
  <c r="CW70" i="8" s="1"/>
  <c r="AS70" i="8"/>
  <c r="AQ98" i="9"/>
  <c r="CM98" i="8" s="1"/>
  <c r="AO71" i="5"/>
  <c r="AM71" i="5"/>
  <c r="AN71" i="5"/>
  <c r="AR71" i="5" s="1"/>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U70" i="8"/>
  <c r="F79" i="8"/>
  <c r="BP75" i="5" a="1"/>
  <c r="BP75" i="5" s="1"/>
  <c r="J75" i="2" s="1"/>
  <c r="DH72" i="8"/>
  <c r="DI72" i="8" s="1"/>
  <c r="O80" i="1"/>
  <c r="BX71" i="8"/>
  <c r="CD71" i="8" s="1"/>
  <c r="BT71" i="8"/>
  <c r="BO71" i="8"/>
  <c r="BP71" i="8"/>
  <c r="BM71" i="8"/>
  <c r="BN71" i="8"/>
  <c r="BK71" i="8"/>
  <c r="BL71" i="8"/>
  <c r="BJ71" i="8"/>
  <c r="AC71" i="10"/>
  <c r="X71" i="10" s="1"/>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Z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CQ71" i="8" s="1"/>
  <c r="BZ71" i="8"/>
  <c r="CR71" i="8" s="1"/>
  <c r="CC71" i="8"/>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N84" i="9" l="1"/>
  <c r="BK85" i="11" s="1"/>
  <c r="AI85" i="11" s="1"/>
  <c r="CX70" i="8"/>
  <c r="CY70" i="8" s="1"/>
  <c r="CV71" i="8"/>
  <c r="CW71" i="8" s="1"/>
  <c r="AS71" i="8"/>
  <c r="AQ99" i="9"/>
  <c r="CM99" i="8" s="1"/>
  <c r="AO72" i="5"/>
  <c r="AM72" i="5"/>
  <c r="AN72" i="5"/>
  <c r="AR72" i="5" s="1"/>
  <c r="AV73" i="5"/>
  <c r="AW73" i="5"/>
  <c r="AG72"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R72" i="8" s="1"/>
  <c r="CH72" i="8"/>
  <c r="CZ72" i="8" s="1"/>
  <c r="BY72" i="8"/>
  <c r="CQ72" i="8" s="1"/>
  <c r="D73" i="9"/>
  <c r="N72" i="7"/>
  <c r="AD71" i="11"/>
  <c r="AI71" i="1" s="1"/>
  <c r="AB71" i="11"/>
  <c r="Q71" i="8" s="1"/>
  <c r="CB72" i="8"/>
  <c r="CT72" i="8" s="1"/>
  <c r="CC72" i="8"/>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Z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U71" i="8"/>
  <c r="AH84" i="9"/>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N85" i="9" l="1"/>
  <c r="BK86" i="11" s="1"/>
  <c r="AI86" i="11" s="1"/>
  <c r="CX71" i="8"/>
  <c r="CY71" i="8" s="1"/>
  <c r="CV72" i="8"/>
  <c r="CW72" i="8" s="1"/>
  <c r="AS72" i="8"/>
  <c r="AQ100" i="9"/>
  <c r="CM100" i="8" s="1"/>
  <c r="AO73" i="5"/>
  <c r="AM73" i="5"/>
  <c r="AN73" i="5"/>
  <c r="AR73" i="5" s="1"/>
  <c r="AV74" i="5"/>
  <c r="AW74" i="5"/>
  <c r="AI72" i="7"/>
  <c r="AG73" i="7"/>
  <c r="CL74"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U72" i="8"/>
  <c r="F81" i="8"/>
  <c r="BP77" i="5" a="1"/>
  <c r="BP77" i="5" s="1"/>
  <c r="J77" i="2" s="1"/>
  <c r="O82" i="1"/>
  <c r="CE72" i="8"/>
  <c r="BX73" i="8"/>
  <c r="CD73" i="8" s="1"/>
  <c r="BT73" i="8"/>
  <c r="BO73" i="8"/>
  <c r="BP73" i="8"/>
  <c r="BM73" i="8"/>
  <c r="BN73" i="8"/>
  <c r="BK73" i="8"/>
  <c r="BL73" i="8"/>
  <c r="BJ73" i="8"/>
  <c r="AC73" i="10"/>
  <c r="X73" i="10" s="1"/>
  <c r="AS77" i="5"/>
  <c r="AH77" i="11"/>
  <c r="CA73" i="8"/>
  <c r="CC73" i="8"/>
  <c r="CB73" i="8"/>
  <c r="CT73" i="8" s="1"/>
  <c r="BY73" i="8"/>
  <c r="CQ73" i="8" s="1"/>
  <c r="BZ73" i="8"/>
  <c r="CR73" i="8" s="1"/>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Z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N86" i="9" l="1"/>
  <c r="BK87" i="11" s="1"/>
  <c r="AI87" i="11" s="1"/>
  <c r="CX72" i="8"/>
  <c r="CY72" i="8" s="1"/>
  <c r="CV73" i="8"/>
  <c r="CW73" i="8" s="1"/>
  <c r="AS73" i="8"/>
  <c r="AQ101" i="9"/>
  <c r="CM101" i="8" s="1"/>
  <c r="AO74" i="5"/>
  <c r="AM74" i="5"/>
  <c r="AN74" i="5"/>
  <c r="AR74" i="5" s="1"/>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U73" i="8"/>
  <c r="BP78" i="5" a="1"/>
  <c r="BP78" i="5" s="1"/>
  <c r="J78" i="2" s="1"/>
  <c r="O83" i="1"/>
  <c r="CE73" i="8"/>
  <c r="BX74" i="8"/>
  <c r="CD74" i="8" s="1"/>
  <c r="BT74" i="8"/>
  <c r="BO74" i="8"/>
  <c r="BP74" i="8"/>
  <c r="BM74" i="8"/>
  <c r="BN74" i="8"/>
  <c r="BK74" i="8"/>
  <c r="BL74" i="8"/>
  <c r="BJ74" i="8"/>
  <c r="AC74" i="10"/>
  <c r="X74" i="10" s="1"/>
  <c r="AS78" i="5"/>
  <c r="CK75"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Z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CQ74" i="8" s="1"/>
  <c r="BZ74" i="8"/>
  <c r="CR74" i="8" s="1"/>
  <c r="CA74" i="8"/>
  <c r="CC74" i="8"/>
  <c r="CH74" i="8"/>
  <c r="CZ74" i="8" s="1"/>
  <c r="C77" i="5"/>
  <c r="DA76" i="5"/>
  <c r="DG76" i="5" s="1" a="1"/>
  <c r="DG76" i="5" s="1"/>
  <c r="AB77" i="1"/>
  <c r="DI77" i="5"/>
  <c r="AG86" i="9"/>
  <c r="AK86" i="9"/>
  <c r="L55" i="11"/>
  <c r="AV55" i="8"/>
  <c r="B60" i="14"/>
  <c r="N62" i="1"/>
  <c r="S79" i="2"/>
  <c r="N80" i="2"/>
  <c r="R80" i="2"/>
  <c r="Q79" i="2"/>
  <c r="P81" i="2"/>
  <c r="J81" i="10"/>
  <c r="N81" i="5" s="1"/>
  <c r="AN87" i="9" l="1"/>
  <c r="BK88" i="11" s="1"/>
  <c r="AI88" i="11" s="1"/>
  <c r="CX73" i="8"/>
  <c r="CY73" i="8" s="1"/>
  <c r="CV74" i="8"/>
  <c r="CW74" i="8" s="1"/>
  <c r="AS74" i="8"/>
  <c r="AQ102" i="9"/>
  <c r="CM102" i="8" s="1"/>
  <c r="AO75" i="5"/>
  <c r="AM75" i="5"/>
  <c r="AN75" i="5"/>
  <c r="AR75" i="5" s="1"/>
  <c r="AV76" i="5"/>
  <c r="AW76" i="5"/>
  <c r="AG75" i="7"/>
  <c r="AG74" i="7"/>
  <c r="AI74" i="7" s="1"/>
  <c r="CL76" i="8"/>
  <c r="BY75" i="8"/>
  <c r="CQ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R75" i="8" s="1"/>
  <c r="CH75" i="8"/>
  <c r="CZ75" i="8" s="1"/>
  <c r="CC75" i="8"/>
  <c r="CB75" i="8"/>
  <c r="CT75" i="8" s="1"/>
  <c r="CA75" i="8"/>
  <c r="CI75" i="8"/>
  <c r="DA75" i="8" s="1"/>
  <c r="B78" i="5"/>
  <c r="BU78" i="5"/>
  <c r="AH78" i="5"/>
  <c r="B78" i="2"/>
  <c r="B78" i="1"/>
  <c r="BG78" i="1" s="1"/>
  <c r="BZ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U74" i="8"/>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AB78" i="1"/>
  <c r="DI78" i="5"/>
  <c r="C78" i="5"/>
  <c r="DA77" i="5"/>
  <c r="DG77" i="5" s="1" a="1"/>
  <c r="DG77" i="5" s="1"/>
  <c r="AH55" i="5"/>
  <c r="BU55" i="5"/>
  <c r="AG87" i="9"/>
  <c r="AK87" i="9"/>
  <c r="B55" i="2"/>
  <c r="B55" i="1"/>
  <c r="BG55" i="1" s="1"/>
  <c r="B66" i="14"/>
  <c r="N63" i="1"/>
  <c r="S80" i="2"/>
  <c r="N81" i="2"/>
  <c r="R81" i="2"/>
  <c r="Q80" i="2"/>
  <c r="P82" i="2"/>
  <c r="J82" i="10"/>
  <c r="N82" i="5" s="1"/>
  <c r="AN88" i="9" l="1"/>
  <c r="BK89" i="11" s="1"/>
  <c r="AI89" i="11" s="1"/>
  <c r="CX74" i="8"/>
  <c r="CY74" i="8" s="1"/>
  <c r="CV75" i="8"/>
  <c r="CW75" i="8" s="1"/>
  <c r="CU75" i="8"/>
  <c r="AS75" i="8"/>
  <c r="AQ103" i="9"/>
  <c r="CM103" i="8" s="1"/>
  <c r="AO76" i="5"/>
  <c r="AM76" i="5"/>
  <c r="AN76" i="5"/>
  <c r="AR76" i="5" s="1"/>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BT76" i="8"/>
  <c r="BO76" i="8"/>
  <c r="BP76" i="8"/>
  <c r="BM76" i="8"/>
  <c r="BN76" i="8"/>
  <c r="BK76" i="8"/>
  <c r="BL76" i="8"/>
  <c r="BJ76" i="8"/>
  <c r="AC76" i="10"/>
  <c r="X76" i="10"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S75" i="8"/>
  <c r="F78" i="5"/>
  <c r="AH79" i="5"/>
  <c r="BU79" i="5"/>
  <c r="B79" i="2"/>
  <c r="B79" i="1"/>
  <c r="BG79" i="1" s="1"/>
  <c r="CS74" i="8"/>
  <c r="BZ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H76" i="8"/>
  <c r="CZ76" i="8" s="1"/>
  <c r="BY76" i="8"/>
  <c r="CQ76" i="8" s="1"/>
  <c r="BZ76" i="8"/>
  <c r="CR76" i="8" s="1"/>
  <c r="CB76" i="8"/>
  <c r="CT76" i="8" s="1"/>
  <c r="AE76" i="7"/>
  <c r="AF76" i="7" s="1"/>
  <c r="Q76" i="7"/>
  <c r="DA78" i="5"/>
  <c r="DG78" i="5" s="1" a="1"/>
  <c r="DG78" i="5" s="1"/>
  <c r="AB79" i="1"/>
  <c r="DI79" i="5"/>
  <c r="AG88" i="9"/>
  <c r="AK88" i="9"/>
  <c r="L35" i="11"/>
  <c r="AV35" i="8"/>
  <c r="B71" i="14"/>
  <c r="N64" i="1"/>
  <c r="S81" i="2"/>
  <c r="N82" i="2"/>
  <c r="R82" i="2"/>
  <c r="Q81" i="2"/>
  <c r="P83" i="2"/>
  <c r="J83" i="10"/>
  <c r="N83" i="5" s="1"/>
  <c r="AN89" i="9" l="1"/>
  <c r="BK90" i="11" s="1"/>
  <c r="AI90" i="11" s="1"/>
  <c r="CX75" i="8"/>
  <c r="CY75" i="8" s="1"/>
  <c r="CV76" i="8"/>
  <c r="CW76" i="8" s="1"/>
  <c r="AS76" i="8"/>
  <c r="AQ104" i="9"/>
  <c r="CM104" i="8" s="1"/>
  <c r="AO77" i="5"/>
  <c r="AM77" i="5"/>
  <c r="AN77" i="5"/>
  <c r="AR77" i="5" s="1"/>
  <c r="AV78" i="5"/>
  <c r="AW78" i="5"/>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CX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CQ77" i="8" s="1"/>
  <c r="AE77" i="7"/>
  <c r="AF77" i="7" s="1"/>
  <c r="AA76" i="11"/>
  <c r="AK76" i="1" s="1"/>
  <c r="Z76" i="11"/>
  <c r="AD76" i="11"/>
  <c r="AI76" i="1" s="1"/>
  <c r="N77" i="11"/>
  <c r="AC76" i="11"/>
  <c r="N77" i="7"/>
  <c r="D78" i="9"/>
  <c r="A78" i="10"/>
  <c r="AA78" i="10" s="1"/>
  <c r="CA77" i="8"/>
  <c r="CC77" i="8"/>
  <c r="BT78" i="5"/>
  <c r="CB77" i="8"/>
  <c r="CT77" i="8" s="1"/>
  <c r="AJ78" i="5"/>
  <c r="AP78" i="5" s="1"/>
  <c r="AC78" i="8"/>
  <c r="BQ78" i="8" s="1"/>
  <c r="BZ77" i="8"/>
  <c r="CR77" i="8" s="1"/>
  <c r="DH78" i="8"/>
  <c r="DI78" i="8" s="1"/>
  <c r="E78" i="1"/>
  <c r="B80" i="5"/>
  <c r="B78" i="7"/>
  <c r="AE78" i="7" s="1"/>
  <c r="AF78" i="7" s="1"/>
  <c r="B78" i="9"/>
  <c r="Y78" i="9" s="1"/>
  <c r="A78" i="11"/>
  <c r="AC77" i="11" s="1"/>
  <c r="U77" i="8" s="1"/>
  <c r="AI78" i="5"/>
  <c r="BH78" i="8"/>
  <c r="BU78" i="8" s="1"/>
  <c r="CK78" i="8"/>
  <c r="X78" i="8"/>
  <c r="DD78" i="8" s="1"/>
  <c r="BI78" i="8"/>
  <c r="BZ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U76" i="8"/>
  <c r="CE76" i="8"/>
  <c r="AH89" i="9"/>
  <c r="D83" i="4"/>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N90" i="9" l="1"/>
  <c r="BK91" i="11" s="1"/>
  <c r="AI91" i="11" s="1"/>
  <c r="CX76" i="8"/>
  <c r="CY76" i="8" s="1"/>
  <c r="CV77" i="8"/>
  <c r="CW77" i="8" s="1"/>
  <c r="AS77" i="8"/>
  <c r="AQ105" i="9"/>
  <c r="CM105" i="8" s="1"/>
  <c r="AO78" i="5"/>
  <c r="AM78" i="5"/>
  <c r="AN78" i="5"/>
  <c r="AR78" i="5" s="1"/>
  <c r="AV79" i="5"/>
  <c r="AW79" i="5"/>
  <c r="AG77" i="7"/>
  <c r="AI77" i="7" s="1"/>
  <c r="AG78" i="7"/>
  <c r="CL79" i="8"/>
  <c r="C24" i="4"/>
  <c r="F41" i="4" s="1"/>
  <c r="DB77" i="8"/>
  <c r="CC78" i="8"/>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U77" i="8"/>
  <c r="F86" i="8"/>
  <c r="BP82" i="5" a="1"/>
  <c r="BP82" i="5" s="1"/>
  <c r="J82" i="2" s="1"/>
  <c r="O87" i="1"/>
  <c r="F42" i="4"/>
  <c r="F40" i="4"/>
  <c r="CD77" i="8"/>
  <c r="BX78" i="8"/>
  <c r="CE78" i="8" s="1"/>
  <c r="CX78" i="8" s="1"/>
  <c r="BT78" i="8"/>
  <c r="BO78" i="8"/>
  <c r="BP78" i="8"/>
  <c r="BM78" i="8"/>
  <c r="BN78" i="8"/>
  <c r="BK78" i="8"/>
  <c r="BL78" i="8"/>
  <c r="BJ78" i="8"/>
  <c r="AC78" i="10"/>
  <c r="X78" i="10" s="1"/>
  <c r="AS82" i="5"/>
  <c r="CH78" i="8"/>
  <c r="CZ78" i="8" s="1"/>
  <c r="CA78" i="8"/>
  <c r="BZ78" i="8"/>
  <c r="CR78" i="8" s="1"/>
  <c r="DF81" i="5"/>
  <c r="CB78" i="8"/>
  <c r="CT78" i="8" s="1"/>
  <c r="BY78" i="8"/>
  <c r="CQ78" i="8" s="1"/>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N78" i="7"/>
  <c r="N78" i="11"/>
  <c r="CS76" i="8"/>
  <c r="D79" i="9"/>
  <c r="Q78" i="7"/>
  <c r="Z77" i="11"/>
  <c r="AD77" i="11"/>
  <c r="AI77" i="1" s="1"/>
  <c r="Y77" i="11"/>
  <c r="AH77" i="1" s="1"/>
  <c r="AA77" i="11"/>
  <c r="AK77" i="1" s="1"/>
  <c r="AB77" i="11"/>
  <c r="Q77" i="8" s="1"/>
  <c r="B81" i="5"/>
  <c r="B81" i="2"/>
  <c r="B81" i="1"/>
  <c r="BG81" i="1" s="1"/>
  <c r="AH81" i="5"/>
  <c r="BU81" i="5"/>
  <c r="BZ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N91" i="9" l="1"/>
  <c r="BK92" i="11" s="1"/>
  <c r="AI92" i="11" s="1"/>
  <c r="CV78" i="8"/>
  <c r="CW78" i="8" s="1"/>
  <c r="AS78" i="8"/>
  <c r="AQ106" i="9"/>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Y77" i="8"/>
  <c r="CU78" i="8"/>
  <c r="F87" i="8"/>
  <c r="BP83" i="5" a="1"/>
  <c r="BP83" i="5" s="1"/>
  <c r="J83" i="2" s="1"/>
  <c r="O88" i="1"/>
  <c r="CD78" i="8"/>
  <c r="AH83" i="11"/>
  <c r="BT79" i="8"/>
  <c r="BU79" i="8"/>
  <c r="BO79" i="8"/>
  <c r="BP79" i="8"/>
  <c r="BM79" i="8"/>
  <c r="BN79" i="8"/>
  <c r="BK79" i="8"/>
  <c r="BL79" i="8"/>
  <c r="BJ79" i="8"/>
  <c r="AC79" i="10"/>
  <c r="X79" i="10" s="1"/>
  <c r="AS83" i="5"/>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Z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R79" i="8" s="1"/>
  <c r="CA79" i="8"/>
  <c r="CC79" i="8"/>
  <c r="CH79" i="8"/>
  <c r="CZ79" i="8" s="1"/>
  <c r="CB79" i="8"/>
  <c r="CT79" i="8" s="1"/>
  <c r="BY79" i="8"/>
  <c r="CQ79" i="8" s="1"/>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N92" i="9" l="1"/>
  <c r="BK93" i="11" s="1"/>
  <c r="AI93" i="11" s="1"/>
  <c r="CV79" i="8"/>
  <c r="CW79" i="8" s="1"/>
  <c r="AS79" i="8"/>
  <c r="AQ107" i="9"/>
  <c r="CM107" i="8" s="1"/>
  <c r="AO80" i="5"/>
  <c r="AM80" i="5"/>
  <c r="AN80" i="5"/>
  <c r="AV81" i="5"/>
  <c r="AW81" i="5"/>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Y78" i="8"/>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Z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U79" i="8"/>
  <c r="CE79" i="8"/>
  <c r="D81" i="9"/>
  <c r="DH81" i="8"/>
  <c r="DI81" i="8" s="1"/>
  <c r="CK81" i="8"/>
  <c r="BW81" i="8"/>
  <c r="AC81" i="1" s="1"/>
  <c r="N80" i="7"/>
  <c r="BH81" i="8"/>
  <c r="BU81" i="8" s="1"/>
  <c r="BI81" i="8"/>
  <c r="AH92" i="9"/>
  <c r="C82" i="5"/>
  <c r="F82" i="5" s="1"/>
  <c r="B79" i="14"/>
  <c r="CB80" i="8"/>
  <c r="CT80" i="8" s="1"/>
  <c r="CC80" i="8"/>
  <c r="CH80" i="8"/>
  <c r="CZ80" i="8" s="1"/>
  <c r="CA80" i="8"/>
  <c r="BY80" i="8"/>
  <c r="CQ80" i="8" s="1"/>
  <c r="BZ80" i="8"/>
  <c r="CR80" i="8" s="1"/>
  <c r="AQ79" i="5"/>
  <c r="CI80" i="8"/>
  <c r="DA80" i="8" s="1"/>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DA82" i="5"/>
  <c r="DG82" i="5" s="1" a="1"/>
  <c r="DG82" i="5" s="1"/>
  <c r="AB83" i="1"/>
  <c r="DI83" i="5"/>
  <c r="AG92" i="9"/>
  <c r="AK92" i="9"/>
  <c r="N68" i="1"/>
  <c r="S85" i="2"/>
  <c r="N86" i="2"/>
  <c r="R86" i="2"/>
  <c r="Q85" i="2"/>
  <c r="J87" i="10"/>
  <c r="N87" i="5" s="1"/>
  <c r="P87" i="2"/>
  <c r="AN93" i="9" l="1"/>
  <c r="BK94" i="11" s="1"/>
  <c r="AI94" i="11" s="1"/>
  <c r="CX79" i="8"/>
  <c r="CY79" i="8" s="1"/>
  <c r="CV80" i="8"/>
  <c r="CW80" i="8" s="1"/>
  <c r="AS80" i="8"/>
  <c r="AQ108" i="9"/>
  <c r="CM108" i="8" s="1"/>
  <c r="AO81" i="5"/>
  <c r="AM81" i="5"/>
  <c r="AN81" i="5"/>
  <c r="AR81" i="5" s="1"/>
  <c r="AV82" i="5"/>
  <c r="AW82" i="5"/>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Z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U80" i="8"/>
  <c r="D82" i="9"/>
  <c r="DH82" i="8"/>
  <c r="DI82" i="8" s="1"/>
  <c r="CK82" i="8"/>
  <c r="BW82" i="8"/>
  <c r="AC82" i="1" s="1"/>
  <c r="N81" i="7"/>
  <c r="BH82" i="8"/>
  <c r="BU82" i="8" s="1"/>
  <c r="BI82" i="8"/>
  <c r="AH93" i="9"/>
  <c r="C83" i="5"/>
  <c r="F83" i="5" s="1"/>
  <c r="DB80" i="8"/>
  <c r="BY81" i="8"/>
  <c r="CQ81" i="8" s="1"/>
  <c r="CH81" i="8"/>
  <c r="CZ81" i="8" s="1"/>
  <c r="BZ81" i="8"/>
  <c r="CR81" i="8" s="1"/>
  <c r="CC81" i="8"/>
  <c r="CA81" i="8"/>
  <c r="CB81" i="8"/>
  <c r="CT81" i="8" s="1"/>
  <c r="AQ80" i="5"/>
  <c r="Q81" i="7"/>
  <c r="AE81" i="7"/>
  <c r="AF81" i="7" s="1"/>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N94" i="9" l="1"/>
  <c r="BK95" i="11" s="1"/>
  <c r="AI95" i="11" s="1"/>
  <c r="CX80" i="8"/>
  <c r="CY80" i="8" s="1"/>
  <c r="CV81" i="8"/>
  <c r="CW81" i="8" s="1"/>
  <c r="AS81" i="8"/>
  <c r="AQ109" i="9"/>
  <c r="CM109" i="8" s="1"/>
  <c r="AO82" i="5"/>
  <c r="AM82" i="5"/>
  <c r="AN82" i="5"/>
  <c r="AR82" i="5" s="1"/>
  <c r="AV83" i="5"/>
  <c r="AW83" i="5"/>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BX82" i="8"/>
  <c r="CE82" i="8" s="1"/>
  <c r="CX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Z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U81" i="8"/>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Z85" i="5"/>
  <c r="DB81" i="8"/>
  <c r="AA81" i="11"/>
  <c r="AK81" i="1" s="1"/>
  <c r="AB81" i="11"/>
  <c r="Q81" i="8" s="1"/>
  <c r="Z81" i="11"/>
  <c r="Y81" i="11"/>
  <c r="AH81" i="1" s="1"/>
  <c r="AC81" i="11"/>
  <c r="U81" i="8" s="1"/>
  <c r="AD81" i="11"/>
  <c r="AI81" i="1" s="1"/>
  <c r="N82" i="11"/>
  <c r="AE82" i="7"/>
  <c r="AF82" i="7" s="1"/>
  <c r="Q82" i="7"/>
  <c r="B81" i="14"/>
  <c r="CA82" i="8"/>
  <c r="CB82" i="8"/>
  <c r="CT82" i="8" s="1"/>
  <c r="BY82" i="8"/>
  <c r="CQ82" i="8" s="1"/>
  <c r="BZ82" i="8"/>
  <c r="CR82" i="8" s="1"/>
  <c r="CC82" i="8"/>
  <c r="CH82" i="8"/>
  <c r="CZ82" i="8" s="1"/>
  <c r="C85" i="5"/>
  <c r="DA84" i="5"/>
  <c r="DG84" i="5" s="1" a="1"/>
  <c r="DG84" i="5" s="1"/>
  <c r="AB85" i="1"/>
  <c r="DI85" i="5"/>
  <c r="AG94" i="9"/>
  <c r="AK94" i="9"/>
  <c r="N70" i="1"/>
  <c r="S87" i="2"/>
  <c r="N88" i="2"/>
  <c r="R88" i="2"/>
  <c r="Q87" i="2"/>
  <c r="P89" i="2"/>
  <c r="J89" i="10"/>
  <c r="N89" i="5" s="1"/>
  <c r="AN95" i="9" l="1"/>
  <c r="BK96" i="11" s="1"/>
  <c r="AI96" i="11" s="1"/>
  <c r="CX81" i="8"/>
  <c r="CY81" i="8" s="1"/>
  <c r="CV82" i="8"/>
  <c r="CW82" i="8" s="1"/>
  <c r="AS82" i="8"/>
  <c r="AQ110" i="9"/>
  <c r="CM110" i="8" s="1"/>
  <c r="AO83" i="5"/>
  <c r="AM83" i="5"/>
  <c r="AN83" i="5"/>
  <c r="AR83" i="5" s="1"/>
  <c r="AV84" i="5"/>
  <c r="AW84" i="5"/>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CX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Z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U82" i="8"/>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CQ83" i="8" s="1"/>
  <c r="BZ83" i="8"/>
  <c r="CR83" i="8" s="1"/>
  <c r="CC83" i="8"/>
  <c r="CA83" i="8"/>
  <c r="CH83" i="8"/>
  <c r="CZ83" i="8" s="1"/>
  <c r="CB83" i="8"/>
  <c r="CT83" i="8" s="1"/>
  <c r="Q83" i="7"/>
  <c r="AE83" i="7"/>
  <c r="AF83" i="7" s="1"/>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N96" i="9" l="1"/>
  <c r="BK97" i="11" s="1"/>
  <c r="AI97" i="11" s="1"/>
  <c r="CV83" i="8"/>
  <c r="CW83" i="8" s="1"/>
  <c r="AS83" i="8"/>
  <c r="AQ111" i="9"/>
  <c r="CM111" i="8" s="1"/>
  <c r="AO84" i="5"/>
  <c r="AM84" i="5"/>
  <c r="AN84" i="5"/>
  <c r="AR84" i="5" s="1"/>
  <c r="AV85" i="5"/>
  <c r="AW85" i="5"/>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Y82" i="8"/>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Z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U83" i="8"/>
  <c r="D85" i="9"/>
  <c r="N84" i="7"/>
  <c r="AH96" i="9"/>
  <c r="AQ83" i="5"/>
  <c r="DB83" i="8"/>
  <c r="B83" i="14"/>
  <c r="CI84" i="8"/>
  <c r="DA84" i="8" s="1"/>
  <c r="Y83" i="11"/>
  <c r="AH83" i="1" s="1"/>
  <c r="Z83" i="11"/>
  <c r="AA83" i="11"/>
  <c r="AK83" i="1" s="1"/>
  <c r="AC83" i="11"/>
  <c r="U83" i="8" s="1"/>
  <c r="AB83" i="11"/>
  <c r="Q83" i="8" s="1"/>
  <c r="N84" i="11"/>
  <c r="AD83" i="11"/>
  <c r="AI83" i="1" s="1"/>
  <c r="C86" i="5"/>
  <c r="F86" i="5" s="1"/>
  <c r="BY84" i="8"/>
  <c r="CQ84" i="8" s="1"/>
  <c r="BZ84" i="8"/>
  <c r="CR84" i="8" s="1"/>
  <c r="CH84" i="8"/>
  <c r="CZ84" i="8" s="1"/>
  <c r="CC84" i="8"/>
  <c r="CB84" i="8"/>
  <c r="CT84" i="8" s="1"/>
  <c r="CA84" i="8"/>
  <c r="CZ87" i="5"/>
  <c r="AE84" i="7"/>
  <c r="AF84" i="7" s="1"/>
  <c r="Q84" i="7"/>
  <c r="C87" i="5"/>
  <c r="DA86" i="5"/>
  <c r="DG86" i="5" s="1" a="1"/>
  <c r="DG86" i="5" s="1"/>
  <c r="DI87" i="5"/>
  <c r="AB87" i="1"/>
  <c r="AG96" i="9"/>
  <c r="AK96" i="9"/>
  <c r="N72" i="1"/>
  <c r="S89" i="2"/>
  <c r="N90" i="2"/>
  <c r="R90" i="2"/>
  <c r="Q89" i="2"/>
  <c r="J91" i="10"/>
  <c r="N91" i="5" s="1"/>
  <c r="P91" i="2"/>
  <c r="AN97" i="9" l="1"/>
  <c r="BK98" i="11" s="1"/>
  <c r="AI98" i="11" s="1"/>
  <c r="CV84" i="8"/>
  <c r="CW84" i="8" s="1"/>
  <c r="AS84" i="8"/>
  <c r="AQ112" i="9"/>
  <c r="CM112" i="8" s="1"/>
  <c r="AO85" i="5"/>
  <c r="AM85" i="5"/>
  <c r="AN85" i="5"/>
  <c r="AR85" i="5" s="1"/>
  <c r="AV86" i="5"/>
  <c r="AW86" i="5"/>
  <c r="AG85" i="7"/>
  <c r="AG84" i="7"/>
  <c r="AI84" i="7" s="1"/>
  <c r="CL86" i="8"/>
  <c r="BZ85" i="8"/>
  <c r="CR85" i="8" s="1"/>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3" i="8"/>
  <c r="F93" i="8"/>
  <c r="BP89" i="5" a="1"/>
  <c r="BP89" i="5" s="1"/>
  <c r="J89" i="2" s="1"/>
  <c r="O94" i="1"/>
  <c r="CE84" i="8"/>
  <c r="BX85" i="8"/>
  <c r="CE85" i="8" s="1"/>
  <c r="CX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Q85" i="8" s="1"/>
  <c r="CA85" i="8"/>
  <c r="CC85" i="8"/>
  <c r="CH85" i="8"/>
  <c r="CZ85" i="8" s="1"/>
  <c r="AC84" i="11"/>
  <c r="U84" i="8" s="1"/>
  <c r="AB84" i="11"/>
  <c r="Q84" i="8" s="1"/>
  <c r="N85" i="7"/>
  <c r="CI85" i="8"/>
  <c r="DA85" i="8" s="1"/>
  <c r="D86" i="9"/>
  <c r="Z84" i="11"/>
  <c r="AA84" i="11"/>
  <c r="AK84" i="1" s="1"/>
  <c r="N85" i="11"/>
  <c r="AD84" i="11"/>
  <c r="AI84" i="1" s="1"/>
  <c r="Q85" i="7"/>
  <c r="B85" i="14"/>
  <c r="AH88" i="5"/>
  <c r="BU88" i="5"/>
  <c r="B88" i="2"/>
  <c r="B88" i="1"/>
  <c r="BG88" i="1" s="1"/>
  <c r="BZ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U84" i="8"/>
  <c r="DH86" i="8"/>
  <c r="DI86" i="8" s="1"/>
  <c r="CK86" i="8"/>
  <c r="BW86" i="8"/>
  <c r="AC86" i="1" s="1"/>
  <c r="BH86" i="8"/>
  <c r="BU86" i="8" s="1"/>
  <c r="BI86" i="8"/>
  <c r="AH97" i="9"/>
  <c r="DB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N98" i="9" l="1"/>
  <c r="BK99" i="11" s="1"/>
  <c r="AI99" i="11" s="1"/>
  <c r="CX84" i="8"/>
  <c r="CY84" i="8" s="1"/>
  <c r="CV85" i="8"/>
  <c r="CW85" i="8" s="1"/>
  <c r="AS85" i="8"/>
  <c r="AI85" i="7"/>
  <c r="AQ113" i="9"/>
  <c r="CM113" i="8" s="1"/>
  <c r="AO86" i="5"/>
  <c r="AM86" i="5"/>
  <c r="AN86" i="5"/>
  <c r="AR86" i="5" s="1"/>
  <c r="AV87" i="5"/>
  <c r="AW87" i="5"/>
  <c r="CL87"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U85" i="8"/>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Z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CQ86" i="8" s="1"/>
  <c r="BZ86" i="8"/>
  <c r="CR86" i="8" s="1"/>
  <c r="CH86" i="8"/>
  <c r="CZ86" i="8" s="1"/>
  <c r="CC86" i="8"/>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N99" i="9" l="1"/>
  <c r="BK100" i="11" s="1"/>
  <c r="AI100" i="11" s="1"/>
  <c r="CV86" i="8"/>
  <c r="CW86" i="8" s="1"/>
  <c r="AS86" i="8"/>
  <c r="AQ114" i="9"/>
  <c r="CM114" i="8" s="1"/>
  <c r="AO87" i="5"/>
  <c r="AM87" i="5"/>
  <c r="AN87" i="5"/>
  <c r="AR87" i="5" s="1"/>
  <c r="AV88" i="5"/>
  <c r="AW88" i="5"/>
  <c r="AG86" i="7"/>
  <c r="AI86" i="7" s="1"/>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Y85" i="8"/>
  <c r="F95" i="8"/>
  <c r="BP87" i="8"/>
  <c r="BO87" i="8"/>
  <c r="N87" i="7"/>
  <c r="BJ87" i="8"/>
  <c r="BM87" i="8"/>
  <c r="BL87" i="8"/>
  <c r="BK87" i="8"/>
  <c r="BP91" i="5" a="1"/>
  <c r="BP91" i="5" s="1"/>
  <c r="J91" i="2" s="1"/>
  <c r="BN87" i="8"/>
  <c r="O96" i="1"/>
  <c r="CE86" i="8"/>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BY87" i="8"/>
  <c r="CQ87" i="8" s="1"/>
  <c r="BZ87" i="8"/>
  <c r="CR87" i="8" s="1"/>
  <c r="CH87" i="8"/>
  <c r="CZ87" i="8" s="1"/>
  <c r="B90" i="5"/>
  <c r="BU90" i="5"/>
  <c r="AH90" i="5"/>
  <c r="B90" i="2"/>
  <c r="B90" i="1"/>
  <c r="BG90" i="1" s="1"/>
  <c r="BZ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U86" i="8"/>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AB90" i="1"/>
  <c r="DI90" i="5"/>
  <c r="DA89" i="5"/>
  <c r="DG89" i="5" s="1" a="1"/>
  <c r="DG89" i="5" s="1"/>
  <c r="AG99" i="9"/>
  <c r="AK99" i="9"/>
  <c r="AF1269" i="14"/>
  <c r="AF1270" i="14" s="1"/>
  <c r="N75" i="1"/>
  <c r="S92" i="2"/>
  <c r="N93" i="2"/>
  <c r="R93" i="2"/>
  <c r="Q92" i="2"/>
  <c r="J94" i="10"/>
  <c r="N94" i="5" s="1"/>
  <c r="P94" i="2"/>
  <c r="AN100" i="9" l="1"/>
  <c r="BK101" i="11" s="1"/>
  <c r="AI101" i="11" s="1"/>
  <c r="CX86" i="8"/>
  <c r="CY86" i="8" s="1"/>
  <c r="CV87" i="8"/>
  <c r="CW87" i="8" s="1"/>
  <c r="AS87" i="8"/>
  <c r="AQ115" i="9"/>
  <c r="CM115" i="8" s="1"/>
  <c r="AO88" i="5"/>
  <c r="AM88" i="5"/>
  <c r="AN88" i="5"/>
  <c r="AR88" i="5" s="1"/>
  <c r="AV89" i="5"/>
  <c r="AW89" i="5"/>
  <c r="AI87" i="7"/>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U87" i="8"/>
  <c r="F96" i="8"/>
  <c r="BP92" i="5" a="1"/>
  <c r="BP92" i="5" s="1"/>
  <c r="J92" i="2" s="1"/>
  <c r="O97" i="1"/>
  <c r="CE87" i="8"/>
  <c r="BT88" i="8"/>
  <c r="BO88" i="8"/>
  <c r="BP88" i="8"/>
  <c r="BM88" i="8"/>
  <c r="BN88" i="8"/>
  <c r="BK88" i="8"/>
  <c r="BL88" i="8"/>
  <c r="BJ88" i="8"/>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Z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CQ88" i="8" s="1"/>
  <c r="BZ88" i="8"/>
  <c r="CR88" i="8" s="1"/>
  <c r="CA88" i="8"/>
  <c r="CC88" i="8"/>
  <c r="CH88" i="8"/>
  <c r="CZ88" i="8" s="1"/>
  <c r="CZ91" i="5"/>
  <c r="CI88" i="8"/>
  <c r="DA88" i="8" s="1"/>
  <c r="C91" i="5"/>
  <c r="DA90" i="5"/>
  <c r="DG90" i="5" s="1" a="1"/>
  <c r="DG90" i="5" s="1"/>
  <c r="AB91" i="1"/>
  <c r="DI91" i="5"/>
  <c r="AG100" i="9"/>
  <c r="AK100" i="9"/>
  <c r="N1269" i="14"/>
  <c r="N1270" i="14" s="1"/>
  <c r="N76" i="1"/>
  <c r="S93" i="2"/>
  <c r="N94" i="2"/>
  <c r="R94" i="2"/>
  <c r="Q93" i="2"/>
  <c r="J95" i="10"/>
  <c r="N95" i="5" s="1"/>
  <c r="P95" i="2"/>
  <c r="AN101" i="9" l="1"/>
  <c r="BK102" i="11" s="1"/>
  <c r="AI102" i="11" s="1"/>
  <c r="CX87" i="8"/>
  <c r="CY87" i="8" s="1"/>
  <c r="CV88" i="8"/>
  <c r="CW88" i="8" s="1"/>
  <c r="AS88" i="8"/>
  <c r="AQ116" i="9"/>
  <c r="CM116" i="8" s="1"/>
  <c r="AO89" i="5"/>
  <c r="AM89" i="5"/>
  <c r="AN89" i="5"/>
  <c r="AR89" i="5" s="1"/>
  <c r="AV90" i="5"/>
  <c r="AW90" i="5"/>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CX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Z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U88" i="8"/>
  <c r="D90" i="9"/>
  <c r="DH90" i="8"/>
  <c r="DI90" i="8" s="1"/>
  <c r="CE88" i="8"/>
  <c r="CK90" i="8"/>
  <c r="BW90" i="8"/>
  <c r="AC90" i="1" s="1"/>
  <c r="N89" i="7"/>
  <c r="BH90" i="8"/>
  <c r="BU90" i="8" s="1"/>
  <c r="BI90" i="8"/>
  <c r="AH101" i="9"/>
  <c r="AQ88" i="5"/>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Q89" i="8" s="1"/>
  <c r="CB89" i="8"/>
  <c r="CT89" i="8" s="1"/>
  <c r="BZ89" i="8"/>
  <c r="CR89" i="8" s="1"/>
  <c r="CH89" i="8"/>
  <c r="CZ89" i="8" s="1"/>
  <c r="CA89" i="8"/>
  <c r="CC89" i="8"/>
  <c r="DB88" i="8"/>
  <c r="AB92" i="1"/>
  <c r="DI92" i="5"/>
  <c r="DA91" i="5"/>
  <c r="DG91" i="5" s="1" a="1"/>
  <c r="DG91" i="5" s="1"/>
  <c r="AG101" i="9"/>
  <c r="AK101" i="9"/>
  <c r="N77" i="1"/>
  <c r="S94" i="2"/>
  <c r="N95" i="2"/>
  <c r="R95" i="2"/>
  <c r="Q94" i="2"/>
  <c r="J96" i="10"/>
  <c r="N96" i="5" s="1"/>
  <c r="P96" i="2"/>
  <c r="AN102" i="9" l="1"/>
  <c r="BK103" i="11" s="1"/>
  <c r="AI103" i="11" s="1"/>
  <c r="CX88" i="8"/>
  <c r="CY88" i="8" s="1"/>
  <c r="CV89" i="8"/>
  <c r="CW89" i="8" s="1"/>
  <c r="AS89" i="8"/>
  <c r="AQ117" i="9"/>
  <c r="CM117" i="8" s="1"/>
  <c r="AO90" i="5"/>
  <c r="AM90" i="5"/>
  <c r="AN90" i="5"/>
  <c r="AR90" i="5" s="1"/>
  <c r="AV91" i="5"/>
  <c r="AW91" i="5"/>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Z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U89" i="8"/>
  <c r="D91" i="9"/>
  <c r="BX90" i="8"/>
  <c r="CE90" i="8" s="1"/>
  <c r="CX90" i="8" s="1"/>
  <c r="N90" i="7"/>
  <c r="AH102" i="9"/>
  <c r="AQ89" i="5"/>
  <c r="C92" i="5"/>
  <c r="F92" i="5" s="1"/>
  <c r="AE90" i="7"/>
  <c r="AF90" i="7" s="1"/>
  <c r="Q90" i="7"/>
  <c r="DB89" i="8"/>
  <c r="CZ93" i="5"/>
  <c r="AC89" i="11"/>
  <c r="U89" i="8" s="1"/>
  <c r="AA89" i="11"/>
  <c r="AK89" i="1" s="1"/>
  <c r="Z89" i="11"/>
  <c r="AB89" i="11"/>
  <c r="Q89" i="8" s="1"/>
  <c r="AD89" i="11"/>
  <c r="AI89" i="1" s="1"/>
  <c r="Y89" i="11"/>
  <c r="AH89" i="1" s="1"/>
  <c r="N90" i="11"/>
  <c r="B89" i="14"/>
  <c r="CI90" i="8"/>
  <c r="DA90" i="8" s="1"/>
  <c r="CH90" i="8"/>
  <c r="CZ90" i="8" s="1"/>
  <c r="CC90" i="8"/>
  <c r="CA90" i="8"/>
  <c r="CB90" i="8"/>
  <c r="CT90" i="8" s="1"/>
  <c r="BY90" i="8"/>
  <c r="CQ90" i="8" s="1"/>
  <c r="BZ90" i="8"/>
  <c r="CR90" i="8" s="1"/>
  <c r="C93" i="5"/>
  <c r="DA92" i="5"/>
  <c r="DG92" i="5" s="1" a="1"/>
  <c r="DG92" i="5" s="1"/>
  <c r="AB93" i="1"/>
  <c r="DI93" i="5"/>
  <c r="AG102" i="9"/>
  <c r="AK102" i="9"/>
  <c r="N78" i="1"/>
  <c r="S95" i="2"/>
  <c r="N96" i="2"/>
  <c r="R96" i="2"/>
  <c r="Q95" i="2"/>
  <c r="P97" i="2"/>
  <c r="J97" i="10"/>
  <c r="N97" i="5" s="1"/>
  <c r="AN103" i="9" l="1"/>
  <c r="BK104" i="11" s="1"/>
  <c r="AI104" i="11" s="1"/>
  <c r="CV90" i="8"/>
  <c r="CW90" i="8" s="1"/>
  <c r="AS90" i="8"/>
  <c r="AQ118" i="9"/>
  <c r="CM118" i="8" s="1"/>
  <c r="AO91" i="5"/>
  <c r="AM91" i="5"/>
  <c r="AN91" i="5"/>
  <c r="AR91" i="5" s="1"/>
  <c r="AV92" i="5"/>
  <c r="AW92" i="5"/>
  <c r="AG90" i="7"/>
  <c r="AI90" i="7" s="1"/>
  <c r="AG91" i="7"/>
  <c r="CL92" i="8"/>
  <c r="CC91" i="8"/>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Y89" i="8"/>
  <c r="F99" i="8"/>
  <c r="BP95" i="5" a="1"/>
  <c r="BP95" i="5" s="1"/>
  <c r="J95" i="2" s="1"/>
  <c r="O100" i="1"/>
  <c r="BX91" i="8"/>
  <c r="CD91" i="8" s="1"/>
  <c r="BT91" i="8"/>
  <c r="BO91" i="8"/>
  <c r="BP91" i="8"/>
  <c r="BM91" i="8"/>
  <c r="BN91" i="8"/>
  <c r="BK91" i="8"/>
  <c r="BL91" i="8"/>
  <c r="BJ91" i="8"/>
  <c r="AC91" i="10"/>
  <c r="X91" i="10" s="1"/>
  <c r="AS95" i="5"/>
  <c r="AK95" i="11"/>
  <c r="BZ91" i="8"/>
  <c r="CR91" i="8" s="1"/>
  <c r="CA91" i="8"/>
  <c r="BY91" i="8"/>
  <c r="CQ91" i="8" s="1"/>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Z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U90" i="8"/>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B90" i="14"/>
  <c r="CZ94" i="5"/>
  <c r="AQ90" i="5"/>
  <c r="AB94" i="1"/>
  <c r="DI94" i="5"/>
  <c r="C94" i="5"/>
  <c r="DA93" i="5"/>
  <c r="DG93" i="5" s="1" a="1"/>
  <c r="DG93" i="5" s="1"/>
  <c r="AG103" i="9"/>
  <c r="AK103" i="9"/>
  <c r="N79" i="1"/>
  <c r="S96" i="2"/>
  <c r="N97" i="2"/>
  <c r="R97" i="2"/>
  <c r="Q96" i="2"/>
  <c r="J98" i="10"/>
  <c r="N98" i="5" s="1"/>
  <c r="P98" i="2"/>
  <c r="AN104" i="9" l="1"/>
  <c r="BK105" i="11" s="1"/>
  <c r="AI105" i="11" s="1"/>
  <c r="CV91" i="8"/>
  <c r="CW91" i="8" s="1"/>
  <c r="AS91" i="8"/>
  <c r="AQ119" i="9"/>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Y90" i="8"/>
  <c r="CU91" i="8"/>
  <c r="F100" i="8"/>
  <c r="BP96" i="5" a="1"/>
  <c r="BP96" i="5" s="1"/>
  <c r="J96" i="2" s="1"/>
  <c r="O101" i="1"/>
  <c r="CE91" i="8"/>
  <c r="BX92" i="8"/>
  <c r="CE92" i="8" s="1"/>
  <c r="CX92" i="8" s="1"/>
  <c r="BT92" i="8"/>
  <c r="BO92" i="8"/>
  <c r="BP92" i="8"/>
  <c r="BM92" i="8"/>
  <c r="BN92" i="8"/>
  <c r="BK92" i="8"/>
  <c r="BL92" i="8"/>
  <c r="BJ92" i="8"/>
  <c r="AC92" i="10"/>
  <c r="X92" i="10" s="1"/>
  <c r="AS96" i="5"/>
  <c r="AK96" i="11"/>
  <c r="DB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Q91" i="5"/>
  <c r="F94" i="5"/>
  <c r="B95" i="5"/>
  <c r="AH95" i="5"/>
  <c r="BU95" i="5"/>
  <c r="B95" i="2"/>
  <c r="B95" i="1"/>
  <c r="BG95" i="1" s="1"/>
  <c r="BZ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CR92" i="8" s="1"/>
  <c r="BY92" i="8"/>
  <c r="CQ92" i="8" s="1"/>
  <c r="CA92" i="8"/>
  <c r="CB92" i="8"/>
  <c r="CT92" i="8" s="1"/>
  <c r="CC92" i="8"/>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AN105" i="9" l="1"/>
  <c r="BK106" i="11" s="1"/>
  <c r="AI106" i="11" s="1"/>
  <c r="CX91" i="8"/>
  <c r="CY91" i="8" s="1"/>
  <c r="CV92" i="8"/>
  <c r="CW92" i="8" s="1"/>
  <c r="AS92" i="8"/>
  <c r="AQ120" i="9"/>
  <c r="CM120" i="8" s="1"/>
  <c r="AO93" i="5"/>
  <c r="AM93" i="5"/>
  <c r="AN93" i="5"/>
  <c r="AR93" i="5" s="1"/>
  <c r="AV94" i="5"/>
  <c r="AW94" i="5"/>
  <c r="AG93" i="7"/>
  <c r="AG92" i="7"/>
  <c r="AI92" i="7" s="1"/>
  <c r="CL94" i="8"/>
  <c r="DB92" i="8"/>
  <c r="CC93" i="8"/>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AF94" i="7" s="1"/>
  <c r="O102" i="1"/>
  <c r="CD92" i="8"/>
  <c r="BX93" i="8"/>
  <c r="CE93" i="8" s="1"/>
  <c r="CX93" i="8" s="1"/>
  <c r="BT93" i="8"/>
  <c r="BO93" i="8"/>
  <c r="BP93" i="8"/>
  <c r="BM93" i="8"/>
  <c r="BN93" i="8"/>
  <c r="BK93" i="8"/>
  <c r="BL93" i="8"/>
  <c r="BJ93" i="8"/>
  <c r="AC93" i="10"/>
  <c r="X93" i="10" s="1"/>
  <c r="AS97" i="5"/>
  <c r="AK97" i="11"/>
  <c r="CA93" i="8"/>
  <c r="CB93" i="8"/>
  <c r="CT93" i="8" s="1"/>
  <c r="BY93" i="8"/>
  <c r="CQ93" i="8" s="1"/>
  <c r="BZ93" i="8"/>
  <c r="CR93" i="8" s="1"/>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Z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U92" i="8"/>
  <c r="AH105" i="9"/>
  <c r="AQ92" i="5"/>
  <c r="B92" i="14"/>
  <c r="C95" i="5"/>
  <c r="F95" i="5" s="1"/>
  <c r="CZ96" i="5"/>
  <c r="AB96" i="1"/>
  <c r="DI96" i="5"/>
  <c r="C96" i="5"/>
  <c r="DA95" i="5"/>
  <c r="DG95" i="5" s="1" a="1"/>
  <c r="DG95" i="5" s="1"/>
  <c r="AG105" i="9"/>
  <c r="AK105" i="9"/>
  <c r="AD1269" i="14"/>
  <c r="AD1270" i="14" s="1"/>
  <c r="N81" i="1"/>
  <c r="S98" i="2"/>
  <c r="N99" i="2"/>
  <c r="R99" i="2"/>
  <c r="Q98" i="2"/>
  <c r="J100" i="10"/>
  <c r="N100" i="5" s="1"/>
  <c r="P100" i="2"/>
  <c r="AN106" i="9" l="1"/>
  <c r="BK107" i="11" s="1"/>
  <c r="AI107" i="11" s="1"/>
  <c r="CV93" i="8"/>
  <c r="CW93" i="8" s="1"/>
  <c r="AS93" i="8"/>
  <c r="AQ121" i="9"/>
  <c r="CM121" i="8" s="1"/>
  <c r="AO94" i="5"/>
  <c r="AM94" i="5"/>
  <c r="AN94" i="5"/>
  <c r="AR94" i="5" s="1"/>
  <c r="AV95" i="5"/>
  <c r="AW95" i="5"/>
  <c r="AI93"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Y92" i="8"/>
  <c r="CU93" i="8"/>
  <c r="F102" i="8"/>
  <c r="BP98" i="5" a="1"/>
  <c r="BP98" i="5" s="1"/>
  <c r="J98" i="2" s="1"/>
  <c r="O103" i="1"/>
  <c r="CD93" i="8"/>
  <c r="BX94" i="8"/>
  <c r="CE94" i="8" s="1"/>
  <c r="CX94" i="8" s="1"/>
  <c r="BT94" i="8"/>
  <c r="BO94" i="8"/>
  <c r="BP94" i="8"/>
  <c r="BM94" i="8"/>
  <c r="BN94" i="8"/>
  <c r="BK94" i="8"/>
  <c r="BL94" i="8"/>
  <c r="BJ94" i="8"/>
  <c r="AC94" i="10"/>
  <c r="X94" i="10" s="1"/>
  <c r="AS98" i="5"/>
  <c r="AM98" i="1"/>
  <c r="DB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CR94" i="8" s="1"/>
  <c r="AD93" i="11"/>
  <c r="AI93" i="1" s="1"/>
  <c r="Z93" i="11"/>
  <c r="Y93" i="11"/>
  <c r="AH93" i="1" s="1"/>
  <c r="N94" i="11"/>
  <c r="AB93" i="11"/>
  <c r="Q93" i="8" s="1"/>
  <c r="AC93" i="11"/>
  <c r="U93" i="8" s="1"/>
  <c r="F96" i="5"/>
  <c r="N94" i="7"/>
  <c r="BY94" i="8"/>
  <c r="CQ94" i="8" s="1"/>
  <c r="CB94" i="8"/>
  <c r="CT94" i="8" s="1"/>
  <c r="CA94" i="8"/>
  <c r="CC94" i="8"/>
  <c r="CI94" i="8"/>
  <c r="DA94" i="8" s="1"/>
  <c r="D95" i="9"/>
  <c r="CS92" i="8"/>
  <c r="B97" i="5"/>
  <c r="B97" i="2"/>
  <c r="B97" i="1"/>
  <c r="BG97" i="1" s="1"/>
  <c r="BU97" i="5"/>
  <c r="AH97" i="5"/>
  <c r="BZ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N107" i="9" l="1"/>
  <c r="BK108" i="11" s="1"/>
  <c r="AI108" i="11" s="1"/>
  <c r="CV94" i="8"/>
  <c r="CW94" i="8" s="1"/>
  <c r="AS94" i="8"/>
  <c r="AQ122" i="9"/>
  <c r="CM122" i="8" s="1"/>
  <c r="AO95" i="5"/>
  <c r="AM95" i="5"/>
  <c r="AN95" i="5"/>
  <c r="AR95" i="5" s="1"/>
  <c r="AV96" i="5"/>
  <c r="AW96" i="5"/>
  <c r="CL96" i="8"/>
  <c r="DB94" i="8"/>
  <c r="CC95" i="8"/>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Y93" i="8"/>
  <c r="F103" i="8"/>
  <c r="CU94" i="8"/>
  <c r="BP99" i="5" a="1"/>
  <c r="BP99" i="5" s="1"/>
  <c r="J99" i="2" s="1"/>
  <c r="AJ96" i="5"/>
  <c r="AP96" i="5" s="1"/>
  <c r="O104" i="1"/>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Z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Q95" i="8" s="1"/>
  <c r="CB95" i="8"/>
  <c r="CT95" i="8" s="1"/>
  <c r="CA95" i="8"/>
  <c r="CH95" i="8"/>
  <c r="CZ95" i="8" s="1"/>
  <c r="BZ95" i="8"/>
  <c r="CR95" i="8" s="1"/>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N108" i="9" l="1"/>
  <c r="BK109" i="11" s="1"/>
  <c r="AI109" i="11" s="1"/>
  <c r="CV95" i="8"/>
  <c r="CW95" i="8" s="1"/>
  <c r="AS95" i="8"/>
  <c r="AQ123" i="9"/>
  <c r="CM123" i="8" s="1"/>
  <c r="AO96" i="5"/>
  <c r="AM96" i="5"/>
  <c r="AN96" i="5"/>
  <c r="AR96" i="5" s="1"/>
  <c r="AV97" i="5"/>
  <c r="AW97" i="5"/>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Y94" i="8"/>
  <c r="CE95" i="8"/>
  <c r="BX96" i="8"/>
  <c r="CD96" i="8" s="1"/>
  <c r="BT96" i="8"/>
  <c r="BO96" i="8"/>
  <c r="BP96" i="8"/>
  <c r="BM96" i="8"/>
  <c r="BN96" i="8"/>
  <c r="BK96" i="8"/>
  <c r="BL96" i="8"/>
  <c r="BJ96" i="8"/>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CQ96" i="8" s="1"/>
  <c r="BZ96" i="8"/>
  <c r="CR96" i="8" s="1"/>
  <c r="CC96" i="8"/>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Z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U95" i="8"/>
  <c r="AH108" i="9"/>
  <c r="AQ95" i="5"/>
  <c r="DB95" i="8"/>
  <c r="B95" i="14"/>
  <c r="CZ99" i="5"/>
  <c r="DA98" i="5"/>
  <c r="DG98" i="5" s="1" a="1"/>
  <c r="DG98" i="5" s="1"/>
  <c r="AB99" i="1"/>
  <c r="DI99" i="5"/>
  <c r="AG108" i="9"/>
  <c r="AK108" i="9"/>
  <c r="AC1269" i="14"/>
  <c r="AC1270" i="14" s="1"/>
  <c r="N84" i="1"/>
  <c r="Z1269" i="14"/>
  <c r="Z1270" i="14" s="1"/>
  <c r="S101" i="2"/>
  <c r="N102" i="2"/>
  <c r="R102" i="2"/>
  <c r="Q101" i="2"/>
  <c r="J103" i="10"/>
  <c r="N103" i="5" s="1"/>
  <c r="P103" i="2"/>
  <c r="AN109" i="9" l="1"/>
  <c r="BK110" i="11" s="1"/>
  <c r="AI110" i="11" s="1"/>
  <c r="CX95" i="8"/>
  <c r="CY95" i="8" s="1"/>
  <c r="CV96" i="8"/>
  <c r="CW96" i="8" s="1"/>
  <c r="AS96" i="8"/>
  <c r="AQ124" i="9"/>
  <c r="CM124" i="8" s="1"/>
  <c r="AO97" i="5"/>
  <c r="AM97" i="5"/>
  <c r="AN97" i="5"/>
  <c r="AR97" i="5" s="1"/>
  <c r="AV98" i="5"/>
  <c r="AW98" i="5"/>
  <c r="AG97" i="7"/>
  <c r="AG96" i="7"/>
  <c r="AI96" i="7" s="1"/>
  <c r="CL98" i="8"/>
  <c r="CC97" i="8"/>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U96" i="8"/>
  <c r="F105" i="8"/>
  <c r="BP101" i="5" a="1"/>
  <c r="BP101" i="5" s="1"/>
  <c r="J101" i="2" s="1"/>
  <c r="O106" i="1"/>
  <c r="CE96" i="8"/>
  <c r="BX97" i="8"/>
  <c r="CE97" i="8" s="1"/>
  <c r="CX97" i="8" s="1"/>
  <c r="BT97" i="8"/>
  <c r="BO97" i="8"/>
  <c r="BP97" i="8"/>
  <c r="BM97" i="8"/>
  <c r="BN97" i="8"/>
  <c r="BK97" i="8"/>
  <c r="BL97" i="8"/>
  <c r="BJ97" i="8"/>
  <c r="AC97" i="10"/>
  <c r="X97" i="10" s="1"/>
  <c r="AS101" i="5"/>
  <c r="DB96" i="8"/>
  <c r="AH101" i="11"/>
  <c r="DE100" i="5"/>
  <c r="CH97" i="8"/>
  <c r="CZ97" i="8" s="1"/>
  <c r="BY97" i="8"/>
  <c r="CQ97" i="8" s="1"/>
  <c r="CA97" i="8"/>
  <c r="CB97" i="8"/>
  <c r="CT97" i="8" s="1"/>
  <c r="BZ97" i="8"/>
  <c r="CR97" i="8" s="1"/>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Z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N110" i="9" l="1"/>
  <c r="BK111" i="11" s="1"/>
  <c r="AI111" i="11" s="1"/>
  <c r="CX96" i="8"/>
  <c r="CY96" i="8" s="1"/>
  <c r="CV97" i="8"/>
  <c r="CW97" i="8" s="1"/>
  <c r="AI97" i="7"/>
  <c r="AS97" i="8"/>
  <c r="AQ125" i="9"/>
  <c r="CM125" i="8" s="1"/>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U97" i="8"/>
  <c r="F106" i="8"/>
  <c r="BP102" i="5" a="1"/>
  <c r="BP102" i="5" s="1"/>
  <c r="J102" i="2" s="1"/>
  <c r="O107" i="1"/>
  <c r="CD97" i="8"/>
  <c r="BX98" i="8"/>
  <c r="CE98" i="8" s="1"/>
  <c r="CX98" i="8" s="1"/>
  <c r="BT98" i="8"/>
  <c r="BO98" i="8"/>
  <c r="BP98" i="8"/>
  <c r="BM98" i="8"/>
  <c r="BN98" i="8"/>
  <c r="BK98" i="8"/>
  <c r="BL98" i="8"/>
  <c r="BJ98" i="8"/>
  <c r="AC98" i="10"/>
  <c r="X98" i="10" s="1"/>
  <c r="AS102" i="5"/>
  <c r="AH102" i="11"/>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BY98" i="8"/>
  <c r="CQ98" i="8" s="1"/>
  <c r="CA98" i="8"/>
  <c r="AE98" i="7"/>
  <c r="AF98" i="7" s="1"/>
  <c r="F100" i="5"/>
  <c r="BZ98" i="8"/>
  <c r="CR98" i="8" s="1"/>
  <c r="D99" i="9"/>
  <c r="Z97" i="11"/>
  <c r="B101" i="5"/>
  <c r="AA97" i="11"/>
  <c r="AK97" i="1" s="1"/>
  <c r="AB97" i="11"/>
  <c r="Q97" i="8" s="1"/>
  <c r="AC97" i="11"/>
  <c r="U97" i="8" s="1"/>
  <c r="N98" i="11"/>
  <c r="B101" i="2"/>
  <c r="B101" i="1"/>
  <c r="BG101" i="1" s="1"/>
  <c r="AH101" i="5"/>
  <c r="BU101" i="5"/>
  <c r="BZ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N111" i="9" l="1"/>
  <c r="BK112" i="11" s="1"/>
  <c r="AI112" i="11" s="1"/>
  <c r="CV98" i="8"/>
  <c r="CW98" i="8" s="1"/>
  <c r="AS98" i="8"/>
  <c r="AQ126" i="9"/>
  <c r="CM126" i="8" s="1"/>
  <c r="AO99" i="5"/>
  <c r="AM99" i="5"/>
  <c r="AN99" i="5"/>
  <c r="AR99" i="5" s="1"/>
  <c r="AV100" i="5"/>
  <c r="AW100" i="5"/>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Y97" i="8"/>
  <c r="CU98" i="8"/>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B102" i="5"/>
  <c r="B102" i="2"/>
  <c r="B102" i="1"/>
  <c r="BG102" i="1" s="1"/>
  <c r="AH102" i="5"/>
  <c r="BU102" i="5"/>
  <c r="BZ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CX99" i="8" s="1"/>
  <c r="D100" i="9"/>
  <c r="N99" i="7"/>
  <c r="AH111" i="9"/>
  <c r="C101" i="5"/>
  <c r="F101" i="5" s="1"/>
  <c r="CC99" i="8"/>
  <c r="CA99" i="8"/>
  <c r="CB99" i="8"/>
  <c r="CT99" i="8" s="1"/>
  <c r="CH99" i="8"/>
  <c r="CZ99" i="8" s="1"/>
  <c r="BY99" i="8"/>
  <c r="CQ99" i="8" s="1"/>
  <c r="BZ99" i="8"/>
  <c r="CR99" i="8" s="1"/>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N112" i="9" l="1"/>
  <c r="BK113" i="11" s="1"/>
  <c r="AI113" i="11" s="1"/>
  <c r="CV99" i="8"/>
  <c r="CW99" i="8" s="1"/>
  <c r="AS99" i="8"/>
  <c r="AQ127" i="9"/>
  <c r="CM127" i="8" s="1"/>
  <c r="AO100" i="5"/>
  <c r="AM100" i="5"/>
  <c r="AN100" i="5"/>
  <c r="AR100" i="5" s="1"/>
  <c r="AV101" i="5"/>
  <c r="AW101" i="5"/>
  <c r="AG99" i="7"/>
  <c r="AI99" i="7" s="1"/>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Y98" i="8"/>
  <c r="F108" i="8"/>
  <c r="BP104" i="5" a="1"/>
  <c r="BP104" i="5" s="1"/>
  <c r="J104" i="2" s="1"/>
  <c r="O109" i="1"/>
  <c r="BX100" i="8"/>
  <c r="CE100" i="8" s="1"/>
  <c r="CX100" i="8" s="1"/>
  <c r="BT100" i="8"/>
  <c r="BO100" i="8"/>
  <c r="BP100" i="8"/>
  <c r="BM100" i="8"/>
  <c r="BN100" i="8"/>
  <c r="BK100" i="8"/>
  <c r="BL100" i="8"/>
  <c r="BJ100" i="8"/>
  <c r="AC100" i="10"/>
  <c r="X100" i="10" s="1"/>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D101" i="9"/>
  <c r="N100" i="7"/>
  <c r="Y99" i="11"/>
  <c r="AH99" i="1" s="1"/>
  <c r="Z99" i="11"/>
  <c r="CA100" i="8"/>
  <c r="AC99" i="11"/>
  <c r="U99" i="8" s="1"/>
  <c r="AB99" i="11"/>
  <c r="Q99" i="8" s="1"/>
  <c r="AD99" i="11"/>
  <c r="AI99" i="1" s="1"/>
  <c r="BZ100" i="8"/>
  <c r="CR100" i="8" s="1"/>
  <c r="CB100" i="8"/>
  <c r="CT100" i="8" s="1"/>
  <c r="BY100" i="8"/>
  <c r="CQ100" i="8" s="1"/>
  <c r="B100" i="14"/>
  <c r="F102" i="5"/>
  <c r="BZ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U99" i="8"/>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B101" i="9"/>
  <c r="Y101" i="9" s="1"/>
  <c r="CZ103" i="5"/>
  <c r="DB99" i="8"/>
  <c r="B99" i="14"/>
  <c r="AQ99" i="5"/>
  <c r="DA102" i="5"/>
  <c r="DG102" i="5" s="1" a="1"/>
  <c r="DG102" i="5" s="1"/>
  <c r="AB103" i="1"/>
  <c r="DI103" i="5"/>
  <c r="AG112" i="9"/>
  <c r="AK112" i="9"/>
  <c r="N88" i="1"/>
  <c r="S105" i="2"/>
  <c r="N106" i="2"/>
  <c r="R106" i="2"/>
  <c r="Q105" i="2"/>
  <c r="P107" i="2"/>
  <c r="J107" i="10"/>
  <c r="N107" i="5" s="1"/>
  <c r="AN113" i="9" l="1"/>
  <c r="BK114" i="11" s="1"/>
  <c r="AI114" i="11" s="1"/>
  <c r="CV100" i="8"/>
  <c r="CW100" i="8" s="1"/>
  <c r="AS100" i="8"/>
  <c r="AQ128" i="9"/>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Y99" i="8"/>
  <c r="F109" i="8"/>
  <c r="CU100" i="8"/>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Z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BY101" i="8"/>
  <c r="CQ101" i="8" s="1"/>
  <c r="CA101" i="8"/>
  <c r="CH101" i="8"/>
  <c r="CZ101" i="8" s="1"/>
  <c r="CB101" i="8"/>
  <c r="CT101" i="8" s="1"/>
  <c r="BZ101" i="8"/>
  <c r="CR101" i="8" s="1"/>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N114" i="9" l="1"/>
  <c r="BK115" i="11" s="1"/>
  <c r="AI115" i="11" s="1"/>
  <c r="CV101" i="8"/>
  <c r="CW101" i="8" s="1"/>
  <c r="AS101" i="8"/>
  <c r="AQ129" i="9"/>
  <c r="CM129" i="8" s="1"/>
  <c r="AO102" i="5"/>
  <c r="AM102" i="5"/>
  <c r="AN102" i="5"/>
  <c r="AR102" i="5" s="1"/>
  <c r="AV103" i="5"/>
  <c r="AW103" i="5"/>
  <c r="AG102"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Y100" i="8"/>
  <c r="F110" i="8"/>
  <c r="BP106" i="5" a="1"/>
  <c r="BP106" i="5" s="1"/>
  <c r="J106" i="2" s="1"/>
  <c r="O111" i="1"/>
  <c r="BX102" i="8"/>
  <c r="CE102" i="8" s="1"/>
  <c r="CX102" i="8" s="1"/>
  <c r="BT102" i="8"/>
  <c r="BO102" i="8"/>
  <c r="BP102" i="8"/>
  <c r="BM102" i="8"/>
  <c r="BN102" i="8"/>
  <c r="BK102" i="8"/>
  <c r="BL102" i="8"/>
  <c r="BJ102" i="8"/>
  <c r="AC102" i="10"/>
  <c r="X102" i="10" s="1"/>
  <c r="AS106" i="5"/>
  <c r="CH102" i="8"/>
  <c r="CZ102" i="8" s="1"/>
  <c r="CC102" i="8"/>
  <c r="BZ102" i="8"/>
  <c r="CR102" i="8" s="1"/>
  <c r="CB102" i="8"/>
  <c r="CT102" i="8" s="1"/>
  <c r="BY102" i="8"/>
  <c r="CQ102" i="8" s="1"/>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Z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U101" i="8"/>
  <c r="DB101" i="8"/>
  <c r="DH103" i="8"/>
  <c r="DI103" i="8" s="1"/>
  <c r="CK103" i="8"/>
  <c r="BW103" i="8"/>
  <c r="AC103" i="1" s="1"/>
  <c r="BI103" i="8"/>
  <c r="CE101" i="8"/>
  <c r="AJ103" i="5"/>
  <c r="AP103" i="5" s="1"/>
  <c r="BH103" i="8"/>
  <c r="BU103" i="8" s="1"/>
  <c r="AH114" i="9"/>
  <c r="B101" i="14"/>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N115" i="9" l="1"/>
  <c r="BK116" i="11" s="1"/>
  <c r="AI116" i="11" s="1"/>
  <c r="CX101" i="8"/>
  <c r="CY101" i="8" s="1"/>
  <c r="CV102" i="8"/>
  <c r="CW102" i="8" s="1"/>
  <c r="AS102" i="8"/>
  <c r="AQ130" i="9"/>
  <c r="CM130" i="8" s="1"/>
  <c r="AO103" i="5"/>
  <c r="AM103" i="5"/>
  <c r="AN103" i="5"/>
  <c r="AR103" i="5" s="1"/>
  <c r="AI102" i="7"/>
  <c r="AV104" i="5"/>
  <c r="AW104" i="5"/>
  <c r="CL104"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U102" i="8"/>
  <c r="F111" i="8"/>
  <c r="BP107" i="5" a="1"/>
  <c r="BP107" i="5" s="1"/>
  <c r="J107" i="2" s="1"/>
  <c r="DH104" i="8"/>
  <c r="DI104" i="8" s="1"/>
  <c r="O112" i="1"/>
  <c r="CD102" i="8"/>
  <c r="BX103" i="8"/>
  <c r="CD103" i="8" s="1"/>
  <c r="BT103" i="8"/>
  <c r="BO103" i="8"/>
  <c r="BP103" i="8"/>
  <c r="BM103" i="8"/>
  <c r="BN103" i="8"/>
  <c r="BK103" i="8"/>
  <c r="BL103" i="8"/>
  <c r="BJ103" i="8"/>
  <c r="AC103" i="10"/>
  <c r="X103" i="10" s="1"/>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Z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R103" i="8" s="1"/>
  <c r="CC103" i="8"/>
  <c r="BY103" i="8"/>
  <c r="CQ103" i="8" s="1"/>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N116" i="9" l="1"/>
  <c r="BK117" i="11" s="1"/>
  <c r="AI117" i="11" s="1"/>
  <c r="CV103" i="8"/>
  <c r="CW103" i="8" s="1"/>
  <c r="AS103" i="8"/>
  <c r="AQ131" i="9"/>
  <c r="CM131" i="8" s="1"/>
  <c r="AO104" i="5"/>
  <c r="AM104" i="5"/>
  <c r="AN104" i="5"/>
  <c r="AR104" i="5" s="1"/>
  <c r="AV105" i="5"/>
  <c r="AW105" i="5"/>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Y102" i="8"/>
  <c r="F112" i="8"/>
  <c r="BP108" i="5" a="1"/>
  <c r="BP108" i="5" s="1"/>
  <c r="J108" i="2" s="1"/>
  <c r="O113" i="1"/>
  <c r="CE103" i="8"/>
  <c r="BX104" i="8"/>
  <c r="CD104" i="8" s="1"/>
  <c r="BT104" i="8"/>
  <c r="BO104" i="8"/>
  <c r="BP104" i="8"/>
  <c r="BM104" i="8"/>
  <c r="BN104" i="8"/>
  <c r="BK104" i="8"/>
  <c r="BL104" i="8"/>
  <c r="BJ104" i="8"/>
  <c r="AC104" i="10"/>
  <c r="X104" i="10" s="1"/>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CQ104" i="8" s="1"/>
  <c r="BZ104" i="8"/>
  <c r="CR104" i="8" s="1"/>
  <c r="CC104" i="8"/>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Z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U103" i="8"/>
  <c r="AQ103" i="5"/>
  <c r="AH116" i="9"/>
  <c r="DB103" i="8"/>
  <c r="B103" i="14"/>
  <c r="CZ107" i="5"/>
  <c r="C107" i="5"/>
  <c r="DA106" i="5"/>
  <c r="DG106" i="5" s="1" a="1"/>
  <c r="DG106" i="5" s="1"/>
  <c r="AB107" i="1"/>
  <c r="DI107" i="5"/>
  <c r="AG116" i="9"/>
  <c r="AK116" i="9"/>
  <c r="N92" i="1"/>
  <c r="S109" i="2"/>
  <c r="N110" i="2"/>
  <c r="R110" i="2"/>
  <c r="Q109" i="2"/>
  <c r="P111" i="2"/>
  <c r="J111" i="10"/>
  <c r="N111" i="5" s="1"/>
  <c r="AN117" i="9" l="1"/>
  <c r="BK118" i="11" s="1"/>
  <c r="AI118" i="11" s="1"/>
  <c r="CX103" i="8"/>
  <c r="CY103" i="8" s="1"/>
  <c r="CV104" i="8"/>
  <c r="CW104" i="8" s="1"/>
  <c r="AS104" i="8"/>
  <c r="AQ132" i="9"/>
  <c r="CM132" i="8" s="1"/>
  <c r="AO105" i="5"/>
  <c r="AM105" i="5"/>
  <c r="AN105" i="5"/>
  <c r="AR105" i="5" s="1"/>
  <c r="AV106" i="5"/>
  <c r="AW106" i="5"/>
  <c r="AG104" i="7"/>
  <c r="AI104" i="7" s="1"/>
  <c r="AG105" i="7"/>
  <c r="CL106" i="8"/>
  <c r="BY105" i="8"/>
  <c r="CQ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U104" i="8"/>
  <c r="BP109" i="5" a="1"/>
  <c r="BP109" i="5" s="1"/>
  <c r="J109" i="2" s="1"/>
  <c r="A106" i="10"/>
  <c r="AA106" i="10" s="1"/>
  <c r="O114" i="1"/>
  <c r="CE104" i="8"/>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N105" i="7"/>
  <c r="CA105" i="8"/>
  <c r="N105" i="11"/>
  <c r="AC104" i="11"/>
  <c r="U104" i="8" s="1"/>
  <c r="BZ105" i="8"/>
  <c r="CR105" i="8" s="1"/>
  <c r="CH105" i="8"/>
  <c r="CZ105" i="8" s="1"/>
  <c r="CB105" i="8"/>
  <c r="CT105" i="8" s="1"/>
  <c r="CC105" i="8"/>
  <c r="F107" i="5"/>
  <c r="Z104" i="11"/>
  <c r="AB104" i="11"/>
  <c r="Q104" i="8" s="1"/>
  <c r="D106" i="9"/>
  <c r="AH108" i="5"/>
  <c r="BU108" i="5"/>
  <c r="B108" i="1"/>
  <c r="BG108" i="1" s="1"/>
  <c r="B108" i="2"/>
  <c r="BZ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N118" i="9" l="1"/>
  <c r="BK119" i="11" s="1"/>
  <c r="AI119" i="11" s="1"/>
  <c r="CX104" i="8"/>
  <c r="CY104" i="8" s="1"/>
  <c r="CV105" i="8"/>
  <c r="CW105" i="8" s="1"/>
  <c r="CU105" i="8"/>
  <c r="AS105" i="8"/>
  <c r="AQ133" i="9"/>
  <c r="CM133" i="8" s="1"/>
  <c r="AO106" i="5"/>
  <c r="AM106" i="5"/>
  <c r="AN106" i="5"/>
  <c r="AR106" i="5" s="1"/>
  <c r="AV107" i="5"/>
  <c r="AW107" i="5"/>
  <c r="AI105" i="7"/>
  <c r="AG106" i="7"/>
  <c r="CL107" i="8"/>
  <c r="CC106" i="8"/>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BX106" i="8"/>
  <c r="CE106" i="8" s="1"/>
  <c r="CX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CR106" i="8" s="1"/>
  <c r="BY106" i="8"/>
  <c r="CQ106" i="8" s="1"/>
  <c r="AC105" i="11"/>
  <c r="U105" i="8" s="1"/>
  <c r="D107" i="9"/>
  <c r="CI106" i="8"/>
  <c r="DA106" i="8" s="1"/>
  <c r="N106" i="11"/>
  <c r="AB105" i="11"/>
  <c r="Q105" i="8" s="1"/>
  <c r="Y105" i="11"/>
  <c r="AH105" i="1" s="1"/>
  <c r="Z105" i="11"/>
  <c r="AD105" i="11"/>
  <c r="AI105" i="1" s="1"/>
  <c r="DB105" i="8"/>
  <c r="B107" i="9"/>
  <c r="Y107" i="9" s="1"/>
  <c r="CS105" i="8"/>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Z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N119" i="9" l="1"/>
  <c r="BK120" i="11" s="1"/>
  <c r="AI120" i="11" s="1"/>
  <c r="CX105" i="8"/>
  <c r="CY105" i="8" s="1"/>
  <c r="CV106" i="8"/>
  <c r="CW106" i="8" s="1"/>
  <c r="AS106" i="8"/>
  <c r="AQ134" i="9"/>
  <c r="CM134" i="8" s="1"/>
  <c r="AO107" i="5"/>
  <c r="AM107" i="5"/>
  <c r="AN107" i="5"/>
  <c r="AR107" i="5" s="1"/>
  <c r="AV108" i="5"/>
  <c r="AW108" i="5"/>
  <c r="AI106" i="7"/>
  <c r="AG107" i="7"/>
  <c r="CL108" i="8"/>
  <c r="CC107" i="8"/>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U106" i="8"/>
  <c r="F115" i="8"/>
  <c r="BP111" i="5" a="1"/>
  <c r="BP111" i="5" s="1"/>
  <c r="J111" i="2" s="1"/>
  <c r="O116" i="1"/>
  <c r="CD106" i="8"/>
  <c r="BX107" i="8"/>
  <c r="CD107" i="8" s="1"/>
  <c r="BT107" i="8"/>
  <c r="BO107" i="8"/>
  <c r="BP107" i="8"/>
  <c r="BM107" i="8"/>
  <c r="BN107" i="8"/>
  <c r="BK107" i="8"/>
  <c r="BL107" i="8"/>
  <c r="BJ107" i="8"/>
  <c r="AC107" i="10"/>
  <c r="X107" i="10" s="1"/>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Q107" i="8" s="1"/>
  <c r="CA107" i="8"/>
  <c r="BZ107" i="8"/>
  <c r="CR107" i="8" s="1"/>
  <c r="CH107" i="8"/>
  <c r="CZ107" i="8" s="1"/>
  <c r="DB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Z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N120" i="9" l="1"/>
  <c r="BK121" i="11" s="1"/>
  <c r="AI121" i="11" s="1"/>
  <c r="CV107" i="8"/>
  <c r="CW107" i="8" s="1"/>
  <c r="AS107" i="8"/>
  <c r="AQ135" i="9"/>
  <c r="CM135" i="8" s="1"/>
  <c r="AO108" i="5"/>
  <c r="AM108" i="5"/>
  <c r="AN108" i="5"/>
  <c r="AR108" i="5" s="1"/>
  <c r="AV109" i="5"/>
  <c r="AW109" i="5"/>
  <c r="AI107" i="7"/>
  <c r="AG108" i="7"/>
  <c r="CL109" i="8"/>
  <c r="BZ108" i="8"/>
  <c r="CR108" i="8" s="1"/>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Y106" i="8"/>
  <c r="CU107" i="8"/>
  <c r="F116" i="8"/>
  <c r="BP112" i="5" a="1"/>
  <c r="BP112" i="5" s="1"/>
  <c r="J112" i="2" s="1"/>
  <c r="O117" i="1"/>
  <c r="CE107" i="8"/>
  <c r="BT108" i="8"/>
  <c r="BO108" i="8"/>
  <c r="BP108" i="8"/>
  <c r="BM108" i="8"/>
  <c r="BN108" i="8"/>
  <c r="BK108" i="8"/>
  <c r="BL108" i="8"/>
  <c r="BJ108" i="8"/>
  <c r="AC108" i="10"/>
  <c r="X108" i="10" s="1"/>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DB107" i="8"/>
  <c r="AQ107" i="5"/>
  <c r="AA107" i="11"/>
  <c r="AK107" i="1" s="1"/>
  <c r="AB107" i="11"/>
  <c r="Q107" i="8" s="1"/>
  <c r="B108" i="14"/>
  <c r="Q108" i="7"/>
  <c r="AC107" i="11"/>
  <c r="U107" i="8" s="1"/>
  <c r="BY108" i="8"/>
  <c r="CQ108" i="8" s="1"/>
  <c r="Y107" i="11"/>
  <c r="AH107" i="1" s="1"/>
  <c r="CI108" i="8"/>
  <c r="DA108" i="8" s="1"/>
  <c r="AD107" i="11"/>
  <c r="AI107" i="1" s="1"/>
  <c r="Z107" i="11"/>
  <c r="CC108" i="8"/>
  <c r="CH108" i="8"/>
  <c r="CZ108" i="8" s="1"/>
  <c r="CA108" i="8"/>
  <c r="CB108" i="8"/>
  <c r="CT108" i="8" s="1"/>
  <c r="D109" i="9"/>
  <c r="N108" i="7"/>
  <c r="BX108" i="8"/>
  <c r="CD108" i="8" s="1"/>
  <c r="B111" i="2"/>
  <c r="B111" i="1"/>
  <c r="BG111" i="1" s="1"/>
  <c r="AH111" i="5"/>
  <c r="BU111" i="5"/>
  <c r="BZ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N121" i="9" l="1"/>
  <c r="BK122" i="11" s="1"/>
  <c r="AI122" i="11" s="1"/>
  <c r="CX107" i="8"/>
  <c r="CY107" i="8" s="1"/>
  <c r="CV108" i="8"/>
  <c r="CW108" i="8" s="1"/>
  <c r="AS108" i="8"/>
  <c r="AQ136" i="9"/>
  <c r="CM136" i="8" s="1"/>
  <c r="AO109" i="5"/>
  <c r="AM109" i="5"/>
  <c r="AN109" i="5"/>
  <c r="AR109" i="5" s="1"/>
  <c r="AV110" i="5"/>
  <c r="AW110" i="5"/>
  <c r="AI108" i="7"/>
  <c r="CL110"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U108" i="8"/>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B112" i="2"/>
  <c r="B112" i="1"/>
  <c r="BG112" i="1" s="1"/>
  <c r="AH112" i="5"/>
  <c r="BU112" i="5"/>
  <c r="BZ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H109" i="8"/>
  <c r="CZ109" i="8" s="1"/>
  <c r="BY109" i="8"/>
  <c r="CQ109" i="8" s="1"/>
  <c r="CB109" i="8"/>
  <c r="CT109" i="8" s="1"/>
  <c r="BZ109" i="8"/>
  <c r="CR109" i="8" s="1"/>
  <c r="AB112" i="1"/>
  <c r="DI112" i="5"/>
  <c r="C112" i="5"/>
  <c r="DA111" i="5"/>
  <c r="DG111" i="5" s="1" a="1"/>
  <c r="DG111" i="5" s="1"/>
  <c r="AG121" i="9"/>
  <c r="AK121" i="9"/>
  <c r="N97" i="1"/>
  <c r="S114" i="2"/>
  <c r="N115" i="2"/>
  <c r="R115" i="2"/>
  <c r="Q114" i="2"/>
  <c r="P116" i="2"/>
  <c r="J116" i="10"/>
  <c r="N116" i="5" s="1"/>
  <c r="AN122" i="9" l="1"/>
  <c r="BK123" i="11" s="1"/>
  <c r="AI123" i="11" s="1"/>
  <c r="CX108" i="8"/>
  <c r="CY108" i="8" s="1"/>
  <c r="CV109" i="8"/>
  <c r="CW109" i="8" s="1"/>
  <c r="AS109" i="8"/>
  <c r="AO110" i="5"/>
  <c r="AM110" i="5"/>
  <c r="AN110" i="5"/>
  <c r="AR110" i="5" s="1"/>
  <c r="AV111" i="5"/>
  <c r="AW111" i="5"/>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Z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U109" i="8"/>
  <c r="D111" i="9"/>
  <c r="DH111" i="8"/>
  <c r="DI111" i="8" s="1"/>
  <c r="CK111" i="8"/>
  <c r="BW111" i="8"/>
  <c r="AC111" i="1" s="1"/>
  <c r="BX110" i="8"/>
  <c r="CE110" i="8" s="1"/>
  <c r="CX110" i="8" s="1"/>
  <c r="N110" i="7"/>
  <c r="BH111" i="8"/>
  <c r="BU111" i="8" s="1"/>
  <c r="BI111" i="8"/>
  <c r="AH122" i="9"/>
  <c r="AQ109" i="5"/>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A110" i="8"/>
  <c r="CB110" i="8"/>
  <c r="CT110" i="8" s="1"/>
  <c r="CH110" i="8"/>
  <c r="CZ110" i="8" s="1"/>
  <c r="BY110" i="8"/>
  <c r="CQ110" i="8" s="1"/>
  <c r="BZ110" i="8"/>
  <c r="CR110" i="8" s="1"/>
  <c r="DA112" i="5"/>
  <c r="DG112" i="5" s="1" a="1"/>
  <c r="DG112" i="5" s="1"/>
  <c r="AB113" i="1"/>
  <c r="DI113" i="5"/>
  <c r="AG122" i="9"/>
  <c r="AK122" i="9"/>
  <c r="N98" i="1"/>
  <c r="S115" i="2"/>
  <c r="N116" i="2"/>
  <c r="R116" i="2"/>
  <c r="Q115" i="2"/>
  <c r="P117" i="2"/>
  <c r="J117" i="10"/>
  <c r="N117" i="5" s="1"/>
  <c r="AN123" i="9" l="1"/>
  <c r="BK124" i="11" s="1"/>
  <c r="AI124" i="11" s="1"/>
  <c r="CX109" i="8"/>
  <c r="CY109" i="8" s="1"/>
  <c r="CV110" i="8"/>
  <c r="CW110" i="8" s="1"/>
  <c r="AS110" i="8"/>
  <c r="AO111" i="5"/>
  <c r="AM111" i="5"/>
  <c r="AN111" i="5"/>
  <c r="AR111" i="5" s="1"/>
  <c r="AV112" i="5"/>
  <c r="AW112" i="5"/>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Z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U110" i="8"/>
  <c r="D112" i="9"/>
  <c r="CD110" i="8"/>
  <c r="N111" i="7"/>
  <c r="AH123" i="9"/>
  <c r="C113" i="5"/>
  <c r="F113" i="5" s="1"/>
  <c r="AQ110" i="5"/>
  <c r="AA110" i="11"/>
  <c r="AK110" i="1" s="1"/>
  <c r="Z110" i="11"/>
  <c r="AC110" i="11"/>
  <c r="U110" i="8" s="1"/>
  <c r="AD110" i="11"/>
  <c r="AI110" i="1" s="1"/>
  <c r="Y110" i="11"/>
  <c r="AH110" i="1" s="1"/>
  <c r="N111" i="11"/>
  <c r="AB110" i="11"/>
  <c r="Q110" i="8" s="1"/>
  <c r="CI111" i="8"/>
  <c r="DA111" i="8" s="1"/>
  <c r="Q111" i="7"/>
  <c r="AE111" i="7"/>
  <c r="AF111" i="7" s="1"/>
  <c r="BY111" i="8"/>
  <c r="CQ111" i="8" s="1"/>
  <c r="BZ111" i="8"/>
  <c r="CR111" i="8" s="1"/>
  <c r="CH111" i="8"/>
  <c r="CZ111" i="8" s="1"/>
  <c r="CC111" i="8"/>
  <c r="CA111" i="8"/>
  <c r="CB111" i="8"/>
  <c r="CT111" i="8" s="1"/>
  <c r="CZ114" i="5"/>
  <c r="DB110" i="8"/>
  <c r="B110" i="14"/>
  <c r="AB114" i="1"/>
  <c r="DI114" i="5"/>
  <c r="DA113" i="5"/>
  <c r="DG113" i="5" s="1" a="1"/>
  <c r="DG113" i="5" s="1"/>
  <c r="AG123" i="9"/>
  <c r="AK123" i="9"/>
  <c r="N99" i="1"/>
  <c r="S116" i="2"/>
  <c r="N117" i="2"/>
  <c r="R117" i="2"/>
  <c r="Q116" i="2"/>
  <c r="J118" i="10"/>
  <c r="N118" i="5" s="1"/>
  <c r="P118" i="2"/>
  <c r="AN124" i="9" l="1"/>
  <c r="BK125" i="11" s="1"/>
  <c r="AI125" i="11" s="1"/>
  <c r="CV111" i="8"/>
  <c r="CW111" i="8" s="1"/>
  <c r="AS111" i="8"/>
  <c r="AO112" i="5"/>
  <c r="AM112" i="5"/>
  <c r="AN112" i="5"/>
  <c r="AR112" i="5" s="1"/>
  <c r="AV113" i="5"/>
  <c r="AW113" i="5"/>
  <c r="AG112"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Y110" i="8"/>
  <c r="F120" i="8"/>
  <c r="BP116" i="5" a="1"/>
  <c r="BP116" i="5" s="1"/>
  <c r="J116" i="2" s="1"/>
  <c r="O121" i="1"/>
  <c r="CE111" i="8"/>
  <c r="BX112" i="8"/>
  <c r="CE112" i="8" s="1"/>
  <c r="CX112" i="8" s="1"/>
  <c r="BT112" i="8"/>
  <c r="BO112" i="8"/>
  <c r="BP112" i="8"/>
  <c r="BM112" i="8"/>
  <c r="BN112" i="8"/>
  <c r="BK112" i="8"/>
  <c r="BL112" i="8"/>
  <c r="BJ112" i="8"/>
  <c r="AC112" i="10"/>
  <c r="X112" i="10" s="1"/>
  <c r="AS116" i="5"/>
  <c r="CC112" i="8"/>
  <c r="CH112" i="8"/>
  <c r="CZ112" i="8" s="1"/>
  <c r="BZ112" i="8"/>
  <c r="CR112" i="8" s="1"/>
  <c r="BY112" i="8"/>
  <c r="CQ112" i="8" s="1"/>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Z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U111" i="8"/>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B111" i="14"/>
  <c r="C115" i="5"/>
  <c r="DA114" i="5"/>
  <c r="DG114" i="5" s="1" a="1"/>
  <c r="DG114" i="5" s="1"/>
  <c r="AB115" i="1"/>
  <c r="DI115" i="5"/>
  <c r="AG124" i="9"/>
  <c r="AK124" i="9"/>
  <c r="N100" i="1"/>
  <c r="S117" i="2"/>
  <c r="N118" i="2"/>
  <c r="R118" i="2"/>
  <c r="Q117" i="2"/>
  <c r="P119" i="2"/>
  <c r="J119" i="10"/>
  <c r="N119" i="5" s="1"/>
  <c r="AI112" i="7" l="1"/>
  <c r="AN125" i="9"/>
  <c r="BK126" i="11" s="1"/>
  <c r="AI126" i="11" s="1"/>
  <c r="CX111" i="8"/>
  <c r="CY111" i="8" s="1"/>
  <c r="CV112" i="8"/>
  <c r="CW112" i="8" s="1"/>
  <c r="AS112" i="8"/>
  <c r="AO113" i="5"/>
  <c r="AM113" i="5"/>
  <c r="AN113" i="5"/>
  <c r="AR113" i="5" s="1"/>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U112" i="8"/>
  <c r="F121" i="8"/>
  <c r="BP117" i="5" a="1"/>
  <c r="BP117" i="5" s="1"/>
  <c r="J117" i="2" s="1"/>
  <c r="O122" i="1"/>
  <c r="CD112" i="8"/>
  <c r="BX113" i="8"/>
  <c r="CD113" i="8" s="1"/>
  <c r="BT113" i="8"/>
  <c r="BO113" i="8"/>
  <c r="BP113" i="8"/>
  <c r="BM113" i="8"/>
  <c r="BN113" i="8"/>
  <c r="BK113" i="8"/>
  <c r="BL113" i="8"/>
  <c r="BJ113" i="8"/>
  <c r="AC113" i="10"/>
  <c r="X113" i="10" s="1"/>
  <c r="AS117" i="5"/>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Z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H113" i="8"/>
  <c r="CZ113" i="8" s="1"/>
  <c r="CA113" i="8"/>
  <c r="CB113" i="8"/>
  <c r="CT113" i="8" s="1"/>
  <c r="BY113" i="8"/>
  <c r="CQ113" i="8" s="1"/>
  <c r="BZ113" i="8"/>
  <c r="CR113" i="8" s="1"/>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N126" i="9" l="1"/>
  <c r="BK127" i="11" s="1"/>
  <c r="AI127" i="11" s="1"/>
  <c r="CV113" i="8"/>
  <c r="CW113" i="8" s="1"/>
  <c r="AS113" i="8"/>
  <c r="AO114" i="5"/>
  <c r="AM114" i="5"/>
  <c r="AN114" i="5"/>
  <c r="AR114" i="5" s="1"/>
  <c r="AV115" i="5"/>
  <c r="AW115" i="5"/>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Y112" i="8"/>
  <c r="F122" i="8"/>
  <c r="BP118" i="5" a="1"/>
  <c r="BP118" i="5" s="1"/>
  <c r="J118" i="2" s="1"/>
  <c r="BH115" i="8"/>
  <c r="BU115" i="8" s="1"/>
  <c r="O123" i="1"/>
  <c r="CE113" i="8"/>
  <c r="BT114" i="8"/>
  <c r="BO114" i="8"/>
  <c r="BP114" i="8"/>
  <c r="BM114" i="8"/>
  <c r="BN114" i="8"/>
  <c r="BK114" i="8"/>
  <c r="BL114" i="8"/>
  <c r="BJ114" i="8"/>
  <c r="AC114" i="10"/>
  <c r="X114" i="10" s="1"/>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Z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U113" i="8"/>
  <c r="D115" i="9"/>
  <c r="BX114" i="8"/>
  <c r="CD114" i="8" s="1"/>
  <c r="N114" i="7"/>
  <c r="AH126" i="9"/>
  <c r="AQ113" i="5"/>
  <c r="DB113" i="8"/>
  <c r="CI114" i="8"/>
  <c r="DA114" i="8" s="1"/>
  <c r="B113" i="14"/>
  <c r="CH114" i="8"/>
  <c r="CZ114" i="8" s="1"/>
  <c r="BZ114" i="8"/>
  <c r="CR114" i="8" s="1"/>
  <c r="CA114" i="8"/>
  <c r="CB114" i="8"/>
  <c r="CT114" i="8" s="1"/>
  <c r="BY114" i="8"/>
  <c r="CQ114" i="8" s="1"/>
  <c r="CC114" i="8"/>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N127" i="9" l="1"/>
  <c r="BK128" i="11" s="1"/>
  <c r="AI128" i="11" s="1"/>
  <c r="CX113" i="8"/>
  <c r="CY113" i="8" s="1"/>
  <c r="CV114" i="8"/>
  <c r="CW114" i="8" s="1"/>
  <c r="AS114" i="8"/>
  <c r="AO115" i="5"/>
  <c r="AM115" i="5"/>
  <c r="AN115" i="5"/>
  <c r="AR115" i="5" s="1"/>
  <c r="AV116" i="5"/>
  <c r="AW116" i="5"/>
  <c r="AG115" i="7"/>
  <c r="AG114" i="7"/>
  <c r="AI114" i="7" s="1"/>
  <c r="CL116" i="8"/>
  <c r="CC115" i="8"/>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CQ115" i="8" s="1"/>
  <c r="E116" i="1"/>
  <c r="A116" i="11"/>
  <c r="AC115" i="11" s="1"/>
  <c r="U115" i="8" s="1"/>
  <c r="CH115" i="8"/>
  <c r="CZ115" i="8" s="1"/>
  <c r="CI115" i="8"/>
  <c r="DA115" i="8" s="1"/>
  <c r="CB115" i="8"/>
  <c r="CT115" i="8" s="1"/>
  <c r="CA115" i="8"/>
  <c r="BZ115" i="8"/>
  <c r="CR115" i="8" s="1"/>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Z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U114" i="8"/>
  <c r="CE114" i="8"/>
  <c r="AH127" i="9"/>
  <c r="DB114" i="8"/>
  <c r="AQ114" i="5"/>
  <c r="B114" i="14"/>
  <c r="CZ118" i="5"/>
  <c r="AB118" i="1"/>
  <c r="DI118" i="5"/>
  <c r="DA117" i="5"/>
  <c r="DG117" i="5" s="1" a="1"/>
  <c r="DG117" i="5" s="1"/>
  <c r="AG127" i="9"/>
  <c r="AK127" i="9"/>
  <c r="N103" i="1"/>
  <c r="S120" i="2"/>
  <c r="N121" i="2"/>
  <c r="R121" i="2"/>
  <c r="Q120" i="2"/>
  <c r="J122" i="10"/>
  <c r="N122" i="5" s="1"/>
  <c r="P122" i="2"/>
  <c r="AN128" i="9" l="1"/>
  <c r="BK129" i="11" s="1"/>
  <c r="AI129" i="11" s="1"/>
  <c r="CX114" i="8"/>
  <c r="CY114" i="8" s="1"/>
  <c r="CV115" i="8"/>
  <c r="CW115" i="8" s="1"/>
  <c r="AS115" i="8"/>
  <c r="AI115" i="7"/>
  <c r="AO116" i="5"/>
  <c r="AM116" i="5"/>
  <c r="AN116" i="5"/>
  <c r="AR116" i="5" s="1"/>
  <c r="AV117" i="5"/>
  <c r="AW117" i="5"/>
  <c r="AG116" i="7"/>
  <c r="CL117" i="8"/>
  <c r="CC116" i="8"/>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V119" i="2"/>
  <c r="CU115" i="8"/>
  <c r="F124" i="8"/>
  <c r="BP120" i="5" a="1"/>
  <c r="BP120" i="5" s="1"/>
  <c r="J120" i="2" s="1"/>
  <c r="DH117" i="8"/>
  <c r="DI117" i="8" s="1"/>
  <c r="O125" i="1"/>
  <c r="BX116" i="8"/>
  <c r="CE116" i="8" s="1"/>
  <c r="CX116" i="8" s="1"/>
  <c r="BT116" i="8"/>
  <c r="BO116" i="8"/>
  <c r="BP116" i="8"/>
  <c r="BM116" i="8"/>
  <c r="BN116" i="8"/>
  <c r="BK116" i="8"/>
  <c r="BL116" i="8"/>
  <c r="BJ116" i="8"/>
  <c r="AC116" i="10"/>
  <c r="X116" i="10" s="1"/>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AC117" i="8"/>
  <c r="BQ117" i="8" s="1"/>
  <c r="DB115" i="8"/>
  <c r="CI116" i="8"/>
  <c r="DA116" i="8" s="1"/>
  <c r="N116" i="7"/>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Q116" i="8" s="1"/>
  <c r="CA116" i="8"/>
  <c r="BZ116" i="8"/>
  <c r="CR116" i="8" s="1"/>
  <c r="CH116" i="8"/>
  <c r="CZ116" i="8" s="1"/>
  <c r="B119" i="2"/>
  <c r="B119" i="1"/>
  <c r="BG119" i="1" s="1"/>
  <c r="AH119" i="5"/>
  <c r="BU119" i="5"/>
  <c r="BZ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N129" i="9" l="1"/>
  <c r="BK130" i="11" s="1"/>
  <c r="AI130" i="11" s="1"/>
  <c r="CX115" i="8"/>
  <c r="CY115" i="8" s="1"/>
  <c r="CV116" i="8"/>
  <c r="CW116" i="8" s="1"/>
  <c r="AS116" i="8"/>
  <c r="AO117" i="5"/>
  <c r="AM117" i="5"/>
  <c r="AN117" i="5"/>
  <c r="AR117" i="5" s="1"/>
  <c r="AV118" i="5"/>
  <c r="AW118" i="5"/>
  <c r="AI116" i="7"/>
  <c r="AG117" i="7"/>
  <c r="CL118" i="8"/>
  <c r="BY117" i="8"/>
  <c r="CQ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U116" i="8"/>
  <c r="F125" i="8"/>
  <c r="BP121" i="5" a="1"/>
  <c r="BP121" i="5" s="1"/>
  <c r="J121" i="2" s="1"/>
  <c r="O126" i="1"/>
  <c r="CD116" i="8"/>
  <c r="BX117" i="8"/>
  <c r="CD117" i="8" s="1"/>
  <c r="BT117" i="8"/>
  <c r="BO117" i="8"/>
  <c r="BP117" i="8"/>
  <c r="BM117" i="8"/>
  <c r="BN117" i="8"/>
  <c r="BK117" i="8"/>
  <c r="BL117" i="8"/>
  <c r="BJ117" i="8"/>
  <c r="AC117" i="10"/>
  <c r="X117" i="10" s="1"/>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R117" i="8" s="1"/>
  <c r="CC117" i="8"/>
  <c r="CB117" i="8"/>
  <c r="CT117" i="8" s="1"/>
  <c r="AB116" i="11"/>
  <c r="Q116" i="8" s="1"/>
  <c r="Y116" i="11"/>
  <c r="AH116" i="1" s="1"/>
  <c r="AD116" i="11"/>
  <c r="AI116" i="1" s="1"/>
  <c r="AC116" i="11"/>
  <c r="U116" i="8" s="1"/>
  <c r="CH117" i="8"/>
  <c r="CZ117" i="8" s="1"/>
  <c r="AA116" i="11"/>
  <c r="AK116" i="1" s="1"/>
  <c r="N117" i="11"/>
  <c r="F119" i="5"/>
  <c r="B120" i="5"/>
  <c r="DC120" i="5"/>
  <c r="BU120" i="5"/>
  <c r="B120" i="2"/>
  <c r="B120" i="1"/>
  <c r="BG120" i="1" s="1"/>
  <c r="AH120" i="5"/>
  <c r="BZ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N130" i="9" l="1"/>
  <c r="BK131" i="11" s="1"/>
  <c r="AI131" i="11" s="1"/>
  <c r="CV117" i="8"/>
  <c r="CW117" i="8" s="1"/>
  <c r="CU117" i="8"/>
  <c r="AS117" i="8"/>
  <c r="AO118" i="5"/>
  <c r="AM118" i="5"/>
  <c r="AN118" i="5"/>
  <c r="AR118" i="5" s="1"/>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Y116" i="8"/>
  <c r="F126" i="8"/>
  <c r="BP122" i="5" a="1"/>
  <c r="BP122" i="5" s="1"/>
  <c r="J122" i="2" s="1"/>
  <c r="O127" i="1"/>
  <c r="CE117" i="8"/>
  <c r="BX118" i="8"/>
  <c r="CE118" i="8" s="1"/>
  <c r="CX118" i="8" s="1"/>
  <c r="BT118" i="8"/>
  <c r="BO118" i="8"/>
  <c r="BP118" i="8"/>
  <c r="BM118" i="8"/>
  <c r="BN118" i="8"/>
  <c r="BK118" i="8"/>
  <c r="BL118" i="8"/>
  <c r="BJ118" i="8"/>
  <c r="AC118" i="10"/>
  <c r="X118" i="10" s="1"/>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S117" i="8"/>
  <c r="AQ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Z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CQ118" i="8" s="1"/>
  <c r="BZ118" i="8"/>
  <c r="CR118" i="8" s="1"/>
  <c r="CH118" i="8"/>
  <c r="CZ118" i="8" s="1"/>
  <c r="CC118" i="8"/>
  <c r="CA118" i="8"/>
  <c r="CB118" i="8"/>
  <c r="CT118" i="8" s="1"/>
  <c r="DA120" i="5"/>
  <c r="DG120" i="5" s="1" a="1"/>
  <c r="DG120" i="5" s="1"/>
  <c r="AB121" i="1"/>
  <c r="DI121" i="5"/>
  <c r="AG130" i="9"/>
  <c r="AK130" i="9"/>
  <c r="N106" i="1"/>
  <c r="S123" i="2"/>
  <c r="N124" i="2"/>
  <c r="R124" i="2"/>
  <c r="Q123" i="2"/>
  <c r="J125" i="10"/>
  <c r="N125" i="5" s="1"/>
  <c r="P125" i="2"/>
  <c r="AN131" i="9" l="1"/>
  <c r="BK132" i="11" s="1"/>
  <c r="AI132" i="11" s="1"/>
  <c r="CX117" i="8"/>
  <c r="CY117" i="8" s="1"/>
  <c r="CV118" i="8"/>
  <c r="CW118" i="8" s="1"/>
  <c r="AS118" i="8"/>
  <c r="AO119" i="5"/>
  <c r="AM119" i="5"/>
  <c r="AN119" i="5"/>
  <c r="AR119" i="5" s="1"/>
  <c r="AV120" i="5"/>
  <c r="AW120" i="5"/>
  <c r="AG119"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CQ119" i="8" s="1"/>
  <c r="AD118" i="11"/>
  <c r="AI118" i="1" s="1"/>
  <c r="Z118" i="11"/>
  <c r="Y118" i="11"/>
  <c r="AH118" i="1" s="1"/>
  <c r="AC118" i="11"/>
  <c r="U118" i="8" s="1"/>
  <c r="AB118" i="11"/>
  <c r="Q118" i="8" s="1"/>
  <c r="B119" i="14"/>
  <c r="AA118" i="11"/>
  <c r="AK118" i="1" s="1"/>
  <c r="Q119" i="7"/>
  <c r="AI119" i="7" s="1"/>
  <c r="CA119" i="8"/>
  <c r="CC119" i="8"/>
  <c r="BZ119" i="8"/>
  <c r="CR119" i="8" s="1"/>
  <c r="CH119" i="8"/>
  <c r="CZ119" i="8" s="1"/>
  <c r="CI119" i="8"/>
  <c r="DA119" i="8" s="1"/>
  <c r="D120" i="9"/>
  <c r="N119" i="7"/>
  <c r="B122" i="5"/>
  <c r="B122" i="1"/>
  <c r="BG122" i="1" s="1"/>
  <c r="AH122" i="5"/>
  <c r="BU122" i="5"/>
  <c r="B122" i="2"/>
  <c r="BZ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U118" i="8"/>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AQ118" i="5"/>
  <c r="B118" i="14"/>
  <c r="CZ122" i="5"/>
  <c r="AB122" i="1"/>
  <c r="DI122" i="5"/>
  <c r="DA121" i="5"/>
  <c r="DG121" i="5" s="1" a="1"/>
  <c r="DG121" i="5" s="1"/>
  <c r="AG131" i="9"/>
  <c r="AK131" i="9"/>
  <c r="N107" i="1"/>
  <c r="S124" i="2"/>
  <c r="N125" i="2"/>
  <c r="R125" i="2"/>
  <c r="Q124" i="2"/>
  <c r="P126" i="2"/>
  <c r="J126" i="10"/>
  <c r="N126" i="5" s="1"/>
  <c r="AN132" i="9" l="1"/>
  <c r="BK133" i="11" s="1"/>
  <c r="AI133" i="11" s="1"/>
  <c r="CV119" i="8"/>
  <c r="CW119" i="8" s="1"/>
  <c r="AS119" i="8"/>
  <c r="AO120" i="5"/>
  <c r="AM120" i="5"/>
  <c r="AN120" i="5"/>
  <c r="AR120" i="5" s="1"/>
  <c r="AV121" i="5"/>
  <c r="AW121" i="5"/>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Y118" i="8"/>
  <c r="CU119" i="8"/>
  <c r="F128" i="8"/>
  <c r="BP124" i="5" a="1"/>
  <c r="BP124" i="5" s="1"/>
  <c r="J124" i="2" s="1"/>
  <c r="O129" i="1"/>
  <c r="AK124" i="11"/>
  <c r="CE119" i="8"/>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AQ119" i="5"/>
  <c r="DB119" i="8"/>
  <c r="D121" i="9"/>
  <c r="B123" i="5"/>
  <c r="B123" i="2"/>
  <c r="B123" i="1"/>
  <c r="BG123" i="1" s="1"/>
  <c r="AH123" i="5"/>
  <c r="BU123" i="5"/>
  <c r="BZ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Q120" i="8" s="1"/>
  <c r="CA120" i="8"/>
  <c r="BZ120" i="8"/>
  <c r="CR120" i="8" s="1"/>
  <c r="CC120" i="8"/>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N133" i="9" l="1"/>
  <c r="BK134" i="11" s="1"/>
  <c r="AI134" i="11" s="1"/>
  <c r="CX119" i="8"/>
  <c r="CY119" i="8" s="1"/>
  <c r="CV120" i="8"/>
  <c r="CW120" i="8" s="1"/>
  <c r="AS120" i="8"/>
  <c r="AO121" i="5"/>
  <c r="AM121" i="5"/>
  <c r="AN121" i="5"/>
  <c r="AR121" i="5" s="1"/>
  <c r="AV122" i="5"/>
  <c r="AW122" i="5"/>
  <c r="AI120"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CX121" i="8" s="1"/>
  <c r="BT121" i="8"/>
  <c r="BO121" i="8"/>
  <c r="BP121" i="8"/>
  <c r="BM121" i="8"/>
  <c r="BN121" i="8"/>
  <c r="BK121" i="8"/>
  <c r="BL121" i="8"/>
  <c r="BJ121" i="8"/>
  <c r="AC121" i="10"/>
  <c r="X121" i="10" s="1"/>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Z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U120" i="8"/>
  <c r="D122" i="9"/>
  <c r="CE120" i="8"/>
  <c r="DH122" i="8"/>
  <c r="DI122" i="8" s="1"/>
  <c r="Q121" i="7"/>
  <c r="CK122" i="8"/>
  <c r="BW122" i="8"/>
  <c r="BI122" i="8"/>
  <c r="N121" i="7"/>
  <c r="BT122" i="5"/>
  <c r="BH122" i="8"/>
  <c r="BU122" i="8" s="1"/>
  <c r="AH133" i="9"/>
  <c r="B121" i="14"/>
  <c r="A122" i="10"/>
  <c r="AA122" i="10" s="1"/>
  <c r="DB120" i="8"/>
  <c r="E122" i="1"/>
  <c r="AI122" i="5"/>
  <c r="B122" i="9"/>
  <c r="Y122" i="9" s="1"/>
  <c r="AC122" i="8"/>
  <c r="BQ122" i="8" s="1"/>
  <c r="AJ122" i="5"/>
  <c r="AP122" i="5" s="1"/>
  <c r="A122" i="11"/>
  <c r="X122" i="8"/>
  <c r="DD122" i="8" s="1"/>
  <c r="B122" i="7"/>
  <c r="AQ120" i="5"/>
  <c r="CI121" i="8"/>
  <c r="DA121" i="8" s="1"/>
  <c r="CH121" i="8"/>
  <c r="CZ121" i="8" s="1"/>
  <c r="CA121" i="8"/>
  <c r="CB121" i="8"/>
  <c r="CT121" i="8" s="1"/>
  <c r="BY121" i="8"/>
  <c r="CQ121" i="8" s="1"/>
  <c r="CC121" i="8"/>
  <c r="BZ121" i="8"/>
  <c r="CR121" i="8" s="1"/>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N134" i="9" l="1"/>
  <c r="BK135" i="11" s="1"/>
  <c r="AI135" i="11" s="1"/>
  <c r="CX120" i="8"/>
  <c r="CY120" i="8" s="1"/>
  <c r="CV121" i="8"/>
  <c r="CW121" i="8" s="1"/>
  <c r="AS121" i="8"/>
  <c r="AO122" i="5"/>
  <c r="AM122" i="5"/>
  <c r="AN122" i="5"/>
  <c r="AR122" i="5" s="1"/>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Z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U121" i="8"/>
  <c r="D123" i="9"/>
  <c r="DH123" i="8"/>
  <c r="DI123" i="8" s="1"/>
  <c r="CK123" i="8"/>
  <c r="BW123" i="8"/>
  <c r="AC123" i="1" s="1"/>
  <c r="BX122" i="8"/>
  <c r="CE122" i="8" s="1"/>
  <c r="CX122" i="8" s="1"/>
  <c r="N122" i="7"/>
  <c r="BH123" i="8"/>
  <c r="BU123" i="8" s="1"/>
  <c r="BI123" i="8"/>
  <c r="AH134" i="9"/>
  <c r="AQ121" i="5"/>
  <c r="BZ122" i="8"/>
  <c r="CR122" i="8" s="1"/>
  <c r="BY122" i="8"/>
  <c r="CQ122" i="8" s="1"/>
  <c r="CC122" i="8"/>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N135" i="9" l="1"/>
  <c r="BK136" i="11" s="1"/>
  <c r="AI136" i="11" s="1"/>
  <c r="CV122" i="8"/>
  <c r="CW122" i="8" s="1"/>
  <c r="AS122" i="8"/>
  <c r="AO123" i="5"/>
  <c r="AM123" i="5"/>
  <c r="AN123" i="5"/>
  <c r="AR123" i="5" s="1"/>
  <c r="AV124" i="5"/>
  <c r="AW124" i="5"/>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Y121" i="8"/>
  <c r="F131" i="8"/>
  <c r="BP127" i="5" a="1"/>
  <c r="BP127" i="5" s="1"/>
  <c r="J127" i="2" s="1"/>
  <c r="AK127" i="11"/>
  <c r="E124" i="1"/>
  <c r="O132" i="1"/>
  <c r="BX123" i="8"/>
  <c r="CE123" i="8" s="1"/>
  <c r="CX123" i="8" s="1"/>
  <c r="BT123" i="8"/>
  <c r="BO123" i="8"/>
  <c r="BP123" i="8"/>
  <c r="BM123" i="8"/>
  <c r="BN123" i="8"/>
  <c r="BK123" i="8"/>
  <c r="BL123" i="8"/>
  <c r="BJ123" i="8"/>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Z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U122" i="8"/>
  <c r="D124" i="9"/>
  <c r="CD122" i="8"/>
  <c r="N123" i="7"/>
  <c r="AH135" i="9"/>
  <c r="AQ122" i="5"/>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H123" i="8"/>
  <c r="CZ123" i="8" s="1"/>
  <c r="CA123" i="8"/>
  <c r="CB123" i="8"/>
  <c r="CT123" i="8" s="1"/>
  <c r="BY123" i="8"/>
  <c r="CQ123" i="8" s="1"/>
  <c r="BZ123" i="8"/>
  <c r="CR123" i="8" s="1"/>
  <c r="AB126" i="1"/>
  <c r="DI126" i="5"/>
  <c r="DA125" i="5"/>
  <c r="DG125" i="5" s="1" a="1"/>
  <c r="DG125" i="5" s="1"/>
  <c r="AG135" i="9"/>
  <c r="AK135" i="9"/>
  <c r="N111" i="1"/>
  <c r="S128" i="2"/>
  <c r="N129" i="2"/>
  <c r="R129" i="2"/>
  <c r="Q128" i="2"/>
  <c r="J130" i="10"/>
  <c r="N130" i="5" s="1"/>
  <c r="P130" i="2"/>
  <c r="AN136" i="9" l="1"/>
  <c r="CV123" i="8"/>
  <c r="CW123" i="8" s="1"/>
  <c r="AS123" i="8"/>
  <c r="AO124" i="5"/>
  <c r="AM124" i="5"/>
  <c r="AN124" i="5"/>
  <c r="AV125" i="5"/>
  <c r="AW125" i="5"/>
  <c r="AG123" i="7"/>
  <c r="AI123" i="7" s="1"/>
  <c r="AG124" i="7"/>
  <c r="CL125" i="8"/>
  <c r="BZ124" i="8"/>
  <c r="CR124" i="8" s="1"/>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Y122" i="8"/>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H124" i="8"/>
  <c r="CZ124" i="8" s="1"/>
  <c r="CB124" i="8"/>
  <c r="CT124" i="8" s="1"/>
  <c r="BY124" i="8"/>
  <c r="CQ124" i="8" s="1"/>
  <c r="BX124" i="8"/>
  <c r="CE124" i="8" s="1"/>
  <c r="CX124" i="8" s="1"/>
  <c r="D125" i="9"/>
  <c r="CS122" i="8"/>
  <c r="BU127" i="5"/>
  <c r="AH127" i="5"/>
  <c r="B127" i="2"/>
  <c r="B127" i="1"/>
  <c r="BG127" i="1" s="1"/>
  <c r="B127" i="5"/>
  <c r="BZ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U123" i="8"/>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126" i="5"/>
  <c r="F126" i="5" s="1"/>
  <c r="B123" i="14"/>
  <c r="DA126" i="5"/>
  <c r="DG126" i="5" s="1" a="1"/>
  <c r="DG126" i="5" s="1"/>
  <c r="AB127" i="1"/>
  <c r="DI127" i="5"/>
  <c r="AG136" i="9"/>
  <c r="AK136" i="9"/>
  <c r="N112" i="1"/>
  <c r="S129" i="2"/>
  <c r="N130" i="2"/>
  <c r="R130" i="2"/>
  <c r="Q129" i="2"/>
  <c r="J131" i="10"/>
  <c r="N131" i="5" s="1"/>
  <c r="P131" i="2"/>
  <c r="CV124" i="8" l="1"/>
  <c r="CW124" i="8" s="1"/>
  <c r="AS124" i="8"/>
  <c r="AO125" i="5"/>
  <c r="AM125" i="5"/>
  <c r="AN125" i="5"/>
  <c r="AR125" i="5" s="1"/>
  <c r="AV126" i="5"/>
  <c r="AW126" i="5"/>
  <c r="AI124" i="7"/>
  <c r="CL126"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Y123" i="8"/>
  <c r="CU124" i="8"/>
  <c r="F133" i="8"/>
  <c r="BP129" i="5" a="1"/>
  <c r="BP129" i="5" s="1"/>
  <c r="J129" i="2" s="1"/>
  <c r="O134" i="1"/>
  <c r="BX125" i="8"/>
  <c r="CE125" i="8" s="1"/>
  <c r="CX125" i="8" s="1"/>
  <c r="BT125" i="8"/>
  <c r="BO125" i="8"/>
  <c r="BP125" i="8"/>
  <c r="BM125" i="8"/>
  <c r="BN125" i="8"/>
  <c r="BK125" i="8"/>
  <c r="BL125" i="8"/>
  <c r="BJ125" i="8"/>
  <c r="AC125" i="10"/>
  <c r="X125" i="10" s="1"/>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Z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CQ125" i="8" s="1"/>
  <c r="BZ125" i="8"/>
  <c r="CR125" i="8" s="1"/>
  <c r="CC125" i="8"/>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CV125" i="8" l="1"/>
  <c r="CW125" i="8" s="1"/>
  <c r="AS125" i="8"/>
  <c r="AO126" i="5"/>
  <c r="AM126" i="5"/>
  <c r="AN126" i="5"/>
  <c r="AR126" i="5" s="1"/>
  <c r="AV127" i="5"/>
  <c r="AW127" i="5"/>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Y124" i="8"/>
  <c r="BU129" i="5"/>
  <c r="AH129" i="5"/>
  <c r="B129" i="2"/>
  <c r="B129" i="1"/>
  <c r="BG129" i="1" s="1"/>
  <c r="BZ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U125" i="8"/>
  <c r="D127" i="9"/>
  <c r="DH127" i="8"/>
  <c r="DI127" i="8" s="1"/>
  <c r="CK127" i="8"/>
  <c r="BW127" i="8"/>
  <c r="AC127" i="1" s="1"/>
  <c r="AQ125" i="5"/>
  <c r="BX126" i="8"/>
  <c r="CE126" i="8" s="1"/>
  <c r="CX126" i="8" s="1"/>
  <c r="N126" i="7"/>
  <c r="BH127" i="8"/>
  <c r="BU127" i="8" s="1"/>
  <c r="BI127" i="8"/>
  <c r="B125" i="14"/>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H126" i="8"/>
  <c r="CZ126" i="8" s="1"/>
  <c r="CB126" i="8"/>
  <c r="CT126" i="8" s="1"/>
  <c r="CA126" i="8"/>
  <c r="BY126" i="8"/>
  <c r="CQ126" i="8" s="1"/>
  <c r="BZ126" i="8"/>
  <c r="CR126" i="8" s="1"/>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CV126" i="8" l="1"/>
  <c r="CW126" i="8" s="1"/>
  <c r="AS126" i="8"/>
  <c r="AO127" i="5"/>
  <c r="AM127" i="5"/>
  <c r="AN127" i="5"/>
  <c r="AR127" i="5" s="1"/>
  <c r="AV128" i="5"/>
  <c r="AW128" i="5"/>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Y125" i="8"/>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Z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U126" i="8"/>
  <c r="D128" i="9"/>
  <c r="CD126" i="8"/>
  <c r="DH128" i="8"/>
  <c r="DI128" i="8" s="1"/>
  <c r="CK128" i="8"/>
  <c r="BW128" i="8"/>
  <c r="AC128" i="1" s="1"/>
  <c r="N127" i="7"/>
  <c r="BH128" i="8"/>
  <c r="BU128" i="8" s="1"/>
  <c r="BI128"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CQ127" i="8" s="1"/>
  <c r="BZ127" i="8"/>
  <c r="CR127" i="8" s="1"/>
  <c r="CA127" i="8"/>
  <c r="CC127" i="8"/>
  <c r="CH127" i="8"/>
  <c r="CZ127" i="8" s="1"/>
  <c r="CB127" i="8"/>
  <c r="CT127" i="8" s="1"/>
  <c r="AE127" i="7"/>
  <c r="AF127" i="7" s="1"/>
  <c r="Q127" i="7"/>
  <c r="AB130" i="1"/>
  <c r="DI130" i="5"/>
  <c r="DA129" i="5"/>
  <c r="DG129" i="5" s="1" a="1"/>
  <c r="DG129" i="5" s="1"/>
  <c r="N115" i="1"/>
  <c r="S132" i="2"/>
  <c r="N133" i="2"/>
  <c r="R133" i="2"/>
  <c r="Q132" i="2"/>
  <c r="J134" i="10"/>
  <c r="N134" i="5" s="1"/>
  <c r="P134" i="2"/>
  <c r="CV127" i="8" l="1"/>
  <c r="CW127" i="8" s="1"/>
  <c r="AS127" i="8"/>
  <c r="AO128" i="5"/>
  <c r="AM128" i="5"/>
  <c r="AN128" i="5"/>
  <c r="AR128" i="5" s="1"/>
  <c r="AV129" i="5"/>
  <c r="AW129" i="5"/>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Y126" i="8"/>
  <c r="F136" i="8"/>
  <c r="AE136" i="1" s="1"/>
  <c r="BP132" i="5" a="1"/>
  <c r="BP132" i="5" s="1"/>
  <c r="J132" i="2" s="1"/>
  <c r="CE127" i="8"/>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Z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U127" i="8"/>
  <c r="D129" i="9"/>
  <c r="DH129" i="8"/>
  <c r="DI129" i="8" s="1"/>
  <c r="CK129" i="8"/>
  <c r="BW129" i="8"/>
  <c r="AC129" i="1" s="1"/>
  <c r="N128" i="7"/>
  <c r="BH129" i="8"/>
  <c r="BU129" i="8" s="1"/>
  <c r="BI129" i="8"/>
  <c r="DB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H128" i="8"/>
  <c r="CZ128" i="8" s="1"/>
  <c r="CA128" i="8"/>
  <c r="CB128" i="8"/>
  <c r="CT128" i="8" s="1"/>
  <c r="BY128" i="8"/>
  <c r="CQ128" i="8" s="1"/>
  <c r="BZ128" i="8"/>
  <c r="CR128" i="8" s="1"/>
  <c r="CI128" i="8"/>
  <c r="DA128" i="8" s="1"/>
  <c r="AQ127" i="5"/>
  <c r="Q128" i="7"/>
  <c r="AE128" i="7"/>
  <c r="AF128" i="7" s="1"/>
  <c r="DA130" i="5"/>
  <c r="DG130" i="5" s="1" a="1"/>
  <c r="DG130" i="5" s="1"/>
  <c r="AB131" i="1"/>
  <c r="DI131" i="5"/>
  <c r="N116" i="1"/>
  <c r="S133" i="2"/>
  <c r="N134" i="2"/>
  <c r="R134" i="2"/>
  <c r="Q133" i="2"/>
  <c r="P135" i="2"/>
  <c r="J135" i="10"/>
  <c r="N135" i="5" s="1"/>
  <c r="CX127" i="8" l="1"/>
  <c r="CY127" i="8" s="1"/>
  <c r="CV128" i="8"/>
  <c r="CW128" i="8" s="1"/>
  <c r="AS128" i="8"/>
  <c r="AO129" i="5"/>
  <c r="AM129" i="5"/>
  <c r="AN129" i="5"/>
  <c r="AV130" i="5"/>
  <c r="AW130" i="5"/>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BX129" i="8"/>
  <c r="CE129" i="8" s="1"/>
  <c r="CX129" i="8" s="1"/>
  <c r="BT129" i="8"/>
  <c r="BO129" i="8"/>
  <c r="BP129" i="8"/>
  <c r="BM129" i="8"/>
  <c r="BN129" i="8"/>
  <c r="BK129" i="8"/>
  <c r="BL129" i="8"/>
  <c r="BJ129" i="8"/>
  <c r="AC129" i="10"/>
  <c r="X129" i="10" s="1"/>
  <c r="AR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Z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U128" i="8"/>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CR129" i="8" s="1"/>
  <c r="BY129" i="8"/>
  <c r="CQ129" i="8" s="1"/>
  <c r="CH129" i="8"/>
  <c r="CZ129" i="8" s="1"/>
  <c r="CC129" i="8"/>
  <c r="C131" i="5"/>
  <c r="F131" i="5" s="1"/>
  <c r="CI129" i="8"/>
  <c r="DA129" i="8" s="1"/>
  <c r="B128" i="14"/>
  <c r="AQ128" i="5"/>
  <c r="AE129" i="7"/>
  <c r="AF129" i="7" s="1"/>
  <c r="Q129" i="7"/>
  <c r="AB132" i="1"/>
  <c r="DI132" i="5"/>
  <c r="DA131" i="5"/>
  <c r="DG131" i="5" s="1" a="1"/>
  <c r="DG131" i="5" s="1"/>
  <c r="N117" i="1"/>
  <c r="S134" i="2"/>
  <c r="N135" i="2"/>
  <c r="R135" i="2"/>
  <c r="Q134" i="2"/>
  <c r="J136" i="10"/>
  <c r="N136" i="5" s="1"/>
  <c r="P136" i="2"/>
  <c r="CX128" i="8" l="1"/>
  <c r="CY128" i="8" s="1"/>
  <c r="CV129" i="8"/>
  <c r="CW129" i="8" s="1"/>
  <c r="AS129" i="8"/>
  <c r="AO130" i="5"/>
  <c r="AM130" i="5"/>
  <c r="AN130" i="5"/>
  <c r="AR130" i="5" s="1"/>
  <c r="AV131" i="5"/>
  <c r="AW131" i="5"/>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Z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U129" i="8"/>
  <c r="D131" i="9"/>
  <c r="DH131" i="8"/>
  <c r="DI131" i="8" s="1"/>
  <c r="CK131" i="8"/>
  <c r="BW131" i="8"/>
  <c r="AC131" i="1" s="1"/>
  <c r="N130" i="7"/>
  <c r="BH131" i="8"/>
  <c r="BU131" i="8" s="1"/>
  <c r="BI131" i="8"/>
  <c r="CZ132" i="5"/>
  <c r="D132" i="7"/>
  <c r="B132" i="10"/>
  <c r="G133" i="5"/>
  <c r="B132" i="5"/>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R130" i="8" s="1"/>
  <c r="CC130" i="8"/>
  <c r="CH130" i="8"/>
  <c r="CZ130" i="8" s="1"/>
  <c r="CA130" i="8"/>
  <c r="BY130" i="8"/>
  <c r="CQ130" i="8" s="1"/>
  <c r="CB130" i="8"/>
  <c r="CT130" i="8" s="1"/>
  <c r="DB129" i="8"/>
  <c r="DA132" i="5"/>
  <c r="AB133" i="1"/>
  <c r="DI133" i="5"/>
  <c r="N118" i="1"/>
  <c r="S135" i="2"/>
  <c r="S136" i="2"/>
  <c r="Q135" i="2"/>
  <c r="Q136" i="2"/>
  <c r="CV130" i="8" l="1"/>
  <c r="CW130" i="8" s="1"/>
  <c r="AS130" i="8"/>
  <c r="AO131" i="5"/>
  <c r="AM131" i="5"/>
  <c r="AN131" i="5"/>
  <c r="AR131" i="5" s="1"/>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Y129" i="8"/>
  <c r="BP135" i="5" a="1"/>
  <c r="BP135" i="5" s="1"/>
  <c r="J135" i="2" s="1"/>
  <c r="DG132" i="5" a="1"/>
  <c r="DG132" i="5" s="1"/>
  <c r="CE130" i="8"/>
  <c r="BT131" i="8"/>
  <c r="BO131" i="8"/>
  <c r="BP131" i="8"/>
  <c r="BM131" i="8"/>
  <c r="BN131" i="8"/>
  <c r="BK131" i="8"/>
  <c r="BL131" i="8"/>
  <c r="BJ131" i="8"/>
  <c r="AC131" i="10"/>
  <c r="X131" i="10" s="1"/>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Z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U130" i="8"/>
  <c r="D132" i="9"/>
  <c r="BX131" i="8"/>
  <c r="CD131" i="8" s="1"/>
  <c r="N131" i="7"/>
  <c r="CZ133" i="5"/>
  <c r="F132" i="5"/>
  <c r="D133" i="7"/>
  <c r="B133" i="10"/>
  <c r="G134" i="5"/>
  <c r="B133" i="5"/>
  <c r="AQ130" i="5"/>
  <c r="DB130" i="8"/>
  <c r="C133" i="5"/>
  <c r="AE131" i="7"/>
  <c r="AF131" i="7" s="1"/>
  <c r="Q131" i="7"/>
  <c r="B130" i="14"/>
  <c r="CH131" i="8"/>
  <c r="CZ131" i="8" s="1"/>
  <c r="CA131" i="8"/>
  <c r="CB131" i="8"/>
  <c r="CT131" i="8" s="1"/>
  <c r="BY131" i="8"/>
  <c r="CQ131" i="8" s="1"/>
  <c r="BZ131" i="8"/>
  <c r="CR131" i="8" s="1"/>
  <c r="CC131" i="8"/>
  <c r="AD130" i="11"/>
  <c r="AI130" i="1" s="1"/>
  <c r="AC130" i="11"/>
  <c r="U130" i="8" s="1"/>
  <c r="AB130" i="11"/>
  <c r="Q130" i="8" s="1"/>
  <c r="Y130" i="11"/>
  <c r="AH130" i="1" s="1"/>
  <c r="N131" i="11"/>
  <c r="Z130" i="11"/>
  <c r="AA130" i="11"/>
  <c r="AK130" i="1" s="1"/>
  <c r="CI131" i="8"/>
  <c r="DA131" i="8" s="1"/>
  <c r="AB134" i="1"/>
  <c r="DI134" i="5"/>
  <c r="DA133" i="5"/>
  <c r="N119" i="1"/>
  <c r="CX130" i="8" l="1"/>
  <c r="CY130" i="8" s="1"/>
  <c r="CV131" i="8"/>
  <c r="CW131" i="8" s="1"/>
  <c r="AS131" i="8"/>
  <c r="AV132" i="5"/>
  <c r="AW132" i="5"/>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U131" i="8"/>
  <c r="DH132" i="8"/>
  <c r="DI132" i="8" s="1"/>
  <c r="CE131" i="8"/>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AQ131" i="5"/>
  <c r="C134" i="5"/>
  <c r="B131" i="14"/>
  <c r="DB131" i="8"/>
  <c r="DA134" i="5"/>
  <c r="AB135" i="1"/>
  <c r="DI135" i="5"/>
  <c r="N120" i="1"/>
  <c r="W136" i="1"/>
  <c r="CX131" i="8" l="1"/>
  <c r="CY131" i="8" s="1"/>
  <c r="AO132" i="5"/>
  <c r="AM132" i="5"/>
  <c r="AN132" i="5"/>
  <c r="AV133" i="5"/>
  <c r="AW133" i="5"/>
  <c r="CL133" i="8"/>
  <c r="CC132" i="8"/>
  <c r="AC132" i="1"/>
  <c r="BR132" i="8"/>
  <c r="BS132" i="8"/>
  <c r="AS136" i="5"/>
  <c r="V135" i="2"/>
  <c r="DG134" i="5" a="1"/>
  <c r="DG134" i="5" s="1"/>
  <c r="BX132" i="8"/>
  <c r="CE132" i="8" s="1"/>
  <c r="CX132" i="8" s="1"/>
  <c r="BT132" i="8"/>
  <c r="BO132" i="8"/>
  <c r="BP132" i="8"/>
  <c r="BM132" i="8"/>
  <c r="BN132" i="8"/>
  <c r="BK132" i="8"/>
  <c r="BL132" i="8"/>
  <c r="BJ132" i="8"/>
  <c r="AC132" i="10"/>
  <c r="X132" i="10" s="1"/>
  <c r="AR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CQ132" i="8" s="1"/>
  <c r="BT133" i="5"/>
  <c r="E133" i="1"/>
  <c r="CB132" i="8"/>
  <c r="CT132" i="8" s="1"/>
  <c r="BZ132" i="8"/>
  <c r="CR132" i="8" s="1"/>
  <c r="CA132" i="8"/>
  <c r="CH132" i="8"/>
  <c r="CZ132" i="8" s="1"/>
  <c r="X133" i="8"/>
  <c r="DD133" i="8" s="1"/>
  <c r="AC133" i="8"/>
  <c r="BQ133" i="8" s="1"/>
  <c r="A133" i="10"/>
  <c r="AA133" i="10" s="1"/>
  <c r="B133" i="7"/>
  <c r="AE133" i="7" s="1"/>
  <c r="AF133" i="7" s="1"/>
  <c r="F134" i="5"/>
  <c r="B135" i="10"/>
  <c r="D135" i="7"/>
  <c r="G136" i="5"/>
  <c r="B135" i="5"/>
  <c r="C135" i="5"/>
  <c r="AB136" i="1"/>
  <c r="DI136" i="5"/>
  <c r="DA135" i="5"/>
  <c r="N121" i="1"/>
  <c r="CV132" i="8" l="1"/>
  <c r="CW132" i="8" s="1"/>
  <c r="AS132" i="8"/>
  <c r="AO133" i="5"/>
  <c r="AM133" i="5"/>
  <c r="AN133" i="5"/>
  <c r="AV134" i="5"/>
  <c r="AW134" i="5"/>
  <c r="AG133" i="7"/>
  <c r="AG132" i="7"/>
  <c r="AI132" i="7" s="1"/>
  <c r="CL134" i="8"/>
  <c r="CC133" i="8"/>
  <c r="AC133" i="1"/>
  <c r="BR133" i="8"/>
  <c r="BS133" i="8"/>
  <c r="CZ136" i="5"/>
  <c r="V136" i="2"/>
  <c r="CD132" i="8"/>
  <c r="DG135" i="5" a="1"/>
  <c r="DG135" i="5" s="1"/>
  <c r="BX133" i="8"/>
  <c r="CE133" i="8" s="1"/>
  <c r="CX133" i="8" s="1"/>
  <c r="BT133" i="8"/>
  <c r="BO133" i="8"/>
  <c r="BP133" i="8"/>
  <c r="BM133" i="8"/>
  <c r="BN133" i="8"/>
  <c r="BK133" i="8"/>
  <c r="BL133" i="8"/>
  <c r="BJ133" i="8"/>
  <c r="AC133" i="10"/>
  <c r="X133" i="10" s="1"/>
  <c r="CU132" i="8"/>
  <c r="DB132" i="8"/>
  <c r="CI133" i="8"/>
  <c r="DA133" i="8" s="1"/>
  <c r="D134" i="9"/>
  <c r="DH134" i="8"/>
  <c r="DI134" i="8" s="1"/>
  <c r="CK134" i="8"/>
  <c r="BW134" i="8"/>
  <c r="BI134" i="8"/>
  <c r="N133" i="7"/>
  <c r="A134" i="10"/>
  <c r="AA134" i="10" s="1"/>
  <c r="BH134" i="8"/>
  <c r="BU134" i="8" s="1"/>
  <c r="BY133" i="8"/>
  <c r="CQ133" i="8" s="1"/>
  <c r="CH133" i="8"/>
  <c r="CZ133" i="8" s="1"/>
  <c r="AQ132" i="5"/>
  <c r="CB133" i="8"/>
  <c r="CT133" i="8" s="1"/>
  <c r="CA133" i="8"/>
  <c r="BZ133" i="8"/>
  <c r="CR133" i="8" s="1"/>
  <c r="AA132" i="11"/>
  <c r="AK132" i="1" s="1"/>
  <c r="Z132" i="11"/>
  <c r="AD132" i="11"/>
  <c r="AI132" i="1" s="1"/>
  <c r="AC132" i="11"/>
  <c r="U132" i="8" s="1"/>
  <c r="Y132" i="11"/>
  <c r="AH132" i="1" s="1"/>
  <c r="AB132" i="11"/>
  <c r="Q132" i="8" s="1"/>
  <c r="A134" i="11"/>
  <c r="Y133" i="11" s="1"/>
  <c r="AH133" i="1" s="1"/>
  <c r="B132" i="14"/>
  <c r="E134" i="1"/>
  <c r="AJ134" i="5"/>
  <c r="AP134" i="5" s="1"/>
  <c r="AC134" i="8"/>
  <c r="BQ134" i="8" s="1"/>
  <c r="Q133" i="7"/>
  <c r="F135" i="5"/>
  <c r="AI134" i="5"/>
  <c r="BT134" i="5"/>
  <c r="B134" i="7"/>
  <c r="Q134" i="7" s="1"/>
  <c r="X134" i="8"/>
  <c r="DD134" i="8" s="1"/>
  <c r="B134" i="9"/>
  <c r="Y134" i="9" s="1"/>
  <c r="B136" i="5"/>
  <c r="B136" i="10"/>
  <c r="D136" i="7"/>
  <c r="C136" i="5"/>
  <c r="B133" i="14"/>
  <c r="DA136" i="5"/>
  <c r="N122" i="1"/>
  <c r="CV133" i="8" l="1"/>
  <c r="CW133" i="8" s="1"/>
  <c r="AS133" i="8"/>
  <c r="AR133" i="5"/>
  <c r="AO134" i="5"/>
  <c r="AM134" i="5"/>
  <c r="AN134" i="5"/>
  <c r="AR134" i="5" s="1"/>
  <c r="AV135" i="5"/>
  <c r="AW135" i="5"/>
  <c r="AI133" i="7"/>
  <c r="CL135" i="8"/>
  <c r="CC134" i="8"/>
  <c r="AC134" i="1"/>
  <c r="DG136" i="5" a="1"/>
  <c r="DG136" i="5" s="1"/>
  <c r="BR134" i="8"/>
  <c r="BS134" i="8"/>
  <c r="CY132" i="8"/>
  <c r="CD133" i="8"/>
  <c r="BX134" i="8"/>
  <c r="CD134" i="8" s="1"/>
  <c r="BT134" i="8"/>
  <c r="BO134" i="8"/>
  <c r="BP134" i="8"/>
  <c r="BM134" i="8"/>
  <c r="BN134" i="8"/>
  <c r="BK134" i="8"/>
  <c r="BL134" i="8"/>
  <c r="BJ134" i="8"/>
  <c r="AC134" i="10"/>
  <c r="X134" i="10" s="1"/>
  <c r="CS132" i="8"/>
  <c r="CU133" i="8"/>
  <c r="DB133" i="8"/>
  <c r="D135" i="9"/>
  <c r="AQ133" i="5"/>
  <c r="DH135" i="8"/>
  <c r="DI135" i="8" s="1"/>
  <c r="CK135" i="8"/>
  <c r="BW135" i="8"/>
  <c r="BI135" i="8"/>
  <c r="N134" i="7"/>
  <c r="BH135" i="8"/>
  <c r="BU135" i="8" s="1"/>
  <c r="BZ134" i="8"/>
  <c r="CR134" i="8" s="1"/>
  <c r="AB133" i="11"/>
  <c r="Q133" i="8" s="1"/>
  <c r="N134" i="11"/>
  <c r="AA133" i="11"/>
  <c r="AK133" i="1" s="1"/>
  <c r="AC133" i="11"/>
  <c r="U133" i="8" s="1"/>
  <c r="Z133" i="11"/>
  <c r="AD133" i="11"/>
  <c r="AI133" i="1" s="1"/>
  <c r="CB134" i="8"/>
  <c r="CT134" i="8" s="1"/>
  <c r="AC135" i="8"/>
  <c r="BQ135" i="8" s="1"/>
  <c r="CA134" i="8"/>
  <c r="E135" i="1"/>
  <c r="B135" i="9"/>
  <c r="Y135" i="9" s="1"/>
  <c r="BY134" i="8"/>
  <c r="CQ134" i="8" s="1"/>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CV134" i="8" l="1"/>
  <c r="CW134" i="8" s="1"/>
  <c r="AS134" i="8"/>
  <c r="AO135" i="5"/>
  <c r="AM135" i="5"/>
  <c r="AN135" i="5"/>
  <c r="AR135" i="5" s="1"/>
  <c r="AV136" i="5"/>
  <c r="AW136" i="5"/>
  <c r="AG134" i="7"/>
  <c r="AI134" i="7" s="1"/>
  <c r="CL136" i="8"/>
  <c r="CB135" i="8"/>
  <c r="CT135" i="8" s="1"/>
  <c r="AC135" i="1"/>
  <c r="BR135" i="8"/>
  <c r="BS135" i="8"/>
  <c r="CE134" i="8"/>
  <c r="CY133" i="8"/>
  <c r="BX135" i="8"/>
  <c r="CD135" i="8" s="1"/>
  <c r="BT135" i="8"/>
  <c r="BO135" i="8"/>
  <c r="BP135" i="8"/>
  <c r="BM135" i="8"/>
  <c r="BN135" i="8"/>
  <c r="BK135" i="8"/>
  <c r="BL135" i="8"/>
  <c r="BJ135" i="8"/>
  <c r="AC135" i="10"/>
  <c r="X135" i="10" s="1"/>
  <c r="CS133" i="8"/>
  <c r="CU134" i="8"/>
  <c r="BY135" i="8"/>
  <c r="CQ135" i="8" s="1"/>
  <c r="D136" i="9"/>
  <c r="CA135" i="8"/>
  <c r="DH136" i="8"/>
  <c r="DI136" i="8" s="1"/>
  <c r="BZ135" i="8"/>
  <c r="CR135" i="8" s="1"/>
  <c r="CH135" i="8"/>
  <c r="CZ135" i="8" s="1"/>
  <c r="CK136" i="8"/>
  <c r="BW136" i="8"/>
  <c r="BI136" i="8"/>
  <c r="N135" i="7"/>
  <c r="CC135" i="8"/>
  <c r="BH136" i="8"/>
  <c r="BU136" i="8" s="1"/>
  <c r="B134" i="14"/>
  <c r="AQ134" i="5"/>
  <c r="AE135" i="7"/>
  <c r="AF135" i="7" s="1"/>
  <c r="E136" i="1"/>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X134" i="8" l="1"/>
  <c r="CY134" i="8" s="1"/>
  <c r="CV135" i="8"/>
  <c r="CW135" i="8" s="1"/>
  <c r="AS135" i="8"/>
  <c r="AO136" i="5"/>
  <c r="AM136" i="5"/>
  <c r="AN136" i="5"/>
  <c r="AR136" i="5" s="1"/>
  <c r="AG136" i="7"/>
  <c r="AG135" i="7"/>
  <c r="AI135" i="7" s="1"/>
  <c r="CA136" i="8"/>
  <c r="AC136" i="1"/>
  <c r="BR136" i="8"/>
  <c r="BS136" i="8"/>
  <c r="CE135" i="8"/>
  <c r="BX136" i="8"/>
  <c r="CD136" i="8" s="1"/>
  <c r="BT136" i="8"/>
  <c r="BO136" i="8"/>
  <c r="BP136" i="8"/>
  <c r="BM136" i="8"/>
  <c r="BN136" i="8"/>
  <c r="BK136" i="8"/>
  <c r="BL136" i="8"/>
  <c r="BJ136" i="8"/>
  <c r="AC136" i="10"/>
  <c r="X136" i="10" s="1"/>
  <c r="BY136" i="8"/>
  <c r="CQ136" i="8" s="1"/>
  <c r="CS134" i="8"/>
  <c r="CU135" i="8"/>
  <c r="CH136" i="8"/>
  <c r="CZ136" i="8" s="1"/>
  <c r="CC136" i="8"/>
  <c r="BZ136" i="8"/>
  <c r="CR136" i="8" s="1"/>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X135" i="8" l="1"/>
  <c r="CY135" i="8" s="1"/>
  <c r="CV136" i="8"/>
  <c r="CW136" i="8" s="1"/>
  <c r="AS136" i="8"/>
  <c r="AI136" i="7"/>
  <c r="I65" i="4"/>
  <c r="CU136" i="8"/>
  <c r="CE136" i="8"/>
  <c r="CS135" i="8"/>
  <c r="DB136" i="8"/>
  <c r="AQ136" i="5"/>
  <c r="N126" i="1"/>
  <c r="AH122" i="7"/>
  <c r="CX136" i="8" l="1"/>
  <c r="CY136" i="8" s="1"/>
  <c r="CS136" i="8"/>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Q4" i="1" l="1"/>
  <c r="I67" i="4"/>
  <c r="AT4" i="1"/>
  <c r="H4" i="1" s="1"/>
  <c r="AL4" i="5"/>
  <c r="AU7" i="1"/>
  <c r="AT7" i="1"/>
  <c r="D4" i="11"/>
  <c r="M7" i="1"/>
  <c r="F7" i="11" s="1"/>
  <c r="BM4" i="1"/>
  <c r="L5" i="1"/>
  <c r="E5" i="11" s="1"/>
  <c r="AT8" i="8"/>
  <c r="AW8" i="1" s="1"/>
  <c r="AK4" i="5" l="1"/>
  <c r="V4" i="10"/>
  <c r="AU8" i="1"/>
  <c r="AT8" i="1"/>
  <c r="BK4" i="1"/>
  <c r="M8" i="1"/>
  <c r="F8" i="11" s="1"/>
  <c r="C4" i="11"/>
  <c r="AC4" i="7"/>
  <c r="AJ4" i="7" s="1"/>
  <c r="AQ4" i="8"/>
  <c r="BI4" i="1"/>
  <c r="L6" i="1"/>
  <c r="E6" i="11" s="1"/>
  <c r="BM5" i="1"/>
  <c r="AT9" i="8"/>
  <c r="AW9" i="1" s="1"/>
  <c r="AU9" i="1" l="1"/>
  <c r="AT9" i="1"/>
  <c r="M9" i="1"/>
  <c r="F9" i="11" s="1"/>
  <c r="L7" i="1"/>
  <c r="E7" i="11" s="1"/>
  <c r="BM6" i="1"/>
  <c r="AT10" i="8"/>
  <c r="AW10" i="1" s="1"/>
  <c r="AU10" i="1" l="1"/>
  <c r="AT10" i="1"/>
  <c r="M10" i="1"/>
  <c r="F10" i="11" s="1"/>
  <c r="BM7" i="1"/>
  <c r="L8" i="1"/>
  <c r="E8" i="11" s="1"/>
  <c r="AT11" i="8"/>
  <c r="AW11" i="1" s="1"/>
  <c r="AT11" i="1" l="1"/>
  <c r="AU11" i="1"/>
  <c r="M11" i="1"/>
  <c r="F11" i="11" s="1"/>
  <c r="BM8" i="1"/>
  <c r="L9" i="1"/>
  <c r="E9" i="11" s="1"/>
  <c r="AT12" i="8"/>
  <c r="AW12" i="1" s="1"/>
  <c r="AU12" i="1" l="1"/>
  <c r="AT12" i="1"/>
  <c r="M12" i="1"/>
  <c r="F12" i="11" s="1"/>
  <c r="BM9" i="1"/>
  <c r="L10" i="1"/>
  <c r="AT13" i="8"/>
  <c r="AW13" i="1" s="1"/>
  <c r="AU13" i="1" l="1"/>
  <c r="AT13" i="1"/>
  <c r="M13" i="1"/>
  <c r="F13" i="11" s="1"/>
  <c r="L11" i="1"/>
  <c r="E11" i="11" s="1"/>
  <c r="E10" i="11"/>
  <c r="BM10" i="1"/>
  <c r="AT14" i="8"/>
  <c r="AW14" i="1" s="1"/>
  <c r="AU14" i="1" l="1"/>
  <c r="AT14" i="1"/>
  <c r="M14" i="1"/>
  <c r="F14" i="11" s="1"/>
  <c r="L12" i="1"/>
  <c r="E12" i="11" s="1"/>
  <c r="BM11" i="1"/>
  <c r="AT15" i="8"/>
  <c r="AW15" i="1" s="1"/>
  <c r="AU15" i="1" l="1"/>
  <c r="AT15" i="1"/>
  <c r="M15" i="1"/>
  <c r="F15" i="11" s="1"/>
  <c r="BM12" i="1"/>
  <c r="L13" i="1"/>
  <c r="BM13" i="1" s="1"/>
  <c r="AT16" i="8"/>
  <c r="AW16" i="1" s="1"/>
  <c r="AU16" i="1" l="1"/>
  <c r="AT16" i="1"/>
  <c r="M16" i="1"/>
  <c r="F16" i="11" s="1"/>
  <c r="L14" i="1"/>
  <c r="BM14" i="1" s="1"/>
  <c r="E13" i="11"/>
  <c r="AT17" i="8"/>
  <c r="AW17" i="1" s="1"/>
  <c r="AU17" i="1" l="1"/>
  <c r="AT17" i="1"/>
  <c r="M17" i="1"/>
  <c r="F17" i="11" s="1"/>
  <c r="L15" i="1"/>
  <c r="E15" i="11" s="1"/>
  <c r="E14" i="11"/>
  <c r="AT18" i="8"/>
  <c r="AW18" i="1" s="1"/>
  <c r="AU18" i="1" l="1"/>
  <c r="AT18" i="1"/>
  <c r="M18" i="1"/>
  <c r="F18" i="11" s="1"/>
  <c r="L16" i="1"/>
  <c r="BM16" i="1" s="1"/>
  <c r="BM15" i="1"/>
  <c r="AT19" i="8"/>
  <c r="AW19" i="1" s="1"/>
  <c r="AU19" i="1" l="1"/>
  <c r="AT19" i="1"/>
  <c r="M19" i="1"/>
  <c r="F19" i="11" s="1"/>
  <c r="L17" i="1"/>
  <c r="E16" i="11"/>
  <c r="AT20" i="8"/>
  <c r="AW20" i="1" s="1"/>
  <c r="AU20" i="1" l="1"/>
  <c r="AT20" i="1"/>
  <c r="M20" i="1"/>
  <c r="F20" i="11" s="1"/>
  <c r="E17" i="11"/>
  <c r="L18" i="1"/>
  <c r="L19" i="1" s="1"/>
  <c r="BM17" i="1"/>
  <c r="AT21" i="8"/>
  <c r="AW21" i="1" s="1"/>
  <c r="AU21" i="1" l="1"/>
  <c r="AT21" i="1"/>
  <c r="M21" i="1"/>
  <c r="F21" i="11" s="1"/>
  <c r="E19" i="11"/>
  <c r="BM19" i="1"/>
  <c r="L20" i="1"/>
  <c r="E20" i="11" s="1"/>
  <c r="E18" i="11"/>
  <c r="BM18" i="1"/>
  <c r="AT22" i="8"/>
  <c r="AW22" i="1" s="1"/>
  <c r="AT22" i="1" l="1"/>
  <c r="AU22" i="1"/>
  <c r="M22" i="1"/>
  <c r="F22" i="11" s="1"/>
  <c r="BM20" i="1"/>
  <c r="L21" i="1"/>
  <c r="E21" i="11" s="1"/>
  <c r="AT23" i="8"/>
  <c r="AW23" i="1" s="1"/>
  <c r="AU23" i="1" l="1"/>
  <c r="AT23" i="1"/>
  <c r="M23" i="1"/>
  <c r="F23" i="11" s="1"/>
  <c r="BM21" i="1"/>
  <c r="L22" i="1"/>
  <c r="E22" i="11" s="1"/>
  <c r="AT24" i="8"/>
  <c r="AW24" i="1" s="1"/>
  <c r="AU24" i="1" l="1"/>
  <c r="AT24" i="1"/>
  <c r="M24" i="1"/>
  <c r="F24" i="11" s="1"/>
  <c r="BM22" i="1"/>
  <c r="L23" i="1"/>
  <c r="E23" i="11" s="1"/>
  <c r="AT25" i="8"/>
  <c r="AW25" i="1" s="1"/>
  <c r="AU25" i="1" l="1"/>
  <c r="AT25" i="1"/>
  <c r="M25" i="1"/>
  <c r="F25" i="11" s="1"/>
  <c r="L24" i="1"/>
  <c r="E24" i="11" s="1"/>
  <c r="BM23" i="1"/>
  <c r="AT26" i="8"/>
  <c r="AW26" i="1" s="1"/>
  <c r="AU26" i="1" l="1"/>
  <c r="AT26" i="1"/>
  <c r="M26" i="1"/>
  <c r="F26" i="11" s="1"/>
  <c r="L25" i="1"/>
  <c r="E25" i="11" s="1"/>
  <c r="BM24" i="1"/>
  <c r="AT27" i="8"/>
  <c r="AW27" i="1" s="1"/>
  <c r="AU27" i="1" l="1"/>
  <c r="AT27" i="1"/>
  <c r="M27" i="1"/>
  <c r="F27" i="11" s="1"/>
  <c r="L26" i="1"/>
  <c r="E26" i="11" s="1"/>
  <c r="BM25" i="1"/>
  <c r="AT28" i="8"/>
  <c r="AW28" i="1" s="1"/>
  <c r="AU28" i="1" l="1"/>
  <c r="AT28" i="1"/>
  <c r="M28" i="1"/>
  <c r="F28" i="11" s="1"/>
  <c r="BM26" i="1"/>
  <c r="L27" i="1"/>
  <c r="E27" i="11" s="1"/>
  <c r="AT29" i="8"/>
  <c r="AW29" i="1" s="1"/>
  <c r="AU29" i="1" l="1"/>
  <c r="AT29" i="1"/>
  <c r="M29" i="1"/>
  <c r="F29" i="11" s="1"/>
  <c r="L28" i="1"/>
  <c r="E28" i="11" s="1"/>
  <c r="BM27" i="1"/>
  <c r="AT30" i="8"/>
  <c r="AW30" i="1" s="1"/>
  <c r="AU30" i="1" l="1"/>
  <c r="AT30" i="1"/>
  <c r="M30" i="1"/>
  <c r="F30" i="11" s="1"/>
  <c r="L29" i="1"/>
  <c r="E29" i="11" s="1"/>
  <c r="BM28" i="1"/>
  <c r="AT31" i="8"/>
  <c r="AW31" i="1" s="1"/>
  <c r="AU31" i="1" l="1"/>
  <c r="AT31" i="1"/>
  <c r="M31" i="1"/>
  <c r="F31" i="11" s="1"/>
  <c r="L30" i="1"/>
  <c r="E30" i="11" s="1"/>
  <c r="BM29" i="1"/>
  <c r="AT32" i="8"/>
  <c r="AW32" i="1" s="1"/>
  <c r="M32" i="1" l="1"/>
  <c r="F32" i="11" s="1"/>
  <c r="AU32" i="1"/>
  <c r="AT32" i="1"/>
  <c r="L31" i="1"/>
  <c r="E31" i="11" s="1"/>
  <c r="BM30" i="1"/>
  <c r="AT33" i="8"/>
  <c r="AW33" i="1" s="1"/>
  <c r="M33" i="1" l="1"/>
  <c r="F33" i="11" s="1"/>
  <c r="AU33" i="1"/>
  <c r="AT33" i="1"/>
  <c r="L32" i="1"/>
  <c r="E32" i="11" s="1"/>
  <c r="BM31" i="1"/>
  <c r="AT34" i="8"/>
  <c r="AW34" i="1" s="1"/>
  <c r="M34" i="1" l="1"/>
  <c r="F34" i="11" s="1"/>
  <c r="AU34" i="1"/>
  <c r="AT34" i="1"/>
  <c r="L33" i="1"/>
  <c r="E33" i="11" s="1"/>
  <c r="BM32" i="1"/>
  <c r="AT35" i="8"/>
  <c r="AW35" i="1" s="1"/>
  <c r="M35" i="1" l="1"/>
  <c r="F35" i="11" s="1"/>
  <c r="AU35" i="1"/>
  <c r="AT35" i="1"/>
  <c r="L34" i="1"/>
  <c r="E34" i="11" s="1"/>
  <c r="BM33" i="1"/>
  <c r="AT36" i="8"/>
  <c r="AW36" i="1" s="1"/>
  <c r="M36" i="1" l="1"/>
  <c r="F36" i="11" s="1"/>
  <c r="AU36" i="1"/>
  <c r="AT36" i="1"/>
  <c r="L35" i="1"/>
  <c r="E35" i="11" s="1"/>
  <c r="BM34" i="1"/>
  <c r="AT37" i="8"/>
  <c r="AW37" i="1" s="1"/>
  <c r="M37" i="1" l="1"/>
  <c r="F37" i="11" s="1"/>
  <c r="AU37" i="1"/>
  <c r="AT37" i="1"/>
  <c r="L36" i="1"/>
  <c r="E36" i="11" s="1"/>
  <c r="BM35" i="1"/>
  <c r="AT38" i="8"/>
  <c r="AW38" i="1" s="1"/>
  <c r="M38" i="1" l="1"/>
  <c r="F38" i="11" s="1"/>
  <c r="AU38" i="1"/>
  <c r="AT38" i="1"/>
  <c r="BM36" i="1"/>
  <c r="L37" i="1"/>
  <c r="E37" i="11" s="1"/>
  <c r="AT39" i="8"/>
  <c r="AW39" i="1" s="1"/>
  <c r="M39" i="1" l="1"/>
  <c r="F39" i="11" s="1"/>
  <c r="AU39" i="1"/>
  <c r="AT39" i="1"/>
  <c r="BM37" i="1"/>
  <c r="L38" i="1"/>
  <c r="E38" i="11" s="1"/>
  <c r="AT40" i="8"/>
  <c r="AW40" i="1" s="1"/>
  <c r="M40" i="1" l="1"/>
  <c r="F40" i="11" s="1"/>
  <c r="AU40" i="1"/>
  <c r="L39" i="1"/>
  <c r="E39" i="11" s="1"/>
  <c r="AT40" i="1"/>
  <c r="BM38" i="1"/>
  <c r="AT41" i="8"/>
  <c r="AW41" i="1" s="1"/>
  <c r="M41" i="1" l="1"/>
  <c r="F41" i="11" s="1"/>
  <c r="L40" i="1"/>
  <c r="E40" i="11" s="1"/>
  <c r="BM39" i="1"/>
  <c r="AU41" i="1"/>
  <c r="AT41" i="1"/>
  <c r="AT42" i="8"/>
  <c r="AW42" i="1" s="1"/>
  <c r="M42" i="1" l="1"/>
  <c r="F42" i="11" s="1"/>
  <c r="BM40" i="1"/>
  <c r="L41" i="1"/>
  <c r="E41" i="11" s="1"/>
  <c r="AU42" i="1"/>
  <c r="AT42" i="1"/>
  <c r="AT43" i="8"/>
  <c r="AW43" i="1" s="1"/>
  <c r="M43" i="1" l="1"/>
  <c r="F43" i="11" s="1"/>
  <c r="L42" i="1"/>
  <c r="E42" i="11" s="1"/>
  <c r="BM41" i="1"/>
  <c r="AU43" i="1"/>
  <c r="AT43" i="1"/>
  <c r="AT44" i="8"/>
  <c r="AW44" i="1" s="1"/>
  <c r="M44" i="1" l="1"/>
  <c r="F44" i="11" s="1"/>
  <c r="BM42" i="1"/>
  <c r="L43" i="1"/>
  <c r="E43" i="11" s="1"/>
  <c r="AU44" i="1"/>
  <c r="AT44" i="1"/>
  <c r="AT45" i="8"/>
  <c r="AW45" i="1" s="1"/>
  <c r="M45" i="1" l="1"/>
  <c r="F45" i="11" s="1"/>
  <c r="L44" i="1"/>
  <c r="E44" i="11" s="1"/>
  <c r="BM43" i="1"/>
  <c r="AU45" i="1"/>
  <c r="AT45" i="1"/>
  <c r="AT46" i="8"/>
  <c r="AW46" i="1" s="1"/>
  <c r="M46" i="1" l="1"/>
  <c r="F46" i="11" s="1"/>
  <c r="L45" i="1"/>
  <c r="E45" i="11" s="1"/>
  <c r="BM44" i="1"/>
  <c r="AU46" i="1"/>
  <c r="AT46" i="1"/>
  <c r="AT47" i="8"/>
  <c r="AW47" i="1" s="1"/>
  <c r="M47" i="1" l="1"/>
  <c r="F47" i="11" s="1"/>
  <c r="BM45" i="1"/>
  <c r="L46" i="1"/>
  <c r="E46" i="11" s="1"/>
  <c r="AT47" i="1"/>
  <c r="AU47" i="1"/>
  <c r="AT48" i="8"/>
  <c r="AW48" i="1" s="1"/>
  <c r="M48" i="1" l="1"/>
  <c r="F48" i="11" s="1"/>
  <c r="BM46" i="1"/>
  <c r="L47" i="1"/>
  <c r="E47" i="11" s="1"/>
  <c r="AU48" i="1"/>
  <c r="AT48" i="1"/>
  <c r="AT49" i="8"/>
  <c r="AW49" i="1" s="1"/>
  <c r="M49" i="1" l="1"/>
  <c r="F49" i="11" s="1"/>
  <c r="L48" i="1"/>
  <c r="E48" i="11" s="1"/>
  <c r="BM47" i="1"/>
  <c r="AU49" i="1"/>
  <c r="AT49" i="1"/>
  <c r="AT50" i="8"/>
  <c r="AW50" i="1" s="1"/>
  <c r="M50" i="1" l="1"/>
  <c r="F50" i="11" s="1"/>
  <c r="L49" i="1"/>
  <c r="E49" i="11" s="1"/>
  <c r="BM48" i="1"/>
  <c r="AU50" i="1"/>
  <c r="AT50" i="1"/>
  <c r="AT51" i="8"/>
  <c r="AW51" i="1" s="1"/>
  <c r="M51" i="1" l="1"/>
  <c r="F51" i="11" s="1"/>
  <c r="L50" i="1"/>
  <c r="E50" i="11" s="1"/>
  <c r="BM49" i="1"/>
  <c r="AU51" i="1"/>
  <c r="AT51" i="1"/>
  <c r="I66" i="4"/>
  <c r="AT52" i="8"/>
  <c r="AW52" i="1" s="1"/>
  <c r="L51" i="1" l="1"/>
  <c r="E51" i="11" s="1"/>
  <c r="BM50" i="1"/>
  <c r="M52" i="1"/>
  <c r="AT52" i="1"/>
  <c r="AU52" i="1"/>
  <c r="AT53" i="8"/>
  <c r="AW53" i="1" s="1"/>
  <c r="F52" i="11" l="1"/>
  <c r="B68" i="4"/>
  <c r="L52" i="1"/>
  <c r="BM51" i="1"/>
  <c r="M53" i="1"/>
  <c r="F53" i="11" s="1"/>
  <c r="AU53" i="1"/>
  <c r="AT53" i="1"/>
  <c r="AT54" i="8"/>
  <c r="AW54" i="1" s="1"/>
  <c r="E52" i="11" l="1"/>
  <c r="B67" i="4"/>
  <c r="M54" i="1"/>
  <c r="F54" i="11" s="1"/>
  <c r="L53" i="1"/>
  <c r="E53" i="11" s="1"/>
  <c r="BM52" i="1"/>
  <c r="AU54" i="1"/>
  <c r="AT54" i="1"/>
  <c r="AT55" i="8"/>
  <c r="AW55" i="1" s="1"/>
  <c r="M55" i="1" l="1"/>
  <c r="F55" i="11" s="1"/>
  <c r="L54" i="1"/>
  <c r="E54" i="11" s="1"/>
  <c r="BM53" i="1"/>
  <c r="AU55" i="1"/>
  <c r="AT55" i="1"/>
  <c r="AT56" i="8"/>
  <c r="AW56" i="1" s="1"/>
  <c r="L55" i="1" l="1"/>
  <c r="E55" i="11" s="1"/>
  <c r="BM54" i="1"/>
  <c r="M56" i="1"/>
  <c r="F56" i="11" s="1"/>
  <c r="AU56" i="1"/>
  <c r="AT56" i="1"/>
  <c r="AT57" i="8"/>
  <c r="AW57" i="1" s="1"/>
  <c r="BM55" i="1" l="1"/>
  <c r="L56" i="1"/>
  <c r="E56" i="11" s="1"/>
  <c r="M57" i="1"/>
  <c r="F57" i="11" s="1"/>
  <c r="AU57" i="1"/>
  <c r="AT57" i="1"/>
  <c r="AT58" i="8"/>
  <c r="AW58" i="1" s="1"/>
  <c r="M58" i="1" l="1"/>
  <c r="F58" i="11" s="1"/>
  <c r="L57" i="1"/>
  <c r="E57" i="11" s="1"/>
  <c r="BM56" i="1"/>
  <c r="AU58" i="1"/>
  <c r="AT58" i="1"/>
  <c r="AT59" i="8"/>
  <c r="AW59" i="1" s="1"/>
  <c r="M59" i="1" l="1"/>
  <c r="F59" i="11" s="1"/>
  <c r="L58" i="1"/>
  <c r="E58" i="11" s="1"/>
  <c r="BM57" i="1"/>
  <c r="AT59" i="1"/>
  <c r="AU59" i="1"/>
  <c r="AT60" i="8"/>
  <c r="AW60" i="1" s="1"/>
  <c r="M60" i="1" l="1"/>
  <c r="F60" i="11" s="1"/>
  <c r="L59" i="1"/>
  <c r="E59" i="11" s="1"/>
  <c r="BM58" i="1"/>
  <c r="AU60" i="1"/>
  <c r="AT60" i="1"/>
  <c r="AT61" i="8"/>
  <c r="AW61" i="1" s="1"/>
  <c r="M61" i="1" l="1"/>
  <c r="F61" i="11" s="1"/>
  <c r="BM59" i="1"/>
  <c r="L60" i="1"/>
  <c r="E60" i="11" s="1"/>
  <c r="AU61" i="1"/>
  <c r="AT61" i="1"/>
  <c r="AT62" i="8"/>
  <c r="AW62" i="1" s="1"/>
  <c r="M62" i="1" l="1"/>
  <c r="F62" i="11" s="1"/>
  <c r="L61" i="1"/>
  <c r="E61" i="11" s="1"/>
  <c r="BM60" i="1"/>
  <c r="AU62" i="1"/>
  <c r="AT62" i="1"/>
  <c r="AT63" i="8"/>
  <c r="AW63" i="1" s="1"/>
  <c r="M63" i="1" l="1"/>
  <c r="F63" i="11" s="1"/>
  <c r="BM61" i="1"/>
  <c r="L62" i="1"/>
  <c r="E62" i="11" s="1"/>
  <c r="AU63" i="1"/>
  <c r="AT63" i="1"/>
  <c r="AT64" i="8"/>
  <c r="AW64" i="1" s="1"/>
  <c r="M64" i="1" l="1"/>
  <c r="F64" i="11" s="1"/>
  <c r="L63" i="1"/>
  <c r="E63" i="11" s="1"/>
  <c r="BM62" i="1"/>
  <c r="AU64" i="1"/>
  <c r="AT64" i="1"/>
  <c r="AT65" i="8"/>
  <c r="AW65" i="1" s="1"/>
  <c r="L64" i="1" l="1"/>
  <c r="E64" i="11" s="1"/>
  <c r="BM63" i="1"/>
  <c r="M65" i="1"/>
  <c r="F65" i="11" s="1"/>
  <c r="AU65" i="1"/>
  <c r="AT65" i="1"/>
  <c r="AT66" i="8"/>
  <c r="AW66" i="1" s="1"/>
  <c r="L65" i="1" l="1"/>
  <c r="E65" i="11" s="1"/>
  <c r="BM64" i="1"/>
  <c r="M66" i="1"/>
  <c r="F66" i="11" s="1"/>
  <c r="AU66" i="1"/>
  <c r="AT66" i="1"/>
  <c r="AT67" i="8"/>
  <c r="AW67" i="1" s="1"/>
  <c r="L66" i="1" l="1"/>
  <c r="E66" i="11" s="1"/>
  <c r="BM65" i="1"/>
  <c r="M67" i="1"/>
  <c r="F67" i="11" s="1"/>
  <c r="AU67" i="1"/>
  <c r="AT67" i="1"/>
  <c r="AT68" i="8"/>
  <c r="AW68" i="1" s="1"/>
  <c r="L67" i="1" l="1"/>
  <c r="E67" i="11" s="1"/>
  <c r="BM66" i="1"/>
  <c r="M68" i="1"/>
  <c r="F68" i="11" s="1"/>
  <c r="AU68" i="1"/>
  <c r="AT68" i="1"/>
  <c r="AT69" i="8"/>
  <c r="AW69" i="1" s="1"/>
  <c r="BM67" i="1" l="1"/>
  <c r="L68" i="1"/>
  <c r="E68" i="11" s="1"/>
  <c r="M69" i="1"/>
  <c r="F69" i="11" s="1"/>
  <c r="AU69" i="1"/>
  <c r="AT69" i="1"/>
  <c r="AT70" i="8"/>
  <c r="AW70" i="1" s="1"/>
  <c r="BM68" i="1" l="1"/>
  <c r="L69" i="1"/>
  <c r="E69" i="11" s="1"/>
  <c r="M70" i="1"/>
  <c r="F70" i="11" s="1"/>
  <c r="AU70" i="1"/>
  <c r="AT70" i="1"/>
  <c r="AT71" i="8"/>
  <c r="AW71" i="1" s="1"/>
  <c r="BM69" i="1" l="1"/>
  <c r="L70" i="1"/>
  <c r="E70" i="11" s="1"/>
  <c r="M71" i="1"/>
  <c r="F71" i="11" s="1"/>
  <c r="AU71" i="1"/>
  <c r="AT71" i="1"/>
  <c r="AT72" i="8"/>
  <c r="AW72" i="1" s="1"/>
  <c r="BM70" i="1" l="1"/>
  <c r="L71" i="1"/>
  <c r="E71" i="11" s="1"/>
  <c r="M72" i="1"/>
  <c r="F72" i="11" s="1"/>
  <c r="AU72" i="1"/>
  <c r="AT72" i="1"/>
  <c r="AT73" i="8"/>
  <c r="AW73" i="1" s="1"/>
  <c r="L72" i="1" l="1"/>
  <c r="E72" i="11" s="1"/>
  <c r="BM71" i="1"/>
  <c r="M73" i="1"/>
  <c r="F73" i="11" s="1"/>
  <c r="AT73" i="1"/>
  <c r="AU73" i="1"/>
  <c r="AT74" i="8"/>
  <c r="AW74" i="1" s="1"/>
  <c r="L73" i="1" l="1"/>
  <c r="E73" i="11" s="1"/>
  <c r="BM72" i="1"/>
  <c r="M74" i="1"/>
  <c r="F74" i="11" s="1"/>
  <c r="AT74" i="1"/>
  <c r="AU74" i="1"/>
  <c r="AT75" i="8"/>
  <c r="AW75" i="1" s="1"/>
  <c r="L74" i="1" l="1"/>
  <c r="E74" i="11" s="1"/>
  <c r="BM73" i="1"/>
  <c r="M75" i="1"/>
  <c r="F75" i="11" s="1"/>
  <c r="AU75" i="1"/>
  <c r="AT75" i="1"/>
  <c r="AT76" i="8"/>
  <c r="AW76" i="1" s="1"/>
  <c r="I69" i="4"/>
  <c r="L75" i="1" l="1"/>
  <c r="E75" i="11" s="1"/>
  <c r="BM74" i="1"/>
  <c r="M76" i="1"/>
  <c r="F76" i="11" s="1"/>
  <c r="AU76" i="1"/>
  <c r="AT76" i="1"/>
  <c r="AT77" i="8"/>
  <c r="AW77" i="1" s="1"/>
  <c r="L76" i="1" l="1"/>
  <c r="E76" i="11" s="1"/>
  <c r="BM75" i="1"/>
  <c r="M77" i="1"/>
  <c r="F77" i="11" s="1"/>
  <c r="AU77" i="1"/>
  <c r="AT77" i="1"/>
  <c r="AT78" i="8"/>
  <c r="AW78" i="1" s="1"/>
  <c r="L77" i="1" l="1"/>
  <c r="E77" i="11" s="1"/>
  <c r="BM76" i="1"/>
  <c r="M78" i="1"/>
  <c r="F78" i="11" s="1"/>
  <c r="AU78" i="1"/>
  <c r="AT78" i="1"/>
  <c r="AT79" i="8"/>
  <c r="AW79" i="1" s="1"/>
  <c r="L78" i="1" l="1"/>
  <c r="E78" i="11" s="1"/>
  <c r="BM77" i="1"/>
  <c r="M79" i="1"/>
  <c r="F79" i="11" s="1"/>
  <c r="AU79" i="1"/>
  <c r="AT79" i="1"/>
  <c r="AT80" i="8"/>
  <c r="AW80" i="1" s="1"/>
  <c r="BM78" i="1" l="1"/>
  <c r="L79" i="1"/>
  <c r="E79" i="11" s="1"/>
  <c r="M80" i="1"/>
  <c r="F80" i="11" s="1"/>
  <c r="AU80" i="1"/>
  <c r="AT80" i="1"/>
  <c r="AT81" i="8"/>
  <c r="AW81" i="1" s="1"/>
  <c r="L80" i="1" l="1"/>
  <c r="E80" i="11" s="1"/>
  <c r="BM79" i="1"/>
  <c r="M81" i="1"/>
  <c r="F81" i="11" s="1"/>
  <c r="AU81" i="1"/>
  <c r="AT81" i="1"/>
  <c r="AT82" i="8"/>
  <c r="AW82" i="1" s="1"/>
  <c r="L81" i="1" l="1"/>
  <c r="E81" i="11" s="1"/>
  <c r="BM80" i="1"/>
  <c r="M82" i="1"/>
  <c r="F82" i="11" s="1"/>
  <c r="AU82" i="1"/>
  <c r="AT82" i="1"/>
  <c r="AT83" i="8"/>
  <c r="AW83" i="1" s="1"/>
  <c r="BM81" i="1" l="1"/>
  <c r="L82" i="1"/>
  <c r="E82" i="11" s="1"/>
  <c r="M83" i="1"/>
  <c r="F83" i="11" s="1"/>
  <c r="AT83" i="1"/>
  <c r="AU83" i="1"/>
  <c r="AT84" i="8"/>
  <c r="AW84" i="1" s="1"/>
  <c r="BM82" i="1" l="1"/>
  <c r="L83" i="1"/>
  <c r="E83" i="11" s="1"/>
  <c r="M84" i="1"/>
  <c r="F84" i="11" s="1"/>
  <c r="AU84" i="1"/>
  <c r="AT84" i="1"/>
  <c r="AT85" i="8"/>
  <c r="AW85" i="1" s="1"/>
  <c r="L84" i="1" l="1"/>
  <c r="E84" i="11" s="1"/>
  <c r="BM83" i="1"/>
  <c r="M85" i="1"/>
  <c r="F85" i="11" s="1"/>
  <c r="AU85" i="1"/>
  <c r="AT85" i="1"/>
  <c r="AT86" i="8"/>
  <c r="AW86" i="1" s="1"/>
  <c r="L85" i="1" l="1"/>
  <c r="E85" i="11" s="1"/>
  <c r="BM84" i="1"/>
  <c r="M86" i="1"/>
  <c r="F86" i="11" s="1"/>
  <c r="AU86" i="1"/>
  <c r="AT86" i="1"/>
  <c r="AT87" i="8"/>
  <c r="AW87" i="1" s="1"/>
  <c r="P1269" i="14"/>
  <c r="P1270" i="14" s="1"/>
  <c r="L86" i="1" l="1"/>
  <c r="E86" i="11" s="1"/>
  <c r="BM85" i="1"/>
  <c r="M87" i="1"/>
  <c r="F87" i="11" s="1"/>
  <c r="AU87" i="1"/>
  <c r="AT87" i="1"/>
  <c r="O1269" i="14"/>
  <c r="O1270" i="14" s="1"/>
  <c r="AT88" i="8"/>
  <c r="AW88" i="1" s="1"/>
  <c r="AL1269" i="14"/>
  <c r="AL1270" i="14" s="1"/>
  <c r="L87" i="1" l="1"/>
  <c r="E87" i="11" s="1"/>
  <c r="BM86" i="1"/>
  <c r="M88" i="1"/>
  <c r="F88" i="11" s="1"/>
  <c r="AU88" i="1"/>
  <c r="AT88" i="1"/>
  <c r="AJ1269" i="14"/>
  <c r="AJ1270" i="14" s="1"/>
  <c r="AT89" i="8"/>
  <c r="AW89" i="1" s="1"/>
  <c r="L88" i="1" l="1"/>
  <c r="E88" i="11" s="1"/>
  <c r="BM87" i="1"/>
  <c r="M89" i="1"/>
  <c r="F89" i="11" s="1"/>
  <c r="AU89" i="1"/>
  <c r="AT89" i="1"/>
  <c r="AT90" i="8"/>
  <c r="AW90" i="1" s="1"/>
  <c r="BM88" i="1" l="1"/>
  <c r="L89" i="1"/>
  <c r="E89" i="11" s="1"/>
  <c r="M90" i="1"/>
  <c r="F90" i="11" s="1"/>
  <c r="AU90" i="1"/>
  <c r="AT90" i="1"/>
  <c r="AT91" i="8"/>
  <c r="AW91" i="1" s="1"/>
  <c r="BM89" i="1" l="1"/>
  <c r="L90" i="1"/>
  <c r="E90" i="11" s="1"/>
  <c r="M91" i="1"/>
  <c r="F91" i="11" s="1"/>
  <c r="AT91" i="1"/>
  <c r="AU91" i="1"/>
  <c r="AT92" i="8"/>
  <c r="AW92" i="1" s="1"/>
  <c r="L91" i="1" l="1"/>
  <c r="E91" i="11" s="1"/>
  <c r="BM90" i="1"/>
  <c r="M92" i="1"/>
  <c r="F92" i="11" s="1"/>
  <c r="AU92" i="1"/>
  <c r="AT92" i="1"/>
  <c r="AT93" i="8"/>
  <c r="AW93" i="1" s="1"/>
  <c r="BM91" i="1" l="1"/>
  <c r="L92" i="1"/>
  <c r="E92" i="11" s="1"/>
  <c r="M93" i="1"/>
  <c r="F93" i="11" s="1"/>
  <c r="AU93" i="1"/>
  <c r="AT93" i="1"/>
  <c r="AT94" i="8"/>
  <c r="AW94" i="1" s="1"/>
  <c r="L93" i="1" l="1"/>
  <c r="E93" i="11" s="1"/>
  <c r="BM92" i="1"/>
  <c r="M94" i="1"/>
  <c r="F94" i="11" s="1"/>
  <c r="AU94" i="1"/>
  <c r="AT94" i="1"/>
  <c r="AT95" i="8"/>
  <c r="AW95" i="1" s="1"/>
  <c r="L94" i="1" l="1"/>
  <c r="E94" i="11" s="1"/>
  <c r="BM93" i="1"/>
  <c r="M95" i="1"/>
  <c r="F95" i="11" s="1"/>
  <c r="AU95" i="1"/>
  <c r="AT95" i="1"/>
  <c r="AT96" i="8"/>
  <c r="AW96" i="1" s="1"/>
  <c r="BM94" i="1" l="1"/>
  <c r="L95" i="1"/>
  <c r="E95" i="11" s="1"/>
  <c r="M96" i="1"/>
  <c r="F96" i="11" s="1"/>
  <c r="AU96" i="1"/>
  <c r="AT96" i="1"/>
  <c r="AT97" i="8"/>
  <c r="AW97" i="1" s="1"/>
  <c r="L96" i="1" l="1"/>
  <c r="E96" i="11" s="1"/>
  <c r="BM95" i="1"/>
  <c r="M97" i="1"/>
  <c r="F97" i="11" s="1"/>
  <c r="AU97" i="1"/>
  <c r="AT97" i="1"/>
  <c r="AT98" i="8"/>
  <c r="AW98" i="1" s="1"/>
  <c r="L97" i="1" l="1"/>
  <c r="E97" i="11" s="1"/>
  <c r="BM96" i="1"/>
  <c r="M98" i="1"/>
  <c r="F98" i="11" s="1"/>
  <c r="AU98" i="1"/>
  <c r="AT98" i="1"/>
  <c r="AT99" i="8"/>
  <c r="AW99" i="1" s="1"/>
  <c r="BM97" i="1" l="1"/>
  <c r="L98" i="1"/>
  <c r="E98" i="11" s="1"/>
  <c r="M99" i="1"/>
  <c r="F99" i="11" s="1"/>
  <c r="AU99" i="1"/>
  <c r="AT99" i="1"/>
  <c r="AT100" i="8"/>
  <c r="AW100" i="1" s="1"/>
  <c r="L99" i="1" l="1"/>
  <c r="E99" i="11" s="1"/>
  <c r="BM98" i="1"/>
  <c r="M100" i="1"/>
  <c r="F100" i="11" s="1"/>
  <c r="AU100" i="1"/>
  <c r="AT100" i="1"/>
  <c r="AT101" i="8"/>
  <c r="AW101" i="1" s="1"/>
  <c r="BM99" i="1" l="1"/>
  <c r="L100" i="1"/>
  <c r="E100" i="11" s="1"/>
  <c r="M101" i="1"/>
  <c r="F101" i="11" s="1"/>
  <c r="AT101" i="1"/>
  <c r="AU101" i="1"/>
  <c r="AT102" i="8"/>
  <c r="AW102" i="1" s="1"/>
  <c r="L101" i="1" l="1"/>
  <c r="E101" i="11" s="1"/>
  <c r="BM100" i="1"/>
  <c r="M102" i="1"/>
  <c r="F102" i="11" s="1"/>
  <c r="AU102" i="1"/>
  <c r="AT102" i="1"/>
  <c r="AT103" i="8"/>
  <c r="AW103" i="1" s="1"/>
  <c r="L102" i="1" l="1"/>
  <c r="E102" i="11" s="1"/>
  <c r="BM101" i="1"/>
  <c r="M103" i="1"/>
  <c r="F103" i="11" s="1"/>
  <c r="AU103" i="1"/>
  <c r="AT103" i="1"/>
  <c r="AT104" i="8"/>
  <c r="AW104" i="1" s="1"/>
  <c r="L103" i="1" l="1"/>
  <c r="E103" i="11" s="1"/>
  <c r="BM102" i="1"/>
  <c r="M104" i="1"/>
  <c r="F104" i="11" s="1"/>
  <c r="AU104" i="1"/>
  <c r="AT104" i="1"/>
  <c r="AT105" i="8"/>
  <c r="AW105" i="1" s="1"/>
  <c r="L104" i="1" l="1"/>
  <c r="E104" i="11" s="1"/>
  <c r="BM103" i="1"/>
  <c r="M105" i="1"/>
  <c r="F105" i="11" s="1"/>
  <c r="AU105" i="1"/>
  <c r="AT105" i="1"/>
  <c r="AT106" i="8"/>
  <c r="AW106" i="1" s="1"/>
  <c r="L105" i="1" l="1"/>
  <c r="E105" i="11" s="1"/>
  <c r="BM104" i="1"/>
  <c r="M106" i="1"/>
  <c r="F106" i="11" s="1"/>
  <c r="AU106" i="1"/>
  <c r="AT106" i="1"/>
  <c r="AT107" i="8"/>
  <c r="AW107" i="1" s="1"/>
  <c r="L106" i="1" l="1"/>
  <c r="E106" i="11" s="1"/>
  <c r="BM105" i="1"/>
  <c r="M107" i="1"/>
  <c r="F107" i="11" s="1"/>
  <c r="AU107" i="1"/>
  <c r="AT107" i="1"/>
  <c r="AT108" i="8"/>
  <c r="AW108" i="1" s="1"/>
  <c r="L107" i="1" l="1"/>
  <c r="E107" i="11" s="1"/>
  <c r="BM106" i="1"/>
  <c r="M108" i="1"/>
  <c r="F108" i="11" s="1"/>
  <c r="AT108" i="1"/>
  <c r="AU108" i="1"/>
  <c r="AT109" i="8"/>
  <c r="AW109" i="1" s="1"/>
  <c r="BM107" i="1" l="1"/>
  <c r="L108" i="1"/>
  <c r="E108" i="11" s="1"/>
  <c r="M109" i="1"/>
  <c r="F109" i="11" s="1"/>
  <c r="AT109" i="1"/>
  <c r="AU109" i="1"/>
  <c r="AT110" i="8"/>
  <c r="AW110" i="1" s="1"/>
  <c r="L109" i="1" l="1"/>
  <c r="E109" i="11" s="1"/>
  <c r="BM108" i="1"/>
  <c r="M110" i="1"/>
  <c r="F110" i="11" s="1"/>
  <c r="AU110" i="1"/>
  <c r="AT110" i="1"/>
  <c r="AT111" i="8"/>
  <c r="AW111" i="1" s="1"/>
  <c r="L110" i="1" l="1"/>
  <c r="E110" i="11" s="1"/>
  <c r="BM109" i="1"/>
  <c r="M111" i="1"/>
  <c r="F111" i="11" s="1"/>
  <c r="AU111" i="1"/>
  <c r="AT111" i="1"/>
  <c r="AT112" i="8"/>
  <c r="AW112" i="1" s="1"/>
  <c r="L111" i="1" l="1"/>
  <c r="E111" i="11" s="1"/>
  <c r="BM110" i="1"/>
  <c r="M112" i="1"/>
  <c r="F112" i="11" s="1"/>
  <c r="AU112" i="1"/>
  <c r="AT112" i="1"/>
  <c r="AT113" i="8"/>
  <c r="AW113" i="1" s="1"/>
  <c r="L112" i="1" l="1"/>
  <c r="E112" i="11" s="1"/>
  <c r="BM111" i="1"/>
  <c r="M113" i="1"/>
  <c r="F113" i="11" s="1"/>
  <c r="AU113" i="1"/>
  <c r="AT113" i="1"/>
  <c r="AT114" i="8"/>
  <c r="AW114" i="1" s="1"/>
  <c r="L113" i="1" l="1"/>
  <c r="E113" i="11" s="1"/>
  <c r="BM112" i="1"/>
  <c r="M114" i="1"/>
  <c r="F114" i="11" s="1"/>
  <c r="AU114" i="1"/>
  <c r="AT114" i="1"/>
  <c r="AT115" i="8"/>
  <c r="AW115" i="1" s="1"/>
  <c r="L114" i="1" l="1"/>
  <c r="E114" i="11" s="1"/>
  <c r="BM113" i="1"/>
  <c r="M115" i="1"/>
  <c r="F115" i="11" s="1"/>
  <c r="AU115" i="1"/>
  <c r="AT115" i="1"/>
  <c r="AT116" i="8"/>
  <c r="AW116" i="1" s="1"/>
  <c r="BM114" i="1" l="1"/>
  <c r="L115" i="1"/>
  <c r="E115" i="11" s="1"/>
  <c r="M116" i="1"/>
  <c r="F116" i="11" s="1"/>
  <c r="AU116" i="1"/>
  <c r="AT116" i="1"/>
  <c r="AT117" i="8"/>
  <c r="AW117" i="1" s="1"/>
  <c r="L116" i="1" l="1"/>
  <c r="E116" i="11" s="1"/>
  <c r="BM115" i="1"/>
  <c r="M117" i="1"/>
  <c r="F117" i="11" s="1"/>
  <c r="AU117" i="1"/>
  <c r="AT117" i="1"/>
  <c r="AT118" i="8"/>
  <c r="AW118" i="1" s="1"/>
  <c r="L117" i="1" l="1"/>
  <c r="E117" i="11" s="1"/>
  <c r="BM116" i="1"/>
  <c r="M118" i="1"/>
  <c r="F118" i="11" s="1"/>
  <c r="AU118" i="1"/>
  <c r="AT118" i="1"/>
  <c r="AT119" i="8"/>
  <c r="AW119" i="1" s="1"/>
  <c r="BM117" i="1" l="1"/>
  <c r="L118" i="1"/>
  <c r="E118" i="11" s="1"/>
  <c r="M119" i="1"/>
  <c r="F119" i="11" s="1"/>
  <c r="AU119" i="1"/>
  <c r="AT119" i="1"/>
  <c r="AT120" i="8"/>
  <c r="AW120" i="1" s="1"/>
  <c r="L119" i="1" l="1"/>
  <c r="E119" i="11" s="1"/>
  <c r="BM118" i="1"/>
  <c r="M120" i="1"/>
  <c r="F120" i="11" s="1"/>
  <c r="AT120" i="1"/>
  <c r="AU120" i="1"/>
  <c r="AT121" i="8"/>
  <c r="AW121" i="1" s="1"/>
  <c r="L120" i="1" l="1"/>
  <c r="E120" i="11" s="1"/>
  <c r="BM119" i="1"/>
  <c r="M121" i="1"/>
  <c r="F121" i="11" s="1"/>
  <c r="AU121" i="1"/>
  <c r="AT121" i="1"/>
  <c r="AT122" i="8"/>
  <c r="AW122" i="1" s="1"/>
  <c r="L121" i="1" l="1"/>
  <c r="E121" i="11" s="1"/>
  <c r="BM120" i="1"/>
  <c r="M122" i="1"/>
  <c r="F122" i="11" s="1"/>
  <c r="AU122" i="1"/>
  <c r="AT122" i="1"/>
  <c r="AT123" i="8"/>
  <c r="AW123" i="1" s="1"/>
  <c r="L122" i="1" l="1"/>
  <c r="E122" i="11" s="1"/>
  <c r="BM121" i="1"/>
  <c r="M123" i="1"/>
  <c r="F123" i="11" s="1"/>
  <c r="AU123" i="1"/>
  <c r="AT123" i="1"/>
  <c r="AT124" i="8"/>
  <c r="AW124" i="1" s="1"/>
  <c r="L123" i="1" l="1"/>
  <c r="E123" i="11" s="1"/>
  <c r="BM122" i="1"/>
  <c r="M124" i="1"/>
  <c r="F124" i="11" s="1"/>
  <c r="AT124" i="1"/>
  <c r="AU124" i="1"/>
  <c r="AT125" i="8"/>
  <c r="AW125" i="1" s="1"/>
  <c r="L124" i="1" l="1"/>
  <c r="E124" i="11" s="1"/>
  <c r="BM123" i="1"/>
  <c r="M125" i="1"/>
  <c r="F125" i="11" s="1"/>
  <c r="AU125" i="1"/>
  <c r="AT125" i="1"/>
  <c r="AT126" i="8"/>
  <c r="AW126" i="1" s="1"/>
  <c r="BM124" i="1" l="1"/>
  <c r="L125" i="1"/>
  <c r="E125" i="11" s="1"/>
  <c r="M126" i="1"/>
  <c r="F126" i="11" s="1"/>
  <c r="AT126" i="1"/>
  <c r="AU126" i="1"/>
  <c r="AT127" i="8"/>
  <c r="AW127" i="1" s="1"/>
  <c r="L126" i="1" l="1"/>
  <c r="E126" i="11" s="1"/>
  <c r="BM125" i="1"/>
  <c r="M127" i="1"/>
  <c r="F127" i="11" s="1"/>
  <c r="AU127" i="1"/>
  <c r="AT127" i="1"/>
  <c r="AT128" i="8"/>
  <c r="AW128" i="1" s="1"/>
  <c r="BM126" i="1" l="1"/>
  <c r="L127" i="1"/>
  <c r="E127" i="11" s="1"/>
  <c r="M128" i="1"/>
  <c r="F128" i="11" s="1"/>
  <c r="AU128" i="1"/>
  <c r="AT128" i="1"/>
  <c r="AT129" i="8"/>
  <c r="AW129" i="1" s="1"/>
  <c r="BM127" i="1" l="1"/>
  <c r="L128" i="1"/>
  <c r="E128" i="11" s="1"/>
  <c r="M129" i="1"/>
  <c r="F129" i="11" s="1"/>
  <c r="AU129" i="1"/>
  <c r="AT129" i="1"/>
  <c r="AT130" i="8"/>
  <c r="AW130" i="1" s="1"/>
  <c r="L129" i="1" l="1"/>
  <c r="E129" i="11" s="1"/>
  <c r="BM128" i="1"/>
  <c r="M130" i="1"/>
  <c r="F130" i="11" s="1"/>
  <c r="AU130" i="1"/>
  <c r="AT130" i="1"/>
  <c r="AT131" i="8"/>
  <c r="AW131" i="1" s="1"/>
  <c r="BM129" i="1" l="1"/>
  <c r="L130" i="1"/>
  <c r="E130" i="11" s="1"/>
  <c r="M131" i="1"/>
  <c r="F131" i="11" s="1"/>
  <c r="AU131" i="1"/>
  <c r="AT131" i="1"/>
  <c r="AT132" i="8"/>
  <c r="AW132" i="1" s="1"/>
  <c r="L131" i="1" l="1"/>
  <c r="E131" i="11" s="1"/>
  <c r="BM130" i="1"/>
  <c r="M132" i="1"/>
  <c r="F132" i="11" s="1"/>
  <c r="AT132" i="1"/>
  <c r="AU132" i="1"/>
  <c r="AT133" i="8"/>
  <c r="AW133" i="1" s="1"/>
  <c r="L132" i="1" l="1"/>
  <c r="E132" i="11" s="1"/>
  <c r="BM131" i="1"/>
  <c r="M133" i="1"/>
  <c r="F133" i="11" s="1"/>
  <c r="AU133" i="1"/>
  <c r="AT133" i="1"/>
  <c r="AT134" i="8"/>
  <c r="AW134" i="1" s="1"/>
  <c r="BM132" i="1" l="1"/>
  <c r="L133" i="1"/>
  <c r="E133" i="11" s="1"/>
  <c r="M134" i="1"/>
  <c r="F134" i="11" s="1"/>
  <c r="AU134" i="1"/>
  <c r="AT134" i="1"/>
  <c r="AB1269" i="14"/>
  <c r="AB1270" i="14" s="1"/>
  <c r="AT135" i="8"/>
  <c r="AW135" i="1" s="1"/>
  <c r="L134" i="1" l="1"/>
  <c r="E134" i="11" s="1"/>
  <c r="BM133" i="1"/>
  <c r="M135" i="1"/>
  <c r="F135" i="11" s="1"/>
  <c r="AU135" i="1"/>
  <c r="AT135" i="1"/>
  <c r="AT136" i="8"/>
  <c r="AW136" i="1" s="1"/>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F4" i="9" s="1"/>
  <c r="S4" i="8"/>
  <c r="V4" i="8" s="1"/>
  <c r="F4" i="1"/>
  <c r="I4" i="2"/>
  <c r="AA4" i="1" s="1"/>
  <c r="S4" i="1" s="1"/>
  <c r="H5" i="1" s="1"/>
  <c r="AK5" i="5" s="1"/>
  <c r="BM136" i="1"/>
  <c r="AR4" i="1"/>
  <c r="V4" i="1" s="1"/>
  <c r="K5" i="1" s="1"/>
  <c r="AR5" i="1" s="1"/>
  <c r="V5" i="1" s="1"/>
  <c r="K6" i="1" s="1"/>
  <c r="AR6" i="1" s="1"/>
  <c r="C4" i="9"/>
  <c r="BL4" i="1"/>
  <c r="E41" i="4"/>
  <c r="E40" i="4"/>
  <c r="P4" i="7" l="1"/>
  <c r="G4" i="2"/>
  <c r="Z4" i="2" s="1"/>
  <c r="AP4" i="1"/>
  <c r="T4" i="1" s="1"/>
  <c r="I5" i="1" s="1"/>
  <c r="BJ5" i="1" s="1"/>
  <c r="T4" i="8"/>
  <c r="W4" i="8" s="1"/>
  <c r="O4" i="7"/>
  <c r="I4" i="11"/>
  <c r="AQ5" i="8"/>
  <c r="AC5" i="7"/>
  <c r="BI5" i="1"/>
  <c r="C5" i="11"/>
  <c r="V5" i="10"/>
  <c r="C5" i="9"/>
  <c r="BL5" i="1"/>
  <c r="L24" i="11"/>
  <c r="AV24" i="8"/>
  <c r="L25" i="11"/>
  <c r="AV25" i="8"/>
  <c r="L27" i="11"/>
  <c r="AV27" i="8"/>
  <c r="L26" i="11"/>
  <c r="AV26" i="8"/>
  <c r="BL6" i="1"/>
  <c r="V6" i="1"/>
  <c r="K7" i="1" s="1"/>
  <c r="AR7" i="1" s="1"/>
  <c r="C6" i="9"/>
  <c r="E18" i="4"/>
  <c r="C4" i="8" l="1"/>
  <c r="AA5" i="8"/>
  <c r="AO5" i="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Y4" i="2" l="1"/>
  <c r="X4" i="2" s="1"/>
  <c r="B5" i="8"/>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T10" i="1"/>
  <c r="I11" i="1" s="1"/>
  <c r="AO11" i="1" s="1"/>
  <c r="J10" i="11"/>
  <c r="AO11" i="8" l="1"/>
  <c r="E23" i="8" s="1"/>
  <c r="M23" i="2" s="1"/>
  <c r="Z10" i="2"/>
  <c r="BJ11" i="1"/>
  <c r="P10" i="7"/>
  <c r="F10" i="9"/>
  <c r="C10" i="8"/>
  <c r="DF23" i="8" l="1"/>
  <c r="G23" i="1" s="1"/>
  <c r="N23" i="8" s="1"/>
  <c r="CG23" i="8"/>
  <c r="P23" i="8" s="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J11" i="11"/>
  <c r="F11" i="9" s="1"/>
  <c r="I11" i="11"/>
  <c r="O11" i="7"/>
  <c r="V11" i="8"/>
  <c r="AK12" i="5"/>
  <c r="C12" i="11"/>
  <c r="BI12" i="1"/>
  <c r="AQ12" i="8"/>
  <c r="V12" i="10"/>
  <c r="AO12" i="8" l="1"/>
  <c r="E24" i="8" s="1"/>
  <c r="DF24" i="8" s="1"/>
  <c r="G24" i="1" s="1"/>
  <c r="N24" i="8" s="1"/>
  <c r="Z11" i="2"/>
  <c r="Y11" i="2" s="1"/>
  <c r="X11" i="2" s="1"/>
  <c r="AO12" i="1"/>
  <c r="BJ12" i="1"/>
  <c r="C11" i="8"/>
  <c r="P11" i="7"/>
  <c r="CG24" i="8" l="1"/>
  <c r="P24" i="8" s="1"/>
  <c r="R24" i="8" s="1"/>
  <c r="M24" i="2"/>
  <c r="AA12" i="8"/>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AQ14" i="8"/>
  <c r="J13" i="11"/>
  <c r="P13" i="7" s="1"/>
  <c r="O13" i="7"/>
  <c r="I13" i="11"/>
  <c r="BI14" i="1"/>
  <c r="V14" i="10"/>
  <c r="AK14" i="5"/>
  <c r="AC14" i="7"/>
  <c r="C14" i="11"/>
  <c r="BJ14" i="1"/>
  <c r="AO14" i="8" l="1"/>
  <c r="E26" i="8" s="1"/>
  <c r="DF26" i="8" s="1"/>
  <c r="G26" i="1" s="1"/>
  <c r="N26" i="8" s="1"/>
  <c r="Z13" i="2"/>
  <c r="C13" i="8"/>
  <c r="F13" i="9"/>
  <c r="AA14" i="8" l="1"/>
  <c r="Y13" i="2"/>
  <c r="X13" i="2" s="1"/>
  <c r="M26" i="2"/>
  <c r="CG26" i="8"/>
  <c r="P26" i="8" s="1"/>
  <c r="R26" i="8" s="1"/>
  <c r="B14" i="8"/>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AO15" i="8" l="1"/>
  <c r="E27" i="8" s="1"/>
  <c r="M27" i="2" s="1"/>
  <c r="Z14" i="2"/>
  <c r="AA15" i="8"/>
  <c r="BJ15" i="1"/>
  <c r="P14" i="7"/>
  <c r="F14" i="9"/>
  <c r="C14" i="8"/>
  <c r="AK15" i="5"/>
  <c r="AQ15" i="8"/>
  <c r="C15" i="11"/>
  <c r="BI15" i="1"/>
  <c r="V15" i="10"/>
  <c r="AC15" i="7"/>
  <c r="DF27" i="8" l="1"/>
  <c r="G27" i="1" s="1"/>
  <c r="N27" i="8" s="1"/>
  <c r="CG27" i="8"/>
  <c r="P27" i="8" s="1"/>
  <c r="R27" i="8" s="1"/>
  <c r="Y14" i="2"/>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AO17" i="8" l="1"/>
  <c r="E29" i="8" s="1"/>
  <c r="E30" i="8" s="1"/>
  <c r="Z16" i="2"/>
  <c r="AA17" i="8" s="1"/>
  <c r="C16" i="8"/>
  <c r="BJ17" i="1"/>
  <c r="P16" i="7"/>
  <c r="F16" i="9"/>
  <c r="BI17" i="1"/>
  <c r="V17" i="10"/>
  <c r="AC17" i="7"/>
  <c r="AQ17" i="8"/>
  <c r="AK17" i="5"/>
  <c r="C17" i="11"/>
  <c r="DF29" i="8" l="1"/>
  <c r="G29" i="1" s="1"/>
  <c r="N29" i="8" s="1"/>
  <c r="CG29" i="8"/>
  <c r="P29" i="8" s="1"/>
  <c r="R29" i="8" s="1"/>
  <c r="M29" i="2"/>
  <c r="E31" i="8"/>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M39" i="2"/>
  <c r="CG39" i="8"/>
  <c r="P39" i="8" s="1"/>
  <c r="R39" i="8" s="1"/>
  <c r="DF39" i="8"/>
  <c r="G39" i="1" s="1"/>
  <c r="N39" i="8" s="1"/>
  <c r="U18" i="2"/>
  <c r="W17" i="2" s="1"/>
  <c r="E41" i="8" l="1"/>
  <c r="CG40" i="8"/>
  <c r="P40" i="8" s="1"/>
  <c r="R40" i="8" s="1"/>
  <c r="M40" i="2"/>
  <c r="DF40" i="8"/>
  <c r="G40" i="1" s="1"/>
  <c r="N40" i="8" s="1"/>
  <c r="C18" i="2"/>
  <c r="S18" i="8" s="1"/>
  <c r="E42" i="8" l="1"/>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B39" i="4" l="1"/>
  <c r="C98" i="4" s="1"/>
  <c r="E53" i="8"/>
  <c r="CG52" i="8"/>
  <c r="P52" i="8" s="1"/>
  <c r="R52" i="8" s="1"/>
  <c r="M52" i="2"/>
  <c r="DF52" i="8"/>
  <c r="G52" i="1" s="1"/>
  <c r="D20" i="2"/>
  <c r="H20" i="11"/>
  <c r="E20" i="2"/>
  <c r="L20" i="2" s="1"/>
  <c r="AW20" i="8"/>
  <c r="AB20" i="7"/>
  <c r="AJ20" i="7" s="1"/>
  <c r="N52" i="8" l="1"/>
  <c r="B59" i="4"/>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AP22" i="1"/>
  <c r="T22" i="1" s="1"/>
  <c r="I23" i="1" s="1"/>
  <c r="AO23" i="1" s="1"/>
  <c r="AA22" i="1"/>
  <c r="S22" i="1" s="1"/>
  <c r="H23" i="1" s="1"/>
  <c r="O22" i="7"/>
  <c r="T22" i="8"/>
  <c r="W22" i="8" s="1"/>
  <c r="J22" i="11"/>
  <c r="P22" i="7" s="1"/>
  <c r="Z22" i="2" l="1"/>
  <c r="AA23" i="8" s="1"/>
  <c r="B23" i="8" s="1"/>
  <c r="C23" i="11"/>
  <c r="C22" i="8"/>
  <c r="F22" i="9"/>
  <c r="AC23" i="7"/>
  <c r="V23" i="10"/>
  <c r="AK23" i="5"/>
  <c r="BI23" i="1"/>
  <c r="AQ23" i="8"/>
  <c r="BJ23" i="1"/>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C28" i="11" l="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I39" i="11"/>
  <c r="O39" i="7"/>
  <c r="AA40" i="8" l="1"/>
  <c r="C39" i="8"/>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AP41" i="1"/>
  <c r="T41" i="1" s="1"/>
  <c r="I42" i="1" s="1"/>
  <c r="AO42" i="1" s="1"/>
  <c r="J41" i="11"/>
  <c r="P41" i="7" s="1"/>
  <c r="I41" i="11"/>
  <c r="AA41" i="1"/>
  <c r="S41" i="1" s="1"/>
  <c r="H42" i="1" s="1"/>
  <c r="Z41" i="2" l="1"/>
  <c r="AA42" i="8" s="1"/>
  <c r="B42" i="8" s="1"/>
  <c r="AK42" i="5"/>
  <c r="C41" i="8"/>
  <c r="F41" i="9"/>
  <c r="BJ42" i="1"/>
  <c r="AC42" i="7"/>
  <c r="BI42" i="1"/>
  <c r="C42" i="11"/>
  <c r="AQ42" i="8"/>
  <c r="V42" i="10"/>
  <c r="Y41" i="2" l="1"/>
  <c r="X41" i="2" s="1"/>
  <c r="D42" i="2"/>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9" i="4" l="1"/>
  <c r="J59"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4" i="4"/>
  <c r="E64" i="8"/>
  <c r="BJ52" i="1"/>
  <c r="F51" i="9"/>
  <c r="P51" i="7"/>
  <c r="C51" i="8"/>
  <c r="CG64" i="8" l="1"/>
  <c r="M64" i="2"/>
  <c r="DF64" i="8"/>
  <c r="G64" i="1" s="1"/>
  <c r="N64" i="8" s="1"/>
  <c r="AA52" i="8"/>
  <c r="Y51" i="2"/>
  <c r="X51" i="2" s="1"/>
  <c r="B52" i="8" l="1"/>
  <c r="D52" i="2" s="1"/>
  <c r="F44" i="4"/>
  <c r="P64" i="8"/>
  <c r="R64" i="8" s="1"/>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39" i="4"/>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l="1"/>
  <c r="W77" i="2" s="1"/>
  <c r="P99" i="8"/>
  <c r="R99" i="8" s="1"/>
  <c r="M100" i="2"/>
  <c r="DF100" i="8"/>
  <c r="G100" i="1" s="1"/>
  <c r="N100" i="8" s="1"/>
  <c r="E101" i="8"/>
  <c r="CG100" i="8"/>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l="1"/>
  <c r="W107" i="2" s="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<sst xmlns="http://schemas.openxmlformats.org/spreadsheetml/2006/main" count="3098" uniqueCount="1170">
  <si>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</si>
  <si>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</si>
  <si>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</si>
  <si>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</si>
  <si>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</si>
  <si>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</si>
  <si>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</si>
  <si>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</si>
  <si>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</si>
  <si>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</si>
  <si>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</si>
  <si>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</si>
  <si>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</si>
  <si>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</si>
  <si>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</si>
  <si>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</si>
  <si>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</si>
  <si>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</si>
  <si>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</si>
  <si>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</si>
  <si>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</si>
  <si>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</si>
  <si>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</si>
  <si>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</si>
  <si>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</si>
  <si>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</si>
  <si>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</si>
  <si>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</si>
  <si>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</si>
  <si>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</si>
  <si>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</si>
  <si>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</si>
  <si>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</si>
  <si>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</si>
  <si>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</si>
  <si>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</si>
  <si>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</si>
  <si>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</si>
  <si>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</si>
  <si>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</si>
  <si>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</si>
  <si>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</si>
  <si>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</si>
  <si>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</si>
  <si>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</si>
  <si>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</si>
  <si>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</si>
  <si>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</si>
  <si>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</si>
  <si>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</si>
  <si>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</si>
  <si>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</si>
  <si>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</si>
  <si>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</si>
  <si>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</si>
  <si>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</si>
  <si>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</si>
  <si>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</si>
  <si>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</si>
  <si>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</si>
  <si>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</si>
  <si>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</si>
  <si>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</si>
  <si>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</si>
  <si>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</si>
  <si>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</si>
  <si>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</si>
  <si>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</si>
  <si>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</si>
  <si>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</si>
  <si>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</si>
  <si>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</si>
  <si>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</si>
  <si>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</si>
  <si>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</si>
  <si>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</si>
  <si>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</si>
  <si>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</si>
  <si>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</si>
  <si>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</si>
  <si>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</si>
  <si>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</si>
  <si>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</si>
  <si>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</si>
  <si>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</si>
  <si>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</si>
  <si>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</si>
  <si>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</si>
  <si>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</si>
  <si>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</si>
  <si>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</si>
  <si>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</si>
  <si>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</si>
  <si>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</si>
  <si>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</si>
  <si>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</si>
  <si>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</si>
  <si>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</si>
  <si>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</si>
  <si>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</si>
  <si>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</si>
  <si>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</si>
  <si>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</si>
  <si>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</si>
  <si>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</si>
  <si>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</si>
  <si>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</si>
  <si>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</si>
  <si>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</si>
  <si>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</si>
  <si>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</si>
  <si>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</si>
  <si>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</si>
  <si>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</si>
  <si>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</si>
  <si>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</si>
  <si>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</si>
  <si>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</si>
  <si>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</si>
  <si>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</si>
  <si>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</si>
  <si>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</si>
  <si>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</si>
  <si>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</si>
  <si>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</si>
  <si>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</si>
  <si>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</si>
  <si>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</si>
  <si>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</si>
  <si>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</si>
  <si>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</si>
  <si>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</si>
  <si>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</si>
  <si>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</si>
  <si>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</si>
  <si>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</si>
  <si>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</si>
  <si>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</si>
  <si>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</si>
  <si>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</si>
  <si>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</si>
  <si>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</si>
  <si>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</si>
  <si>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</si>
  <si>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</si>
  <si>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</si>
  <si>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</si>
  <si>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</si>
  <si>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</si>
  <si>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</si>
  <si>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</si>
  <si>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</si>
  <si>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</si>
  <si>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</si>
  <si>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</si>
  <si>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</si>
  <si>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</si>
  <si>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</si>
  <si>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</si>
  <si>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</si>
  <si>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</si>
  <si>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</si>
  <si>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</si>
  <si>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</si>
  <si>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</si>
  <si>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</si>
  <si>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</si>
  <si>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</si>
  <si>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</si>
  <si>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</si>
  <si>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</si>
  <si>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</si>
  <si>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</si>
  <si>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</si>
  <si>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</si>
  <si>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</si>
  <si>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</si>
  <si>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</si>
  <si>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</si>
  <si>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</si>
  <si>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</si>
  <si>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</si>
  <si>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</si>
  <si>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</si>
  <si>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</si>
  <si>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</si>
  <si>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</si>
  <si>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</si>
  <si>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</si>
  <si>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</si>
  <si>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</si>
  <si>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</si>
  <si>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</si>
  <si>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</si>
  <si>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</si>
  <si>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</si>
  <si>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</si>
  <si>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</si>
  <si>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</si>
  <si>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</si>
  <si>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</si>
  <si>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</si>
  <si>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</si>
  <si>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</si>
  <si>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</si>
  <si>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</si>
  <si>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</si>
  <si>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</si>
  <si>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</si>
  <si>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</si>
  <si>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</si>
  <si>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</si>
  <si>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</si>
  <si>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</si>
  <si>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</si>
  <si>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</si>
  <si>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</si>
  <si>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</si>
  <si>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</si>
  <si>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</si>
  <si>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</si>
  <si>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</si>
  <si>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</si>
  <si>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</si>
  <si>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</si>
  <si>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</si>
  <si>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</si>
  <si>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</si>
  <si>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</si>
  <si>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</si>
  <si>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</si>
  <si>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</si>
  <si>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</si>
  <si>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</si>
  <si>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</si>
  <si>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</si>
  <si>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</si>
  <si>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</si>
  <si>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</si>
  <si>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</si>
  <si>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</si>
  <si>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</si>
  <si>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</si>
  <si>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</si>
  <si>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</si>
  <si>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</si>
  <si>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</si>
  <si>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</si>
  <si>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</si>
  <si>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</si>
  <si>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</si>
  <si>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</si>
  <si>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</si>
  <si>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</si>
  <si>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</si>
  <si>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</si>
  <si>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</si>
  <si>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</si>
  <si>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</si>
  <si>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</si>
  <si>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</si>
  <si>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</si>
  <si>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</si>
  <si>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</si>
  <si>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</si>
  <si>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</si>
  <si>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</si>
  <si>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</si>
  <si>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</si>
  <si>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</si>
  <si>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</si>
  <si>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</si>
  <si>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</si>
  <si>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</si>
  <si>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</si>
  <si>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</si>
  <si>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</si>
  <si>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</si>
  <si>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</si>
  <si>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</si>
  <si>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</si>
  <si>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</si>
  <si>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</si>
  <si>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</si>
  <si>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</si>
  <si>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</si>
  <si>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</si>
  <si>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</si>
  <si>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</si>
  <si>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</si>
  <si>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</si>
  <si>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</si>
  <si>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</si>
  <si>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</si>
  <si>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</si>
  <si>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</si>
  <si>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</si>
  <si>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</si>
  <si>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</si>
  <si>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</si>
  <si>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</si>
  <si>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</si>
  <si>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</si>
  <si>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</si>
  <si>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</si>
  <si>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</si>
  <si>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</si>
  <si>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</si>
  <si>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</si>
  <si>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</si>
  <si>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</si>
  <si>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</si>
  <si>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</si>
  <si>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</si>
  <si>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</si>
  <si>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</si>
  <si>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</si>
  <si>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</si>
  <si>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</si>
  <si>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</si>
  <si>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</si>
  <si>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</si>
  <si>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</si>
  <si>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</si>
  <si>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</si>
  <si>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</si>
  <si>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</si>
  <si>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</si>
  <si>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</si>
  <si>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</si>
  <si>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</si>
  <si>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</si>
  <si>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</si>
  <si>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</si>
  <si>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</si>
  <si>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</si>
  <si>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</si>
  <si>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</si>
  <si>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</si>
  <si>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</si>
  <si>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</si>
  <si>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</si>
  <si>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</si>
  <si>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</si>
  <si>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</si>
  <si>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</si>
  <si>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</si>
  <si>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</si>
  <si>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</si>
  <si>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</si>
  <si>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</si>
  <si>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</si>
  <si>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</si>
  <si>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</si>
  <si>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</si>
  <si>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</si>
  <si>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</si>
  <si>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</si>
  <si>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</si>
  <si>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</si>
  <si>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</si>
  <si>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</si>
  <si>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</si>
  <si>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</si>
  <si>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</si>
  <si>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</si>
  <si>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</si>
  <si>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</si>
  <si>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</si>
  <si>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</si>
  <si>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</si>
  <si>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</si>
  <si>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</si>
  <si>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</si>
  <si>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</si>
  <si>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</si>
  <si>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</si>
  <si>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</si>
  <si>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</si>
  <si>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</si>
  <si>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</si>
  <si>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</si>
  <si>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</si>
  <si>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</si>
  <si>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</si>
  <si>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</si>
  <si>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</si>
  <si>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</si>
  <si>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</si>
  <si>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</si>
  <si>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</si>
  <si>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</si>
  <si>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</si>
  <si>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</si>
  <si>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</si>
  <si>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</si>
  <si>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</si>
  <si>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</si>
  <si>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</si>
  <si>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</si>
  <si>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</si>
  <si>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</si>
  <si>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</si>
  <si>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</si>
  <si>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</si>
  <si>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</si>
  <si>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</si>
  <si>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</si>
  <si>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</si>
  <si>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</si>
  <si>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</si>
  <si>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</si>
  <si>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</si>
  <si>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</si>
  <si>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</si>
  <si>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</si>
  <si>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</si>
  <si>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</si>
  <si>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</si>
  <si>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</si>
  <si>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</si>
  <si>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</si>
  <si>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</si>
  <si>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</si>
  <si>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</si>
  <si>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</si>
  <si>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</si>
  <si>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</si>
  <si>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</si>
  <si>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</si>
  <si>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</si>
  <si>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</si>
  <si>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</si>
  <si>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</si>
  <si>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</si>
  <si>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</si>
  <si>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</si>
  <si>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</si>
  <si>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</si>
  <si>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</si>
  <si>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</si>
  <si>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</si>
  <si>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</si>
  <si>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</si>
  <si>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</si>
  <si>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</si>
  <si>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</si>
  <si>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</si>
  <si>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</si>
  <si>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</si>
  <si>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</si>
  <si>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</si>
  <si>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</si>
  <si>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</si>
  <si>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</si>
  <si>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</si>
  <si>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</si>
  <si>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</si>
  <si>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</si>
  <si>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</si>
  <si>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</si>
  <si>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</si>
  <si>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</si>
  <si>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</si>
  <si>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</si>
  <si>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</si>
  <si>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</si>
  <si>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</si>
  <si>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</si>
  <si>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</si>
  <si>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</si>
  <si>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</si>
  <si>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</si>
  <si>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</si>
  <si>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</si>
  <si>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</si>
  <si>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</si>
  <si>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</si>
  <si>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</si>
  <si>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</si>
  <si>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</si>
  <si>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</si>
  <si>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</si>
  <si>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</si>
  <si>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</si>
  <si>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</si>
  <si>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</si>
  <si>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</si>
  <si>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</si>
  <si>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</si>
  <si>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</si>
  <si>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</si>
  <si>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</si>
  <si>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</si>
  <si>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</si>
  <si>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</si>
  <si>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</si>
  <si>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</si>
  <si>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</si>
  <si>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</si>
  <si>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</si>
  <si>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</si>
  <si>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</si>
  <si>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</si>
  <si>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</si>
  <si>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</si>
  <si>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</si>
  <si>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</si>
  <si>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</si>
  <si>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</si>
  <si>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</si>
  <si>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</si>
  <si>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</si>
  <si>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</si>
  <si>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</si>
  <si>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</si>
  <si>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</si>
  <si>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</si>
  <si>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</si>
  <si>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</si>
  <si>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</si>
  <si>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</si>
  <si>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</si>
  <si>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</si>
  <si>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</si>
  <si>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</si>
  <si>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</si>
  <si>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</si>
  <si>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</si>
  <si>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</si>
  <si>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</si>
  <si>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</si>
  <si>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</si>
  <si>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</si>
  <si>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</si>
  <si>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</si>
  <si>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</si>
  <si>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</si>
  <si>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</si>
  <si>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</si>
  <si>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</si>
  <si>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</si>
  <si>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</si>
  <si>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</si>
  <si>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</si>
  <si>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</si>
  <si>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</si>
  <si>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</si>
  <si>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</si>
  <si>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</si>
  <si>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</si>
  <si>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</si>
  <si>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</si>
  <si>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</si>
  <si>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</si>
  <si>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</si>
  <si>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</si>
  <si>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</si>
  <si>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</si>
  <si>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</si>
  <si>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</si>
  <si>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</si>
  <si>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</si>
  <si>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</si>
  <si>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</si>
  <si>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</si>
  <si>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</si>
  <si>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</si>
  <si>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</si>
  <si>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</si>
  <si>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</si>
  <si>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</si>
  <si>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</si>
  <si>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</si>
  <si>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</si>
  <si>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</si>
  <si>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</si>
  <si>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</si>
  <si>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</si>
  <si>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</si>
  <si>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</si>
  <si>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</si>
  <si>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</si>
  <si>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</si>
  <si>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</si>
  <si>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</si>
  <si>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</si>
  <si>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</si>
  <si>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</si>
  <si>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</si>
  <si>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</si>
  <si>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</si>
  <si>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</si>
  <si>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</si>
  <si>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</si>
  <si>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</si>
  <si>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</si>
  <si>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</si>
  <si>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</si>
  <si>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</si>
  <si>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</si>
  <si>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</si>
  <si>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</si>
  <si>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</si>
  <si>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</si>
  <si>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</si>
  <si>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</si>
  <si>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</si>
  <si>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</si>
  <si>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</si>
  <si>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</si>
  <si>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</si>
  <si>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</si>
  <si>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</si>
  <si>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</si>
  <si>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</si>
  <si>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</si>
  <si>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</si>
  <si>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</si>
  <si>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</si>
  <si>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</si>
  <si>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</si>
  <si>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</si>
  <si>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</si>
  <si>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</si>
  <si>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</si>
  <si>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</si>
  <si>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</si>
  <si>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</si>
  <si>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</si>
  <si>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</si>
  <si>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</si>
  <si>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</si>
  <si>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</si>
  <si>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</si>
  <si>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</si>
  <si>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</si>
  <si>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</si>
  <si>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</si>
  <si>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</si>
  <si>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</si>
  <si>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</si>
  <si>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</si>
  <si>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</si>
  <si>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</si>
  <si>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</si>
  <si>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</si>
  <si>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</si>
  <si>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</si>
  <si>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</si>
  <si>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</si>
  <si>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</si>
  <si>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</si>
  <si>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</si>
  <si>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</si>
  <si>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</si>
  <si>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</si>
  <si>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</si>
  <si>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</si>
  <si>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</si>
  <si>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</si>
  <si>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</si>
  <si>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</si>
  <si>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</si>
  <si>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</si>
  <si>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</si>
  <si>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</si>
  <si>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</si>
  <si>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</si>
  <si>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</si>
  <si>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</si>
  <si>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</si>
  <si>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</si>
  <si>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</si>
  <si>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</si>
  <si>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</si>
  <si>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</si>
  <si>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</si>
  <si>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</si>
  <si>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</si>
  <si>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</si>
  <si>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</si>
  <si>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</si>
  <si>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</si>
  <si>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</si>
  <si>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</si>
  <si>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</si>
  <si>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</si>
  <si>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</si>
  <si>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</si>
  <si>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</si>
  <si>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</si>
  <si>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</si>
  <si>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</si>
  <si>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</si>
  <si>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</si>
  <si>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</si>
  <si>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</si>
  <si>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</si>
  <si>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</si>
  <si>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</si>
  <si>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</si>
  <si>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</si>
  <si>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</si>
  <si>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</si>
  <si>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</si>
  <si>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</si>
  <si>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</si>
  <si>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</si>
  <si>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</si>
  <si>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</si>
  <si>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</si>
  <si>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</si>
  <si>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</si>
  <si>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</si>
  <si>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</si>
  <si>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</si>
  <si>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</si>
  <si>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</si>
  <si>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</si>
  <si>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</si>
  <si>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</si>
  <si>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</si>
  <si>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</si>
  <si>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</si>
  <si>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</si>
  <si>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</si>
  <si>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</si>
  <si>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</si>
  <si>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</si>
  <si>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</si>
  <si>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</si>
  <si>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</si>
  <si>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</si>
  <si>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construction lumber cost</t>
  </si>
  <si>
    <t>-15% food decay, lumber rot, mana drain</t>
  </si>
  <si>
    <t>-2.5% explore platinum cost, -1 explore draftee cost</t>
  </si>
  <si>
    <t>-7.5% explore platinum cost, -2 explore draftee cost</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</si>
  <si>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</si>
  <si>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</si>
  <si>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</si>
  <si>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</si>
  <si>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</si>
  <si>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</si>
  <si>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</si>
  <si>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</si>
  <si>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</si>
  <si>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</si>
  <si>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</si>
  <si>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</si>
  <si>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</si>
  <si>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</si>
  <si>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</si>
  <si>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</si>
  <si>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</si>
  <si>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</si>
  <si>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</si>
  <si>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</si>
  <si>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</si>
  <si>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</si>
  <si>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</si>
  <si>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</si>
  <si>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</si>
  <si>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</si>
  <si>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</si>
  <si>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</si>
  <si>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</si>
  <si>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</si>
  <si>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</si>
  <si>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</si>
  <si>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</si>
  <si>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</si>
  <si>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</si>
  <si>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</si>
  <si>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</si>
  <si>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</si>
  <si>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</si>
  <si>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</si>
  <si>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</si>
  <si>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</si>
  <si>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</si>
  <si>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</si>
  <si>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</si>
  <si>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</si>
  <si>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</si>
  <si>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</si>
  <si>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</si>
  <si>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</si>
  <si>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</si>
  <si>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</si>
  <si>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</si>
  <si>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</si>
  <si>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</si>
  <si>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</si>
  <si>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</si>
  <si>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</si>
  <si>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</si>
  <si>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</si>
  <si>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</si>
  <si>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</si>
  <si>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</si>
  <si>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</si>
  <si>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</si>
  <si>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</si>
  <si>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</si>
  <si>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</si>
  <si>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</si>
  <si>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</si>
  <si>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</si>
  <si>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</si>
  <si>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</si>
  <si>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</si>
  <si>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</si>
  <si>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</si>
  <si>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</si>
  <si>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</si>
  <si>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</si>
  <si>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</si>
  <si>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</si>
  <si>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</si>
  <si>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</si>
  <si>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</si>
  <si>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</si>
  <si>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</si>
  <si>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</si>
  <si>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</si>
  <si>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</si>
  <si>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</si>
  <si>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</si>
  <si>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</si>
  <si>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</si>
  <si>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</si>
  <si>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</si>
  <si>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</si>
  <si>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</si>
  <si>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</si>
  <si>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</si>
  <si>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</si>
  <si>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</si>
  <si>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</si>
  <si>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</si>
  <si>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</si>
  <si>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</si>
  <si>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</si>
  <si>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</si>
  <si>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</si>
  <si>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</si>
  <si>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</si>
  <si>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</si>
  <si>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</si>
  <si>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</si>
  <si>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</si>
  <si>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</si>
  <si>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</si>
  <si>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</si>
  <si>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</si>
  <si>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</si>
  <si>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</si>
  <si>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</si>
  <si>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</si>
  <si>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</si>
  <si>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</si>
  <si>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</si>
  <si>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</si>
  <si>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</si>
  <si>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</si>
  <si>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</si>
  <si>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</si>
  <si>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</si>
  <si>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</si>
  <si>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</si>
  <si>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</si>
  <si>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</si>
  <si>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</si>
  <si>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</si>
  <si>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</si>
  <si>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</si>
  <si>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</si>
  <si>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</si>
  <si>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</si>
  <si>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</si>
  <si>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</si>
  <si>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</si>
  <si>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</si>
  <si>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</si>
  <si>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</si>
  <si>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</si>
  <si>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</si>
  <si>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</si>
  <si>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</si>
  <si>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</si>
  <si>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</si>
  <si>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</si>
  <si>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</si>
  <si>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</si>
  <si>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</si>
  <si>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</si>
  <si>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</si>
  <si>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</si>
  <si>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</si>
  <si>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</si>
  <si>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</si>
  <si>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</si>
  <si>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</si>
  <si>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</si>
  <si>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</si>
  <si>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</si>
  <si>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</si>
  <si>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</si>
  <si>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</si>
  <si>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</si>
  <si>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</si>
  <si>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</si>
  <si>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</si>
  <si>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</si>
  <si>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</si>
  <si>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</si>
  <si>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</si>
  <si>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</si>
  <si>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</si>
  <si>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</si>
  <si>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</si>
  <si>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</si>
  <si>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</si>
  <si>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</si>
  <si>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</si>
  <si>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</si>
  <si>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</si>
  <si>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</si>
  <si>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</si>
  <si>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</si>
  <si>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</si>
  <si>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</si>
  <si>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</si>
  <si>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</si>
  <si>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</si>
  <si>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</si>
  <si>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</si>
  <si>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</si>
  <si>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</si>
  <si>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</si>
  <si>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</si>
  <si>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</si>
  <si>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</si>
  <si>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</si>
  <si>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</si>
  <si>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</si>
  <si>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</si>
  <si>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</si>
  <si>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</si>
  <si>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</si>
  <si>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</si>
  <si>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</si>
  <si>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</si>
  <si>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</si>
  <si>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</si>
  <si>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</si>
  <si>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</si>
  <si>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</si>
  <si>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</si>
  <si>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</si>
  <si>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</si>
  <si>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</si>
  <si>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</si>
  <si>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</si>
  <si>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</si>
  <si>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</si>
  <si>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</si>
  <si>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</si>
  <si>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</si>
  <si>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</si>
  <si>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</si>
  <si>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</si>
  <si>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</si>
  <si>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</si>
  <si>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</si>
  <si>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</si>
  <si>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</si>
  <si>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</si>
  <si>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</si>
  <si>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</si>
  <si>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</si>
  <si>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</si>
  <si>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</si>
  <si>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</si>
  <si>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</si>
  <si>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</si>
  <si>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</si>
  <si>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</si>
  <si>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</si>
  <si>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</si>
  <si>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</si>
  <si>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</si>
  <si>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</si>
  <si>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</si>
  <si>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</si>
  <si>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</si>
  <si>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</si>
  <si>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</si>
  <si>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</si>
  <si>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</si>
  <si>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</si>
  <si>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</si>
  <si>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</si>
  <si>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</si>
  <si>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</si>
  <si>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</si>
  <si>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</si>
  <si>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</si>
  <si>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</si>
  <si>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</si>
  <si>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</si>
  <si>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</si>
  <si>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</si>
  <si>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</si>
  <si>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</si>
  <si>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</si>
  <si>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</si>
  <si>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</si>
  <si>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</si>
  <si>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</si>
  <si>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</si>
  <si>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</si>
  <si>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</si>
  <si>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</si>
  <si>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</si>
  <si>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</si>
  <si>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</si>
  <si>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</si>
  <si>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</si>
  <si>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</si>
  <si>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</si>
  <si>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</si>
  <si>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</si>
  <si>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</si>
  <si>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</si>
  <si>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</si>
  <si>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</si>
  <si>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</si>
  <si>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</si>
  <si>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</si>
  <si>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</si>
  <si>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-1.75% military training cost</t>
  </si>
  <si>
    <t>+2.5% gem production, +7.5% ore production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</si>
  <si>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</si>
  <si>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</si>
  <si>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</si>
  <si>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</si>
  <si>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</si>
  <si>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</si>
  <si>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</si>
  <si>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</si>
  <si>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</si>
  <si>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</si>
  <si>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</si>
  <si>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</si>
  <si>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</si>
  <si>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</si>
  <si>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</si>
  <si>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</si>
  <si>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</si>
  <si>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</si>
  <si>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</si>
  <si>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</si>
  <si>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</si>
  <si>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</si>
  <si>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</si>
  <si>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</si>
  <si>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</si>
  <si>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</si>
  <si>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</si>
  <si>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</si>
  <si>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</si>
  <si>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</si>
  <si>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</si>
  <si>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</si>
  <si>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</si>
  <si>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</si>
  <si>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</si>
  <si>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</si>
  <si>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</si>
  <si>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</si>
  <si>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</si>
  <si>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</si>
  <si>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</si>
  <si>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 platinum production</t>
  </si>
  <si>
    <t>+4% platinum production</t>
  </si>
  <si>
    <t>+5% mana production</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</si>
  <si>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</si>
  <si>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</si>
  <si>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</si>
  <si>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</si>
  <si>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</si>
  <si>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</si>
  <si>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</si>
  <si>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</si>
  <si>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</si>
  <si>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</si>
  <si>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</si>
  <si>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</si>
  <si>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</si>
  <si>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</si>
  <si>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</si>
  <si>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</si>
  <si>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</si>
  <si>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</si>
  <si>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</si>
  <si>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</si>
  <si>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</si>
  <si>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</si>
  <si>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</si>
  <si>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</si>
  <si>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</si>
  <si>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</si>
  <si>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</si>
  <si>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</si>
  <si>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</si>
  <si>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</si>
  <si>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</si>
  <si>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</si>
  <si>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</si>
  <si>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</si>
  <si>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</si>
  <si>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</si>
  <si>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</si>
  <si>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</si>
  <si>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</si>
  <si>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</si>
  <si>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</si>
  <si>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</si>
  <si>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</si>
  <si>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</si>
  <si>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</si>
  <si>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</si>
  <si>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</si>
  <si>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</si>
  <si>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</si>
  <si>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</si>
  <si>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</si>
  <si>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</si>
  <si>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</si>
  <si>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</si>
  <si>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</si>
  <si>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</si>
  <si>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</si>
  <si>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r>
      <t xml:space="preserve">You have </t>
    </r>
    <r>
      <rPr>
        <b/>
        <sz val="10"/>
        <rFont val="Arial"/>
        <family val="2"/>
      </rPr>
      <t>350</t>
    </r>
    <r>
      <rPr>
        <sz val="10"/>
        <rFont val="Arial"/>
        <family val="2"/>
      </rPr>
      <t xml:space="preserve"> starting acres to construct:</t>
    </r>
  </si>
  <si>
    <t>Starting Acres</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</si>
  <si>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Begin your sim by filling out your initial construction right here on the Overview page!</t>
    </r>
  </si>
  <si>
    <t>Instructions:</t>
  </si>
  <si>
    <t>Begin by building your starting acres</t>
  </si>
  <si>
    <t>right here on the Overview tab! The</t>
  </si>
  <si>
    <t>sim will automatically import your</t>
  </si>
  <si>
    <t>buildings to start hour 1.</t>
  </si>
  <si>
    <t>Infernal Command</t>
  </si>
  <si>
    <t>Active Infernal Command</t>
  </si>
  <si>
    <t>Infernal Command OP</t>
  </si>
  <si>
    <t>+7.5% food production, -4 Burning duration</t>
  </si>
  <si>
    <t>+20% wonder damage</t>
  </si>
  <si>
    <t>-25% theft losses, +10% defensive spy power</t>
  </si>
  <si>
    <t>+1 wizard refresh rate</t>
  </si>
  <si>
    <t xml:space="preserve"> +7.5% lumber production, 100% discounted construction of destroyed acres</t>
  </si>
  <si>
    <t>-20% wizard cost</t>
  </si>
  <si>
    <t>Shadow Academy</t>
  </si>
  <si>
    <t>-20% cost of assassins/archmages</t>
  </si>
  <si>
    <t>+2 mana production per tower</t>
  </si>
  <si>
    <t>-20% lumber rot, -20% construction lumber cost</t>
  </si>
  <si>
    <t>FW5</t>
  </si>
  <si>
    <t>FW Spell</t>
  </si>
  <si>
    <t>forges per alchemy</t>
  </si>
  <si>
    <t>OD Round 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</si>
</sst>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1">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7">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6"/>
      <tableStyleElement type="headerRow" dxfId="1025"/>
      <tableStyleElement type="totalRow" dxfId="1024"/>
      <tableStyleElement type="firstColumn" dxfId="1023"/>
      <tableStyleElement type="lastColumn" dxfId="1022"/>
      <tableStyleElement type="firstRowStripe" dxfId="1021"/>
      <tableStyleElement type="secondRowStripe" dxfId="1020"/>
      <tableStyleElement type="firstColumnStripe" dxfId="1019"/>
    </tableStyle>
    <tableStyle name="TableStyleLight1 3" pivot="0" count="8" xr9:uid="{40048D91-B7B4-48AD-ADA3-F7B5F24E3A0B}">
      <tableStyleElement type="wholeTable" dxfId="1018"/>
      <tableStyleElement type="headerRow" dxfId="1017"/>
      <tableStyleElement type="totalRow" dxfId="1016"/>
      <tableStyleElement type="firstColumn" dxfId="1015"/>
      <tableStyleElement type="lastColumn" dxfId="1014"/>
      <tableStyleElement type="firstRowStripe" dxfId="1013"/>
      <tableStyleElement type="secondRowStripe" dxfId="1012"/>
      <tableStyleElement type="firstColumnStripe" dxfId="1011"/>
    </tableStyle>
    <tableStyle name="TableStyleLight1 3 2" pivot="0" count="8" xr9:uid="{C5C8B11A-65E1-47E8-8B6A-A638EA763C9D}">
      <tableStyleElement type="wholeTable" dxfId="1010"/>
      <tableStyleElement type="headerRow" dxfId="1009"/>
      <tableStyleElement type="totalRow" dxfId="1008"/>
      <tableStyleElement type="firstColumn" dxfId="1007"/>
      <tableStyleElement type="lastColumn" dxfId="1006"/>
      <tableStyleElement type="firstRowStripe" dxfId="1005"/>
      <tableStyleElement type="secondRowStripe" dxfId="1004"/>
      <tableStyleElement type="firstColumnStripe" dxfId="1003"/>
    </tableStyle>
    <tableStyle name="TableStyleLight1 4" pivot="0" count="8" xr9:uid="{879439EA-876F-405F-B69E-85273FF10F93}">
      <tableStyleElement type="wholeTable" dxfId="1002"/>
      <tableStyleElement type="headerRow" dxfId="1001"/>
      <tableStyleElement type="totalRow" dxfId="1000"/>
      <tableStyleElement type="firstColumn" dxfId="999"/>
      <tableStyleElement type="lastColumn" dxfId="998"/>
      <tableStyleElement type="firstRowStripe" dxfId="997"/>
      <tableStyleElement type="secondRowStripe" dxfId="996"/>
      <tableStyleElement type="firstColumnStripe" dxfId="995"/>
    </tableStyle>
    <tableStyle name="TableStyleLight1 4 2" pivot="0" count="8" xr9:uid="{A2A787F1-3FC0-4774-93F6-6F67EEF4DC05}">
      <tableStyleElement type="wholeTable" dxfId="994"/>
      <tableStyleElement type="headerRow" dxfId="993"/>
      <tableStyleElement type="totalRow" dxfId="992"/>
      <tableStyleElement type="firstColumn" dxfId="991"/>
      <tableStyleElement type="lastColumn" dxfId="990"/>
      <tableStyleElement type="firstRowStripe" dxfId="989"/>
      <tableStyleElement type="secondRowStripe" dxfId="988"/>
      <tableStyleElement type="firstColumnStripe" dxfId="987"/>
    </tableStyle>
    <tableStyle name="TableStyleLight1 5" pivot="0" count="8" xr9:uid="{CB689928-D93B-4088-A9C6-560B4B9C5E75}">
      <tableStyleElement type="wholeTable" dxfId="986"/>
      <tableStyleElement type="headerRow" dxfId="985"/>
      <tableStyleElement type="totalRow" dxfId="984"/>
      <tableStyleElement type="firstColumn" dxfId="983"/>
      <tableStyleElement type="lastColumn" dxfId="982"/>
      <tableStyleElement type="firstRowStripe" dxfId="981"/>
      <tableStyleElement type="secondRowStripe" dxfId="980"/>
      <tableStyleElement type="firstColumnStripe" dxfId="979"/>
    </tableStyle>
    <tableStyle name="TableStyleLight1 5 2" pivot="0" count="8" xr9:uid="{7B8F54C5-86FC-4F37-89FD-016FBCC24E05}">
      <tableStyleElement type="wholeTable" dxfId="978"/>
      <tableStyleElement type="headerRow" dxfId="977"/>
      <tableStyleElement type="totalRow" dxfId="976"/>
      <tableStyleElement type="firstColumn" dxfId="975"/>
      <tableStyleElement type="lastColumn" dxfId="974"/>
      <tableStyleElement type="firstRowStripe" dxfId="973"/>
      <tableStyleElement type="secondRowStripe" dxfId="972"/>
      <tableStyleElement type="firstColumnStripe" dxfId="971"/>
    </tableStyle>
    <tableStyle name="TableStyleLight1 5 2 2" pivot="0" count="8" xr9:uid="{03577705-4D4B-4BC8-BE21-E9B4AACE52E1}">
      <tableStyleElement type="wholeTable" dxfId="970"/>
      <tableStyleElement type="headerRow" dxfId="969"/>
      <tableStyleElement type="totalRow" dxfId="968"/>
      <tableStyleElement type="firstColumn" dxfId="967"/>
      <tableStyleElement type="lastColumn" dxfId="966"/>
      <tableStyleElement type="firstRowStripe" dxfId="965"/>
      <tableStyleElement type="secondRowStripe" dxfId="964"/>
      <tableStyleElement type="firstColumnStripe" dxfId="963"/>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2" dataDxfId="951">
  <tableColumns count="6">
    <tableColumn id="1" xr3:uid="{00000000-0010-0000-0000-000001000000}" name="Unit Names" headerRowDxfId="950" dataDxfId="949">
      <calculatedColumnFormula>_xlfn.SINGLE(INDEX(TblRaces[],MATCH(race,TblRaces[Race],0),4))</calculatedColumnFormula>
    </tableColumn>
    <tableColumn id="2" xr3:uid="{00000000-0010-0000-0000-000002000000}" name="Offense" headerRowDxfId="948" dataDxfId="947">
      <calculatedColumnFormula>_xlfn.IFNA(INDEX(TblRaces[],MATCH(TblUnits[[#This Row],[Unit Names]],TblRaces[Unitname],0),5),"")</calculatedColumnFormula>
    </tableColumn>
    <tableColumn id="3" xr3:uid="{00000000-0010-0000-0000-000003000000}" name="Defense" headerRowDxfId="946" dataDxfId="945">
      <calculatedColumnFormula>_xlfn.IFNA(INDEX(TblRaces[],MATCH(TblUnits[[#This Row],[Unit Names]],TblRaces[Unitname],0),6),"")</calculatedColumnFormula>
    </tableColumn>
    <tableColumn id="4" xr3:uid="{00000000-0010-0000-0000-000004000000}" name="Platinum" headerRowDxfId="944" dataDxfId="943">
      <calculatedColumnFormula>_xlfn.IFNA(INDEX(TblRaces[],MATCH(TblUnits[[#This Row],[Unit Names]],TblRaces[Unitname],0),7),"")</calculatedColumnFormula>
    </tableColumn>
    <tableColumn id="5" xr3:uid="{00000000-0010-0000-0000-000005000000}" name="Ore" headerRowDxfId="942" dataDxfId="941">
      <calculatedColumnFormula>_xlfn.IFNA(INDEX(TblRaces[],MATCH(TblUnits[[#This Row],[Unit Names]],TblRaces[Unitname],0),8),"")</calculatedColumnFormula>
    </tableColumn>
    <tableColumn id="6" xr3:uid="{00000000-0010-0000-0000-000006000000}" name="Networth" headerRowDxfId="940" dataDxfId="939">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8" dataDxfId="936" headerRowBorderDxfId="937" tableBorderDxfId="935">
  <autoFilter ref="H15:I33" xr:uid="{6EDA5300-DB26-4799-A5D1-5432AC102827}">
    <filterColumn colId="0" hiddenButton="1"/>
    <filterColumn colId="1" hiddenButton="1"/>
  </autoFilter>
  <tableColumns count="2">
    <tableColumn id="1" xr3:uid="{C93253AD-A598-462C-985D-E538FB5404AF}" name="Race Bonuses" dataDxfId="934"/>
    <tableColumn id="2" xr3:uid="{7301230A-1354-4459-BA19-9D8AE9608978}" name="Bonus" dataDxfId="933"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2" dataDxfId="931" tableBorderDxfId="930">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9"/>
    <tableColumn id="2" xr3:uid="{F7BA9D3F-F979-435F-AF55-B8562C7F08C8}" name=" " dataDxfId="928"/>
    <tableColumn id="3" xr3:uid="{C661B1D0-1EAD-42B7-889A-9265EA75CB1D}" name="Offense" dataDxfId="927"/>
    <tableColumn id="4" xr3:uid="{594F8FE6-285D-432D-AB90-DE26655C8963}" name="Bonus" dataDxfId="926"/>
    <tableColumn id="5" xr3:uid="{1A4EBEB0-1016-4D5D-920D-08D8AD7AFC97}" name="OP Mod" dataDxfId="925"/>
    <tableColumn id="6" xr3:uid="{0A455978-2417-4AD7-8969-95433ADAC6F4}" name="Defense" dataDxfId="924"/>
    <tableColumn id="7" xr3:uid="{3C4FEC10-2BEB-4EC0-AA98-F67CC8DBE5B5}" name="DP Bonus" dataDxfId="923"/>
    <tableColumn id="8" xr3:uid="{9CE669CC-5E7B-4E7B-8FFE-265EB626E935}" name="DP Mod" dataDxfId="922"/>
    <tableColumn id="9" xr3:uid="{7DE0C022-18E9-48B5-8835-9B63E8CC1CDF}" name="." dataDxfId="921"/>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20" dataDxfId="918" headerRowBorderDxfId="919" tableBorderDxfId="917">
  <autoFilter ref="H50:J54" xr:uid="{86CCA094-2F84-4D6A-BB34-AED37B4839D4}">
    <filterColumn colId="0" hiddenButton="1"/>
    <filterColumn colId="1" hiddenButton="1"/>
    <filterColumn colId="2" hiddenButton="1"/>
  </autoFilter>
  <tableColumns count="3">
    <tableColumn id="1" xr3:uid="{E0152EC7-4145-4063-BAB4-B6301A014F4B}" name="Type" dataDxfId="916"/>
    <tableColumn id="2" xr3:uid="{FAE1A1FE-F8EC-48F0-A8AF-ADF4B1F44E93}" name="Raw" dataDxfId="915"/>
    <tableColumn id="3" xr3:uid="{AFD4C97E-F124-4CC9-8087-32A6EB65C3D5}" name="Modded" dataDxfId="914"/>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3" dataDxfId="911" headerRowBorderDxfId="912" tableBorderDxfId="910">
  <autoFilter ref="H57:J60" xr:uid="{4A95BFF0-5AE4-4064-BA31-9F687E8E34BD}">
    <filterColumn colId="0" hiddenButton="1"/>
    <filterColumn colId="1" hiddenButton="1"/>
    <filterColumn colId="2" hiddenButton="1"/>
  </autoFilter>
  <tableColumns count="3">
    <tableColumn id="1" xr3:uid="{ACCDFB1C-E1AE-4F10-BB67-59F2B9780D01}" name="Hour" dataDxfId="909"/>
    <tableColumn id="2" xr3:uid="{277A266C-0AEF-4864-99C7-1E807FF68978}" name="Amount" dataDxfId="908"/>
    <tableColumn id="3" xr3:uid="{DD724D20-8039-4E15-A45D-F535D999ED97}" name="Without Training" dataDxfId="907"/>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6" dataDxfId="905" totalsRowDxfId="903" tableBorderDxfId="904">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2" totalsRowDxfId="901"/>
    <tableColumn id="2" xr3:uid="{739DBC51-BC77-4631-B107-088DC25245EB}" name="Amount" totalsRowFunction="sum" dataDxfId="900" totalsRowDxfId="899"/>
    <tableColumn id="3" xr3:uid="{41BF49B0-731E-480A-A25D-802B4380182E}" name="Relative" totalsRowFunction="custom" totalsRowDxfId="898"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7" dataDxfId="896" tableBorderDxfId="895">
  <autoFilter ref="D49:F72" xr:uid="{6C8ACB43-975F-416A-A510-CF883452891C}">
    <filterColumn colId="0" hiddenButton="1"/>
    <filterColumn colId="1" hiddenButton="1"/>
    <filterColumn colId="2" hiddenButton="1"/>
  </autoFilter>
  <tableColumns count="3">
    <tableColumn id="1" xr3:uid="{97F6A0D7-4C71-45E8-A9DA-F3DBEC3693D1}" name="Acres" dataDxfId="894"/>
    <tableColumn id="2" xr3:uid="{70370623-AE12-4AC1-B3BC-5FA6F33097E0}" name=" " dataDxfId="893"/>
    <tableColumn id="3" xr3:uid="{76F2AA18-B160-4225-A8AB-03D1370169AB}" name="   " dataDxfId="892"/>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1" dataDxfId="889" headerRowBorderDxfId="890" tableBorderDxfId="888">
  <autoFilter ref="D14:E18" xr:uid="{AF658822-94AE-4FD8-9D6D-E660E1B5C629}">
    <filterColumn colId="0" hiddenButton="1"/>
    <filterColumn colId="1" hiddenButton="1"/>
  </autoFilter>
  <tableColumns count="2">
    <tableColumn id="1" xr3:uid="{EFD90BA2-CBAC-4BDB-9434-40FB9C2485F4}" name="Date&amp;Time" dataDxfId="887"/>
    <tableColumn id="2" xr3:uid="{CCEF9A0F-7383-4941-A440-9E2452942487}" name="." dataDxfId="886"/>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5" dataDxfId="884" tableBorderDxfId="883">
  <autoFilter ref="K15:L34" xr:uid="{D133DF78-1AE9-48BB-91CA-D0AE4B36CC49}">
    <filterColumn colId="0" hiddenButton="1"/>
    <filterColumn colId="1" hiddenButton="1"/>
  </autoFilter>
  <tableColumns count="2">
    <tableColumn id="1" xr3:uid="{3C9ED756-1E7B-43BC-9693-67AD91370593}" name="Building" dataDxfId="882"/>
    <tableColumn id="2" xr3:uid="{1A5D6F48-D49E-4549-A12C-3D6329B8F5BF}" name="Amount" dataDxfId="881"/>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4" dataDxfId="873" totalsRowDxfId="87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1" totalsRowDxfId="870">
      <calculatedColumnFormula>TblRezone[[#This Row],[Hour]]</calculatedColumnFormula>
    </tableColumn>
    <tableColumn id="2" xr3:uid="{7657952B-D9DB-46FC-BD8D-612DECDC04FD}" name="Time" dataDxfId="869" totalsRowDxfId="868">
      <calculatedColumnFormula>TblImps[[#This Row],[Time]]</calculatedColumnFormula>
    </tableColumn>
    <tableColumn id="3" xr3:uid="{767542B9-4E58-42E2-85BA-5C1DB6108363}" name="Peasants" dataDxfId="867">
      <calculatedColumnFormula>OFFSET(TblPop[[#This Row],[Peasants]],-1,0)+OFFSET(TblPop[[#This Row],[Net Peasant]],-1,0)+TblMili[[#This Row],[Release Draft]]</calculatedColumnFormula>
    </tableColumn>
    <tableColumn id="4" xr3:uid="{F5DC2705-5767-4AD0-A2E0-E36086D164C0}" name="Military" dataDxfId="866" totalsRowDxfId="865">
      <calculatedColumnFormula>TblMili[[#This Row],[Military]]</calculatedColumnFormula>
    </tableColumn>
    <tableColumn id="5" xr3:uid="{57E397CE-6C2C-48AE-9B2E-52E14099EAFC}" name="Draftees" dataDxfId="864" totalsRowDxfId="863">
      <calculatedColumnFormula>TblMili[[#This Row],[Draftees]]</calculatedColumnFormula>
    </tableColumn>
    <tableColumn id="6" xr3:uid="{7339086D-8AEE-45A5-B78D-EA6FDBA34E10}" name="Total" dataDxfId="862" totalsRowDxfId="861">
      <calculatedColumnFormula>TblPop[[#This Row],[Peasants]]+TblPop[[#This Row],[Military]]</calculatedColumnFormula>
    </tableColumn>
    <tableColumn id="7" xr3:uid="{75D92B6D-F4CA-42F7-80B3-4BF8A336E69C}" name="Military%" dataDxfId="860" totalsRowDxfId="859" dataCellStyle="Percent">
      <calculatedColumnFormula>TblPop[[#This Row],[Military]]/TblPop[[#This Row],[Total]]</calculatedColumnFormula>
    </tableColumn>
    <tableColumn id="8" xr3:uid="{257C6438-3205-4A45-9F91-ACD066CD59E8}" name="Employed" dataDxfId="858" totalsRowDxfId="857" dataCellStyle="Percent">
      <calculatedColumnFormula>MIN(TblPop[[#This Row],[Peasants]],TblPop[[#This Row],[Jobs]])</calculatedColumnFormula>
    </tableColumn>
    <tableColumn id="9" xr3:uid="{B05B6937-2C12-476B-B555-2A8ED6FF34EF}" name="Employment" dataDxfId="856" totalsRowDxfId="855" dataCellStyle="Percent">
      <calculatedColumnFormula>MIN(OFFSET(TblPop[[#This Row],[Jobs]],1,0)/TblPop[[#This Row],[Peasants]],1)</calculatedColumnFormula>
    </tableColumn>
    <tableColumn id="10" xr3:uid="{AD7F9BB7-A630-4BBB-AFEA-37B907196778}" name="Jobs" dataDxfId="854" totalsRowDxfId="853"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2" totalsRowDxfId="851" dataCellStyle="Percent"/>
    <tableColumn id="12" xr3:uid="{2EEFBFF9-40A4-412F-8FEC-C2F4799A06E6}" name=" Draftees" dataDxfId="850" totalsRowDxfId="849">
      <calculatedColumnFormula>TblPop[[#This Row],[Draftees]]</calculatedColumnFormula>
    </tableColumn>
    <tableColumn id="13" xr3:uid="{43729A62-E847-4DBB-BC42-62B1FB3DA7A5}" name="Unit 1" dataDxfId="848" totalsRowDxfId="847">
      <calculatedColumnFormula>TblMili[[#This Row],[Unit 1]]</calculatedColumnFormula>
    </tableColumn>
    <tableColumn id="14" xr3:uid="{C7A024F4-2376-4871-897D-90BEBEBC78B7}" name="Unit 2" dataDxfId="846" totalsRowDxfId="845">
      <calculatedColumnFormula>TblMili[[#This Row],[Unit 2]]</calculatedColumnFormula>
    </tableColumn>
    <tableColumn id="15" xr3:uid="{93EC8730-4D26-4E19-ADAA-3ED5C943F257}" name="Unit 3" dataDxfId="844" totalsRowDxfId="843">
      <calculatedColumnFormula>TblMili[[#This Row],[Unit 3]]</calculatedColumnFormula>
    </tableColumn>
    <tableColumn id="16" xr3:uid="{1A382ACC-9ED2-4A5E-BEE3-781B1DBCF186}" name="Unit 4" dataDxfId="842" totalsRowDxfId="841">
      <calculatedColumnFormula>TblMili[[#This Row],[Unit 4]]</calculatedColumnFormula>
    </tableColumn>
    <tableColumn id="17" xr3:uid="{491D1C19-D1B1-48C7-8FC6-BE77B7CD2635}" name="Spies" dataDxfId="840" totalsRowDxfId="839">
      <calculatedColumnFormula>TblMili[[#This Row],[Spies]]</calculatedColumnFormula>
    </tableColumn>
    <tableColumn id="18" xr3:uid="{1AF95FC5-21CD-41AC-A69F-CF5E9AF4AB85}" name="Wizards" dataDxfId="838" totalsRowDxfId="837">
      <calculatedColumnFormula>TblMili[[#This Row],[Wizards]]</calculatedColumnFormula>
    </tableColumn>
    <tableColumn id="19" xr3:uid="{C157D21E-FD58-4F24-A070-1819A7E2DA97}" name="Archmage" dataDxfId="836" totalsRowDxfId="835">
      <calculatedColumnFormula>TblMili[[#This Row],[Archmages]]</calculatedColumnFormula>
    </tableColumn>
    <tableColumn id="20" xr3:uid="{6BBFB632-E92F-4F29-AE3D-534C8288C615}" name=".." dataDxfId="834" totalsRowDxfId="833"/>
    <tableColumn id="21" xr3:uid="{59CAD00B-A8EE-455B-A015-E17ADF56A7B2}" name="Net max" dataDxfId="832" totalsRowDxfId="831">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30" totalsRowDxfId="829">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8" totalsRowDxfId="827">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6" totalsRowDxfId="825">
      <calculatedColumnFormula>ROUND(TblPop[[#This Row],[Raw Birth]]*(1+TblPop[[#This Row],[Growth]]),0)</calculatedColumnFormula>
    </tableColumn>
    <tableColumn id="25" xr3:uid="{26E60E7F-6DA3-49EF-99E8-26A0DAD2D630}" name="Raw Birth" dataDxfId="824" totalsRowDxfId="823">
      <calculatedColumnFormula>(TblPop[[#This Row],[Peasants]]-TblPop[[#This Row],[Draft Growth]])*raw_pop_growth</calculatedColumnFormula>
    </tableColumn>
    <tableColumn id="26" xr3:uid="{6E1274BE-772F-4747-A295-D51601B4FE11}" name="Draft Growth" dataDxfId="822">
      <calculatedColumnFormula>ROUND(IF(TblPop[[#This Row],[Military%]]&lt;TblMili[[#This Row],[Draftrate]],ROUND(TblPop[[#This Row],[Peasants]]*Constants!$B$55,0), 0) * IF(AND(TblMagic[[#This Row],[Active DnD]]&lt;=12,TblMagic[[#This Row],[Active DnD]]&gt;6),1.5,1),0)</calculatedColumnFormula>
    </tableColumn>
    <tableColumn id="27" xr3:uid="{858CE2A0-AC9E-46FE-9A70-AED1578889CB}" name="...." dataDxfId="821" totalsRowDxfId="820"/>
    <tableColumn id="28" xr3:uid="{B271B9C7-94D1-498F-9FBB-69DF5F1BCE3F}" name="Growth" dataDxfId="819" totalsRowDxfId="818"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7" totalsRowDxfId="816"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7" dataDxfId="805" headerRowBorderDxfId="806" tableBorderDxfId="804">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3"/>
    <tableColumn id="2" xr3:uid="{A509F8BB-FCD1-4951-8F3F-2AE2B32FB91D}" name="Time" dataDxfId="802">
      <calculatedColumnFormula>TblImps[[#This Row],[Time]]</calculatedColumnFormula>
    </tableColumn>
    <tableColumn id="3" xr3:uid="{BD173BCD-6C73-484D-BDFC-2CBFE8B32234}" name="Plat Bonus" dataDxfId="801"/>
    <tableColumn id="4" xr3:uid="{9A9B3DEC-EBEC-4801-BF4F-F90BBBCDF331}" name="." dataDxfId="800"/>
    <tableColumn id="5" xr3:uid="{6F9B5905-FA1D-4099-B9CC-6BE237355D58}" name="Land" dataDxfId="799">
      <calculatedColumnFormula>TblConstr[[#This Row],[Land]]</calculatedColumnFormula>
    </tableColumn>
    <tableColumn id="6" xr3:uid="{5ADA8DA4-36DC-4D4F-AE4E-76BDD26AF270}" name="Peasants" dataDxfId="798">
      <calculatedColumnFormula>TblPop[[#This Row],[Peasants]]</calculatedColumnFormula>
    </tableColumn>
    <tableColumn id="7" xr3:uid="{EE7F0FC7-4D30-4144-88EE-9A05AD7BF609}" name="Networth" dataDxfId="797">
      <calculatedColumnFormula>TblMili[[#This Row],[Networth (2)]]</calculatedColumnFormula>
    </tableColumn>
    <tableColumn id="8" xr3:uid="{F7B8E7A7-7AD4-4D83-8297-946670C39E55}" name="Platinum" dataDxfId="796">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5">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4">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3">
      <calculatedColumnFormula>OFFSET(TblProd[[#This Row],[Mana]],-1,0)+OFFSET(TblProd[[#This Row],[Mana/hr]],-1,0)- TblProd[[#This Row],[Expenses Mana]]</calculatedColumnFormula>
    </tableColumn>
    <tableColumn id="12" xr3:uid="{C80C4246-7273-429F-BE79-86B1B4181061}" name="Ore" dataDxfId="792">
      <calculatedColumnFormula>OFFSET(TblProd[[#This Row],[Ore]],-1,0)+OFFSET(TblProd[[#This Row],[Ore/hr]],-1,0) -TblProd[[#This Row],[Expenses Ore]]</calculatedColumnFormula>
    </tableColumn>
    <tableColumn id="13" xr3:uid="{4174B9D9-5881-42F2-A514-2A7372C2B486}" name="Gems" dataDxfId="791">
      <calculatedColumnFormula>OFFSET(TblProd[[#This Row],[Gems]],-1,0)+OFFSET(TblProd[[#This Row],[Gems/hr]],-1,0) - TblProd[[#This Row],[Expenses Gems]]</calculatedColumnFormula>
    </tableColumn>
    <tableColumn id="14" xr3:uid="{C9DF5508-173B-4E9B-BD32-3313FC0AECA9}" name="Boats" dataDxfId="790">
      <calculatedColumnFormula>OFFSET(TblProd[[#This Row],[Boats]],-1,0)+OFFSET(TblProd[[#This Row],[Boats/hr]],-1,0)</calculatedColumnFormula>
    </tableColumn>
    <tableColumn id="15" xr3:uid="{C2EE37F5-4C79-4BD9-BE97-5B3BBB490CD3}" name="Prestige" dataDxfId="789">
      <calculatedColumnFormula>OFFSET(TblProd[[#This Row],[Prestige]],-1,0)</calculatedColumnFormula>
    </tableColumn>
    <tableColumn id="16" xr3:uid="{5EEA2772-71AB-4FF8-BF5F-D1D5B4044943}" name="Techpoints" dataDxfId="788">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7">
      <calculatedColumnFormula>MAX(_xlfn.CEILING.MATH(TblProd[[#This Row],[Land]]*2.5+IFERROR(OFFSET(TblTech[[#This Row],[Sum of tech]],-1,0)*50,0)),3750)</calculatedColumnFormula>
    </tableColumn>
    <tableColumn id="18" xr3:uid="{BC60D6AE-146D-440E-93B9-050DE2CAED7A}" name=".." dataDxfId="786"/>
    <tableColumn id="19" xr3:uid="{F7A6187F-1DDE-45C0-B221-8BA0937C4E35}" name="Plat/hr" dataDxfId="785">
      <calculatedColumnFormula>ROUNDDOWN(TblProd[[#This Row],[Raw Plat/hr]]*(1+TblProd[[#This Row],[Bonus Plat/hr]]),0)</calculatedColumnFormula>
    </tableColumn>
    <tableColumn id="20" xr3:uid="{EBA5F35A-607A-475E-9357-98AF551D44A6}" name="Food/hr" dataDxfId="784">
      <calculatedColumnFormula>ROUND(TblProd[[#This Row],[Raw Food/hr]]*(1+TblProd[[#This Row],[Bonus Food/hr]])-TblProd[[#This Row],[Food decay]]-TblProd[[#This Row],[Food eaten]],0)</calculatedColumnFormula>
    </tableColumn>
    <tableColumn id="21" xr3:uid="{D75AA2A6-F107-4144-8A7D-4BE575236288}" name="Lumber/hr" dataDxfId="783">
      <calculatedColumnFormula>ROUND(TblProd[[#This Row],[Raw Lumber/hr]]*(1+TblProd[[#This Row],[Bonus Lumber/hr]])-TblProd[[#This Row],[Lumber rot]],0)</calculatedColumnFormula>
    </tableColumn>
    <tableColumn id="22" xr3:uid="{4AA82FE8-7AD6-4F9E-B8A1-627CE2E70CE0}" name="Mana/hr" dataDxfId="782">
      <calculatedColumnFormula>ROUND(TblProd[[#This Row],[Raw Mana/hr]]*(1+TblProd[[#This Row],[Bonus Mana/hr]])-TblProd[[#This Row],[Mana drain]],0)</calculatedColumnFormula>
    </tableColumn>
    <tableColumn id="23" xr3:uid="{86A49F4B-CDA3-4B61-B4D9-8830178E715E}" name="Ore/hr" dataDxfId="781">
      <calculatedColumnFormula>ROUNDDOWN(TblProd[[#This Row],[Raw Ore/hr]]*(1+TblProd[[#This Row],[Bonux Ore/hr]]),0)</calculatedColumnFormula>
    </tableColumn>
    <tableColumn id="24" xr3:uid="{F7C3BCF1-3F12-4405-8E19-ED1B9D20D049}" name="Gems/hr" dataDxfId="780">
      <calculatedColumnFormula>ROUNDDOWN(TblProd[[#This Row],[Raw Gems/hr]]*(1+TblProd[[#This Row],[Bonus Gems/hr]]),0)</calculatedColumnFormula>
    </tableColumn>
    <tableColumn id="25" xr3:uid="{E754A630-9007-4F8A-A8B7-C56609E09275}" name="Boats/hr" dataDxfId="779">
      <calculatedColumnFormula>OFFSET(TblConstr[[#This Row],[Tot Doc]],1,0)*dock_boats_hr * (1 + tech_4_1*TblTech[[#This Row],[4-1]])</calculatedColumnFormula>
    </tableColumn>
    <tableColumn id="26" xr3:uid="{8666710D-F3A4-4016-AA32-8D95B9BFFE3D}" name="…" dataDxfId="778"/>
    <tableColumn id="27" xr3:uid="{BE5DAA3C-8D26-4E0F-87D4-E9FE3E149040}" name="Raw Plat/hr" dataDxfId="777">
      <calculatedColumnFormula>TblPop[[#This Row],[Peasants]]*tax*TblPop[[#This Row],[Employment]] + (Construction!AZ5+Construction!BX5)*(alch_plat+(Magic!AN4&gt;0)*alchemist_flame_bonus)</calculatedColumnFormula>
    </tableColumn>
    <tableColumn id="28" xr3:uid="{72437831-3C94-4E01-9B66-637CE9F1FC37}" name="Raw Food/hr" dataDxfId="776">
      <calculatedColumnFormula>TblConstr[[#This Row],[Tot Farm]]*farm_food + TblConstr[[#This Row],[Tot Doc]]*dock_food</calculatedColumnFormula>
    </tableColumn>
    <tableColumn id="29" xr3:uid="{6327048A-17B4-47F0-A6D6-4DF606F8872E}" name="Raw Lumber/hr" dataDxfId="775">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4">
      <calculatedColumnFormula>OFFSET(TblConstr[[#This Row],[Tot Tow]],1,0)*(tower_mana + tech_4_5*TblTech[[#This Row],[4-5]]) + OFFSET(TblConstr[[#This Row],[Tot WG]],1,0)*wg_mana_prod</calculatedColumnFormula>
    </tableColumn>
    <tableColumn id="31" xr3:uid="{1FCC3E78-11E8-4286-A9C0-F9F5FA32B54A}" name="Raw Ore/hr" dataDxfId="773">
      <calculatedColumnFormula>OFFSET(TblConstr[[#This Row],[Tot OM]],1,0)*om_ore+IF(race="Dwarf",TblMili[[#This Row],[Unit 2]]*0.5,0)</calculatedColumnFormula>
    </tableColumn>
    <tableColumn id="32" xr3:uid="{8AFDB340-E76D-4906-8F67-515703AD5439}" name="Raw Gems/hr" dataDxfId="772">
      <calculatedColumnFormula>OFFSET(TblConstr[[#This Row],[Tot DM]],1,0)*dm_gems</calculatedColumnFormula>
    </tableColumn>
    <tableColumn id="33" xr3:uid="{E86B471A-FB4B-478C-B269-80AA28A99240}" name="...." dataDxfId="771"/>
    <tableColumn id="34" xr3:uid="{9F134F8D-9272-4F13-BEA1-036303BDF806}" name="Bonus Plat/hr" dataDxfId="770">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9">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8">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7">
      <calculatedColumnFormula>race_mana_bonus+ 0 + TblImps[[#This Row],[Spires]] + tech_1_2*TblTech[[#This Row],[1-2]] + tech_3_4*TblTech[[#This Row],[3-4]]</calculatedColumnFormula>
    </tableColumn>
    <tableColumn id="38" xr3:uid="{86499F2E-9498-4D5B-8626-C51CB440415E}" name="Bonux Ore/hr" dataDxfId="766">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5">
      <calculatedColumnFormula>race_gem_bonus+ tech_3_2*TblTech[[#This Row],[3-2]] + tech_4_3*TblTech[[#This Row],[4-3]] + tech_6_2*TblTech[[#This Row],[6-2]]</calculatedColumnFormula>
    </tableColumn>
    <tableColumn id="40" xr3:uid="{13CEE817-130E-4D49-8EA9-E724A91FD06F}" name="…." dataDxfId="764"/>
    <tableColumn id="41" xr3:uid="{6AD9C25C-A77A-4288-B914-DEAB151F3EBD}" name="Food decay" dataDxfId="763">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2">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1">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60">
      <calculatedColumnFormula>TblProd[[#This Row],[Mana]]*mana_drain * (1 + tech_2_1*TblTech[[#This Row],[2-1]] + tech_2_8*TblTech[[#This Row],[2-8]])</calculatedColumnFormula>
    </tableColumn>
    <tableColumn id="45" xr3:uid="{D3D223E8-8991-4557-84CB-F59345A9686F}" name="….." dataDxfId="759"/>
    <tableColumn id="46" xr3:uid="{0EFE67ED-4C56-4E46-B6BE-B5FAFB53783E}" name="Expenses Platinum" dataDxfId="758">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7">
      <calculatedColumnFormula>TblConstr[[#This Row],[Total Lum Cost]]+TblImps[[#This Row],[L1]]-TblProd[[#This Row],[Bank Lumber]] + Military!$CO$25*TblMili[[#This Row],[Sec. rec. Cost]]</calculatedColumnFormula>
    </tableColumn>
    <tableColumn id="48" xr3:uid="{3C88EFC6-8DA5-40ED-A97A-2AAFD0B3B6AD}" name="Expenses Mana" dataDxfId="756">
      <calculatedColumnFormula>TblMagic[[#This Row],[Mana cost]] + Military!$CO$26*TblMili[[#This Row],[Sec. rec. Cost]]</calculatedColumnFormula>
    </tableColumn>
    <tableColumn id="49" xr3:uid="{1E4E3815-206F-4A61-AE33-CA14E995FDCB}" name="Expenses Ore" dataDxfId="755">
      <calculatedColumnFormula>Military!$CO$24*TblMili[[#This Row],[Sec. rec. Cost]]+TblImps[[#This Row],[O1]]-TblProd[[#This Row],[Bank Ore]]</calculatedColumnFormula>
    </tableColumn>
    <tableColumn id="50" xr3:uid="{8DF861B9-6D00-413F-82A6-CB9FB4344D68}" name="Expenses Gems" dataDxfId="754">
      <calculatedColumnFormula>TblImps[[#This Row],[G1]]-TblProd[[#This Row],[Bank Gems]]</calculatedColumnFormula>
    </tableColumn>
    <tableColumn id="51" xr3:uid="{B251D943-2DAF-44E5-BCC8-D6734C7115AC}" name="…..." dataDxfId="753"/>
    <tableColumn id="52" xr3:uid="{4B9E6D84-D900-4020-9F03-31B7E7CFFDDD}" name="Guard" dataDxfId="752">
      <calculatedColumnFormula>IF(TblProd[[#This Row],[Set Guard]]&lt;&gt;"",TblProd[[#This Row],[Set Guard]],OFFSET(TblProd[[#This Row],[Guard]],-1,0))</calculatedColumnFormula>
    </tableColumn>
    <tableColumn id="53" xr3:uid="{1F4E66ED-8544-4DEE-A238-E9BA6D663684}" name="Set Guard" dataDxfId="751"/>
    <tableColumn id="54" xr3:uid="{1D4B089E-CFD3-41C4-BDA0-74070303A629}" name="Hour (2)" dataDxfId="750">
      <calculatedColumnFormula>TblProd[[#This Row],[Hour]]</calculatedColumnFormula>
    </tableColumn>
    <tableColumn id="55" xr3:uid="{13D8CC8A-81E1-41BB-9F87-384EE02343C0}" name="Bank Plat" dataDxfId="749">
      <calculatedColumnFormula>-TblProd[[#This Row],[Bank Lumber]] / 2 + -TblProd[[#This Row],[Bank Gems]] * 2 + -TblProd[[#This Row],[Bank Ore]] / 2</calculatedColumnFormula>
    </tableColumn>
    <tableColumn id="56" xr3:uid="{41D3199A-B537-41B8-A35D-AB3FAE3A7763}" name="Bank Lumber" dataDxfId="748"/>
    <tableColumn id="57" xr3:uid="{F8C6B652-BED5-46E0-B507-4A728112F421}" name="Bank Ore" dataDxfId="747"/>
    <tableColumn id="58" xr3:uid="{0A836235-2002-4186-985F-CF495776E28E}" name="Bank Gems" dataDxfId="746"/>
    <tableColumn id="59" xr3:uid="{56B680F7-B10A-487B-B563-4297DE674256}" name="Time (2)" dataDxfId="745">
      <calculatedColumnFormula>TblProd[[#This Row],[Time]]</calculatedColumnFormula>
    </tableColumn>
    <tableColumn id="60" xr3:uid="{B3E3CCBD-6079-4735-A75E-072E37E0325B}" name="Ok?" dataDxfId="744">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3">
      <calculatedColumnFormula>TblProd[[#This Row],[Platinum]]</calculatedColumnFormula>
    </tableColumn>
    <tableColumn id="62" xr3:uid="{BAE994A1-A5C4-42FD-B88E-93A7F2337723}" name="Stats Food" dataDxfId="742">
      <calculatedColumnFormula>TblProd[[#This Row],[Food]]</calculatedColumnFormula>
    </tableColumn>
    <tableColumn id="63" xr3:uid="{8FF996E7-6950-42AE-80FE-25BD3D3ADB81}" name="Stats Lumber" dataDxfId="741">
      <calculatedColumnFormula>TblProd[[#This Row],[Lumber]]</calculatedColumnFormula>
    </tableColumn>
    <tableColumn id="64" xr3:uid="{4E3282B4-65CE-45FC-B881-93C3F98E36E0}" name="Stats Mana" dataDxfId="740">
      <calculatedColumnFormula>TblProd[[#This Row],[Mana]]</calculatedColumnFormula>
    </tableColumn>
    <tableColumn id="65" xr3:uid="{C1490C22-CEF7-430F-B6CC-F7FDA2F90C17}" name="Stats Ore" dataDxfId="739">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20" dataDxfId="718" totalsRowDxfId="716" headerRowBorderDxfId="719" tableBorderDxfId="717">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5" totalsRowDxfId="714">
      <calculatedColumnFormula>TblRezone[[#This Row],[Hour]]</calculatedColumnFormula>
    </tableColumn>
    <tableColumn id="1" xr3:uid="{16A4A80A-781E-4E74-BC12-3B194ED2F6BF}" name="Barren" dataDxfId="713" totalsRowDxfId="712">
      <calculatedColumnFormula>SUM(TblConstr[[#This Row],[Plain]:[Water]])</calculatedColumnFormula>
    </tableColumn>
    <tableColumn id="2" xr3:uid="{F83194BF-B786-4A33-B371-25BE7289AC68}" name="Buildings" dataDxfId="711" totalsRowDxfId="710">
      <calculatedColumnFormula>SUM(TblConstr[[#This Row],[Tot Hom]:[Tot Doc]])</calculatedColumnFormula>
    </tableColumn>
    <tableColumn id="3" xr3:uid="{343846C5-19E9-4357-B5DD-B105ACEC8C2C}" name="Incoming" dataDxfId="709" totalsRowDxfId="708"/>
    <tableColumn id="4" xr3:uid="{A20911DB-7155-4794-AD46-07AAD44BDAFE}" name="." dataDxfId="707" totalsRowDxfId="706"/>
    <tableColumn id="5" xr3:uid="{279706A5-BDE6-4F21-9D4E-93DD796722CB}" name="Land" dataDxfId="705" totalsRowDxfId="704">
      <calculatedColumnFormula>TblConstr[[#This Row],[Barren]]+TblConstr[[#This Row],[Buildings]]+TblConstr[[#This Row],[Incoming]]</calculatedColumnFormula>
    </tableColumn>
    <tableColumn id="6" xr3:uid="{8D16C913-6FBB-42B5-890E-7AA3F7D780F3}" name="Plain" dataDxfId="703" totalsRowDxfId="702">
      <calculatedColumnFormula>OFFSET(TblConstr[[#This Row],[Plain]],-1,0)+TblConstr[[#This Row],[Ch_Plain]]</calculatedColumnFormula>
    </tableColumn>
    <tableColumn id="7" xr3:uid="{ECABDC59-2CFA-4924-832F-64BD947684FE}" name="Forest" dataDxfId="701" totalsRowDxfId="700">
      <calculatedColumnFormula>OFFSET(TblConstr[[#This Row],[Forest]],-1,0)+TblConstr[[#This Row],[Ch_Forest]]</calculatedColumnFormula>
    </tableColumn>
    <tableColumn id="8" xr3:uid="{AD888BC9-7B2A-431B-912B-F76B183C4BC2}" name="Mountain" dataDxfId="699" totalsRowDxfId="698">
      <calculatedColumnFormula>OFFSET(TblConstr[[#This Row],[Mountain]],-1,0)+TblConstr[[#This Row],[Ch_Mountain]]</calculatedColumnFormula>
    </tableColumn>
    <tableColumn id="9" xr3:uid="{B9F107CC-9E87-47F0-9669-7B4E32869962}" name="Hill" dataDxfId="697" totalsRowDxfId="696">
      <calculatedColumnFormula>OFFSET(TblConstr[[#This Row],[Hill]],-1,0)+TblConstr[[#This Row],[Ch_Hill]]</calculatedColumnFormula>
    </tableColumn>
    <tableColumn id="10" xr3:uid="{8067675A-D7AC-461C-B5B4-B2FDA278D46E}" name="Swamp" dataDxfId="695" totalsRowDxfId="694">
      <calculatedColumnFormula>OFFSET(TblConstr[[#This Row],[Swamp]],-1,0)+TblConstr[[#This Row],[Ch_Swamp]]</calculatedColumnFormula>
    </tableColumn>
    <tableColumn id="11" xr3:uid="{F6E4B820-D719-41FF-A537-55FE6AFBAF0E}" name="Cavern" dataDxfId="693" totalsRowDxfId="692">
      <calculatedColumnFormula>OFFSET(TblConstr[[#This Row],[Cavern]],-1,0)+TblConstr[[#This Row],[Ch_Cavern]]</calculatedColumnFormula>
    </tableColumn>
    <tableColumn id="12" xr3:uid="{54552E9E-E771-4104-87F6-20952C6A2D90}" name="Water" dataDxfId="691" totalsRowDxfId="690">
      <calculatedColumnFormula>OFFSET(TblConstr[[#This Row],[Water]],-1,0)+TblConstr[[#This Row],[Ch_Water]]</calculatedColumnFormula>
    </tableColumn>
    <tableColumn id="112" xr3:uid="{68F0FBE6-EBED-4B66-81D6-A19DB934C48D}" name="Hour  " dataDxfId="689" totalsRowDxfId="688">
      <calculatedColumnFormula>TblRezone[[#This Row],[Hour]]</calculatedColumnFormula>
    </tableColumn>
    <tableColumn id="14" xr3:uid="{6A739C2B-FED1-46DE-A6EC-2761E132E225}" name="Hom" dataDxfId="687" totalsRowDxfId="686"/>
    <tableColumn id="15" xr3:uid="{E50EB7D2-A060-4B91-920B-B3335EF23400}" name="Alc" dataDxfId="685" totalsRowDxfId="684"/>
    <tableColumn id="16" xr3:uid="{E3F8F390-578A-46F4-8079-68503504AE5A}" name="Far" dataDxfId="683" totalsRowDxfId="682"/>
    <tableColumn id="17" xr3:uid="{CC502929-3E3E-483C-AA45-1E8DC6E6F788}" name="Smi" dataDxfId="681" totalsRowDxfId="680"/>
    <tableColumn id="18" xr3:uid="{2849017C-83D2-48CF-BAFC-E8180F6B87B3}" name="Mas" dataDxfId="679" totalsRowDxfId="678"/>
    <tableColumn id="19" xr3:uid="{902080F0-045E-460C-8A94-D28082F0684A}" name="Ly" dataDxfId="677" totalsRowDxfId="676"/>
    <tableColumn id="20" xr3:uid="{74F11359-7A83-40C9-8D72-4E7342A4C5F6}" name="Hav" dataDxfId="675" totalsRowDxfId="674"/>
    <tableColumn id="21" xr3:uid="{2F4CD982-1BA1-4887-BEEF-D1CEDDFDCD98}" name="OM" dataDxfId="673" totalsRowDxfId="672"/>
    <tableColumn id="22" xr3:uid="{8FB86139-1373-407A-B799-7C5D49EF3A26}" name="GN" dataDxfId="671" totalsRowDxfId="670"/>
    <tableColumn id="23" xr3:uid="{283576BE-DC2F-4C4A-B83A-40303ED03A64}" name="Fac" dataDxfId="669" totalsRowDxfId="668"/>
    <tableColumn id="24" xr3:uid="{5CFB0CBF-3773-41F6-9B86-E1678AA28900}" name="GT" dataDxfId="667" totalsRowDxfId="666"/>
    <tableColumn id="25" xr3:uid="{19E4F682-9015-4478-9312-A3022D1FEEE9}" name="Bar" dataDxfId="665" totalsRowDxfId="664"/>
    <tableColumn id="26" xr3:uid="{013252D4-D385-4331-9170-92B5C8BB4C64}" name="Shr" dataDxfId="663" totalsRowDxfId="662"/>
    <tableColumn id="27" xr3:uid="{D4B27941-E688-419F-8B6F-B73F6CF2AB5B}" name="Tow" dataDxfId="661" totalsRowDxfId="660"/>
    <tableColumn id="28" xr3:uid="{17047BB4-364B-45DB-830B-858C7BD30B39}" name="Tem" dataDxfId="659" totalsRowDxfId="658"/>
    <tableColumn id="29" xr3:uid="{8910E8E2-8D7F-45E2-8559-CB4F40D25EB8}" name="WG" dataDxfId="657" totalsRowDxfId="656"/>
    <tableColumn id="30" xr3:uid="{BDAAD77D-88DB-4E61-9C07-44CAE4913F4B}" name="DM" dataDxfId="655" totalsRowDxfId="654"/>
    <tableColumn id="31" xr3:uid="{BFDB5F50-9A23-4E21-AEF0-8F150174C5D9}" name="Sch" dataDxfId="653" totalsRowDxfId="652"/>
    <tableColumn id="32" xr3:uid="{F4596035-B7F8-4B94-9B36-37B190EBF2F5}" name="Doc" dataDxfId="651" totalsRowDxfId="650"/>
    <tableColumn id="33" xr3:uid="{B506678F-5C96-41A2-B16E-01903002457C}" name="time" dataDxfId="649" totalsRowDxfId="648">
      <calculatedColumnFormula>TblImps[[#This Row],[Time]]</calculatedColumnFormula>
    </tableColumn>
    <tableColumn id="34" xr3:uid="{BBF9E4A7-4AD1-4256-838E-84E222A5E5B5}" name="Facs -DB" dataDxfId="647" totalsRowDxfId="646" dataCellStyle="Percent">
      <calculatedColumnFormula>MIN(25%,(TblConstr[[#This Row],[Tot Fac]]+TblConstr[[#This Row],[Dest Fac]])/(TblConstr[[#This Row],[Land]]-TblExplore[[#This Row],[Land Bonus]]*20))</calculatedColumnFormula>
    </tableColumn>
    <tableColumn id="35" xr3:uid="{CE9651FB-E7AA-4AC3-9369-D03ACA26B669}" name="Facs DB" dataDxfId="645" totalsRowDxfId="644" dataCellStyle="Percent">
      <calculatedColumnFormula>MIN(25%,(TblConstr[[#This Row],[Tot Fac]]+TblConstr[[#This Row],[Dest Fac]])/TblConstr[[#This Row],[Land]])</calculatedColumnFormula>
    </tableColumn>
    <tableColumn id="36" xr3:uid="{09991F89-DEAA-4698-A25A-D13F6565EDD4}" name="Platinum" dataDxfId="643" totalsRowDxfId="642">
      <calculatedColumnFormula>TblProd[[#This Row],[Platinum]]</calculatedColumnFormula>
    </tableColumn>
    <tableColumn id="37" xr3:uid="{98B47891-EB31-4D7F-8AC4-80255A877681}" name="Lumber" dataDxfId="641" totalsRowDxfId="640">
      <calculatedColumnFormula>TblProd[[#This Row],[Lumber]]</calculatedColumnFormula>
    </tableColumn>
    <tableColumn id="38" xr3:uid="{4BCC987F-ABDB-4939-B66E-9E39DDB56076}" name="CPA Platinum -DB" dataDxfId="639" totalsRowDxfId="63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7" totalsRowDxfId="636">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5" totalsRowDxfId="634">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3" totalsRowDxfId="632">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1" totalsRowDxfId="630">
      <calculatedColumnFormula>TblConstr[[#This Row],[build -db]]*TblConstr[[#This Row],[CPA Platinum -DB]] + TblConstr[[#This Row],[build db]]*TblConstr[[#This Row],[CPA Platinum DB]]</calculatedColumnFormula>
    </tableColumn>
    <tableColumn id="43" xr3:uid="{F2E3CBCF-A243-4043-87E8-17546293A159}" name="Total Lum Cost" dataDxfId="629" totalsRowDxfId="628">
      <calculatedColumnFormula>TblConstr[[#This Row],[build -db]]*TblConstr[[#This Row],[CPA Lumber -DB]] + TblConstr[[#This Row],[build db]]*TblConstr[[#This Row],[CPA Lumber DB]]</calculatedColumnFormula>
    </tableColumn>
    <tableColumn id="44" xr3:uid="{119F0A26-AFE5-4C99-86DF-E2019D697B1F}" name="build -db" dataDxfId="627" totalsRowDxfId="626">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5" totalsRowDxfId="624">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3" totalsRowDxfId="622"/>
    <tableColumn id="47" xr3:uid="{2AB27BA8-C2B6-44FC-89D1-B8C469C03A31}" name="RCPA Platinum " dataDxfId="621" totalsRowDxfId="620">
      <calculatedColumnFormula>ROUND((TblConstr[[#This Row],[Land]]-250 - IF(TblExplore[[#This Row],[Land Bonus]]&lt;&gt;0,20,0))*1.25 + 850 + 0,0)</calculatedColumnFormula>
    </tableColumn>
    <tableColumn id="48" xr3:uid="{745E4D31-3689-4F62-A15B-2D5399E746CA}" name="RCPA Lumber" dataDxfId="619">
      <calculatedColumnFormula>ROUND((TblConstr[[#This Row],[Land]]-250 - IF(TblExplore[[#This Row],[Land Bonus]]&lt;&gt;0,20,0))*0.285 + 87.5 + 0/4.25,0)</calculatedColumnFormula>
    </tableColumn>
    <tableColumn id="49" xr3:uid="{619C112A-EE5A-4710-AF52-5843FF4DB054}" name="…" dataDxfId="618" totalsRowDxfId="617"/>
    <tableColumn id="50" xr3:uid="{F2846ED2-FD2C-4B82-8D89-DEC4D6C89C45}" name="Tot Hom" dataDxfId="616" totalsRowDxfId="615">
      <calculatedColumnFormula array="1">IF(TblConstr[[#This Row],[Hour]:[Hour]]&gt;12,OFFSET(TblConstr[[#This Row],[Hom]],-12,0),0)+OFFSET(TblConstr[[#This Row],[Tot Hom]],-1,0)-TblConstr[[#This Row],[Dest Hom]]</calculatedColumnFormula>
    </tableColumn>
    <tableColumn id="51" xr3:uid="{3A820279-E5AD-460C-8EA2-56927C664532}" name="Tot Alc" dataDxfId="614" totalsRowDxfId="613">
      <calculatedColumnFormula array="1">IF(TblConstr[[#This Row],[Hour]:[Hour]]&gt;12,OFFSET(TblConstr[[#This Row],[Alc]],-12,0),0)+OFFSET(TblConstr[[#This Row],[Tot Alc]],-1,0)-TblConstr[[#This Row],[Dest Alc]]</calculatedColumnFormula>
    </tableColumn>
    <tableColumn id="52" xr3:uid="{2F201F1F-E604-470C-A21C-EF43882A5460}" name="Tot Farm" dataDxfId="612" totalsRowDxfId="611">
      <calculatedColumnFormula array="1">IF(TblConstr[[#This Row],[Hour]:[Hour]]&gt;12,OFFSET(TblConstr[[#This Row],[Far]],-12,0),0)+OFFSET(TblConstr[[#This Row],[Tot Farm]],-1,0)-TblConstr[[#This Row],[Dest Farm]]</calculatedColumnFormula>
    </tableColumn>
    <tableColumn id="53" xr3:uid="{CF25F1ED-4CEE-4702-9FD7-472555CAE1E7}" name="Tot Smi" dataDxfId="610" totalsRowDxfId="609">
      <calculatedColumnFormula array="1">IF(TblConstr[[#This Row],[Hour]:[Hour]]&gt;12,OFFSET(TblConstr[[#This Row],[Smi]],-12,0),0)+OFFSET(TblConstr[[#This Row],[Tot Smi]],-1,0)-TblConstr[[#This Row],[Dest Smi]]</calculatedColumnFormula>
    </tableColumn>
    <tableColumn id="54" xr3:uid="{AA2380E5-3483-49DB-91B7-F7447D6C17A7}" name="Tot Mas" dataDxfId="608" totalsRowDxfId="607">
      <calculatedColumnFormula array="1">IF(TblConstr[[#This Row],[Hour]:[Hour]]&gt;12,OFFSET(TblConstr[[#This Row],[Mas]],-12,0),0)+OFFSET(TblConstr[[#This Row],[Tot Mas]],-1,0)-TblConstr[[#This Row],[Dest Mas]]</calculatedColumnFormula>
    </tableColumn>
    <tableColumn id="55" xr3:uid="{9983477D-EC22-4053-88C9-D53436C89351}" name="Tot Ly" dataDxfId="606" totalsRowDxfId="605">
      <calculatedColumnFormula array="1">IF(TblConstr[[#This Row],[Hour]:[Hour]]&gt;12,OFFSET(TblConstr[[#This Row],[Ly]],-12,0),0)+OFFSET(TblConstr[[#This Row],[Tot Ly]],-1,0)-TblConstr[[#This Row],[Dest Ly]]</calculatedColumnFormula>
    </tableColumn>
    <tableColumn id="56" xr3:uid="{0A8A610F-D674-4772-9EB7-EC610164DF60}" name="Tot Hav" dataDxfId="604" totalsRowDxfId="603">
      <calculatedColumnFormula array="1">IF(TblConstr[[#This Row],[Hour]:[Hour]]&gt;12,OFFSET(TblConstr[[#This Row],[Hav]],-12,0),0)+OFFSET(TblConstr[[#This Row],[Tot Hav]],-1,0)-TblConstr[[#This Row],[Dest Hav]]</calculatedColumnFormula>
    </tableColumn>
    <tableColumn id="57" xr3:uid="{40570349-3AA5-42B4-9820-CC736C2D1B3D}" name="Tot OM" dataDxfId="602" totalsRowDxfId="601">
      <calculatedColumnFormula array="1">IF(TblConstr[[#This Row],[Hour]:[Hour]]&gt;12,OFFSET(TblConstr[[#This Row],[OM]],-12,0),0)+OFFSET(TblConstr[[#This Row],[Tot OM]],-1,0)-TblConstr[[#This Row],[Dest OM]]</calculatedColumnFormula>
    </tableColumn>
    <tableColumn id="58" xr3:uid="{D7C1895E-C93F-4CEE-BB20-88F13C3DA864}" name="Tot GN" dataDxfId="600" totalsRowDxfId="599">
      <calculatedColumnFormula array="1">IF(TblConstr[[#This Row],[Hour]:[Hour]]&gt;12,OFFSET(TblConstr[[#This Row],[GN]],-12,0),0)+OFFSET(TblConstr[[#This Row],[Tot GN]],-1,0)-TblConstr[[#This Row],[Dest GN]]</calculatedColumnFormula>
    </tableColumn>
    <tableColumn id="59" xr3:uid="{6C106580-CB33-4C2F-8B4D-856AC68AA85B}" name="Tot Fac" dataDxfId="598" totalsRowDxfId="597">
      <calculatedColumnFormula array="1">IF(TblConstr[[#This Row],[Hour]:[Hour]]&gt;12,OFFSET(TblConstr[[#This Row],[Fac]],-12,0),0)+OFFSET(TblConstr[[#This Row],[Tot Fac]],-1,0)-TblConstr[[#This Row],[Dest Fac]]</calculatedColumnFormula>
    </tableColumn>
    <tableColumn id="60" xr3:uid="{D3A39C76-EE6D-4C40-B64E-12EE496ACF75}" name="Tot GT" dataDxfId="596" totalsRowDxfId="595">
      <calculatedColumnFormula array="1">IF(TblConstr[[#This Row],[Hour]:[Hour]]&gt;12,OFFSET(TblConstr[[#This Row],[GT]],-12,0),0)+OFFSET(TblConstr[[#This Row],[Tot GT]],-1,0)-TblConstr[[#This Row],[Dest GT]]</calculatedColumnFormula>
    </tableColumn>
    <tableColumn id="61" xr3:uid="{3C88629E-DBB8-4626-8826-42DE21B8CCF3}" name="Tot Bar" dataDxfId="594" totalsRowDxfId="593">
      <calculatedColumnFormula array="1">IF(TblConstr[[#This Row],[Hour]:[Hour]]&gt;12,OFFSET(TblConstr[[#This Row],[Bar]],-12,0),0)+OFFSET(TblConstr[[#This Row],[Tot Bar]],-1,0)-TblConstr[[#This Row],[Dest Bar]]</calculatedColumnFormula>
    </tableColumn>
    <tableColumn id="62" xr3:uid="{9B339DEA-0599-4758-9D02-2BCE3EA7ACC3}" name="Tot Shr" dataDxfId="592" totalsRowDxfId="591">
      <calculatedColumnFormula array="1">IF(TblConstr[[#This Row],[Hour]:[Hour]]&gt;12,OFFSET(TblConstr[[#This Row],[Shr]],-12,0),0)+OFFSET(TblConstr[[#This Row],[Tot Shr]],-1,0)-TblConstr[[#This Row],[Dest Shr]]</calculatedColumnFormula>
    </tableColumn>
    <tableColumn id="63" xr3:uid="{BC8AAD30-881D-4FF0-9567-7FF1D9791913}" name="Tot Tow" dataDxfId="590" totalsRowDxfId="589">
      <calculatedColumnFormula array="1">IF(TblConstr[[#This Row],[Hour]:[Hour]]&gt;12,OFFSET(TblConstr[[#This Row],[Tow]],-12,0),0)+OFFSET(TblConstr[[#This Row],[Tot Tow]],-1,0)-TblConstr[[#This Row],[Dest Tow]]</calculatedColumnFormula>
    </tableColumn>
    <tableColumn id="64" xr3:uid="{59A3F80D-5052-4FDF-AF65-62DB182FD6A6}" name="Tot Tem" dataDxfId="588" totalsRowDxfId="587">
      <calculatedColumnFormula array="1">IF(TblConstr[[#This Row],[Hour]:[Hour]]&gt;12,OFFSET(TblConstr[[#This Row],[Tem]],-12,0),0)+OFFSET(TblConstr[[#This Row],[Tot Tem]],-1,0)-TblConstr[[#This Row],[Dest Tem]]</calculatedColumnFormula>
    </tableColumn>
    <tableColumn id="65" xr3:uid="{00A352BB-E75B-4E3F-AC3D-1D0DC0813148}" name="Tot WG" dataDxfId="586" totalsRowDxfId="585">
      <calculatedColumnFormula array="1">IF(TblConstr[[#This Row],[Hour]:[Hour]]&gt;12,OFFSET(TblConstr[[#This Row],[WG]],-12,0),0)+OFFSET(TblConstr[[#This Row],[Tot WG]],-1,0)-TblConstr[[#This Row],[Dest WG]]</calculatedColumnFormula>
    </tableColumn>
    <tableColumn id="66" xr3:uid="{AC79E3B7-8BF6-4AEF-AACC-9BCCADEEE9EC}" name="Tot DM" dataDxfId="584" totalsRowDxfId="583">
      <calculatedColumnFormula array="1">IF(TblConstr[[#This Row],[Hour]:[Hour]]&gt;12,OFFSET(TblConstr[[#This Row],[DM]],-12,0),0)+OFFSET(TblConstr[[#This Row],[Tot DM]],-1,0)-TblConstr[[#This Row],[Dest DM]]</calculatedColumnFormula>
    </tableColumn>
    <tableColumn id="67" xr3:uid="{0CFFF054-0F8D-4B14-9366-77ABD3382DE4}" name="Tot Sch" dataDxfId="582" totalsRowDxfId="581">
      <calculatedColumnFormula array="1">IF(TblConstr[[#This Row],[Hour]:[Hour]]&gt;12,OFFSET(TblConstr[[#This Row],[Sch]],-12,0),0)+OFFSET(TblConstr[[#This Row],[Tot Sch]],-1,0)-TblConstr[[#This Row],[Dest Sch]]</calculatedColumnFormula>
    </tableColumn>
    <tableColumn id="68" xr3:uid="{EEBD7864-CCF1-4E52-A4D7-93474D156483}" name="Tot Doc" dataDxfId="580" totalsRowDxfId="579">
      <calculatedColumnFormula array="1">IF(TblConstr[[#This Row],[Hour]:[Hour]]&gt;12,OFFSET(TblConstr[[#This Row],[Doc]],-12,0),0)+OFFSET(TblConstr[[#This Row],[Tot Doc]],-1,0)-TblConstr[[#This Row],[Dest Doc]]</calculatedColumnFormula>
    </tableColumn>
    <tableColumn id="69" xr3:uid="{9CB7D1EC-8231-4E29-AF89-78480EAACCBE}" name="…." dataDxfId="578" totalsRowDxfId="577"/>
    <tableColumn id="70" xr3:uid="{8AB60EC6-2503-4C64-93B5-EF0A15817646}" name="….." dataDxfId="576" totalsRowDxfId="575"/>
    <tableColumn id="71" xr3:uid="{E322C618-2AF7-4E39-8C00-05DB78D1E3E1}" name="Land (2)" dataDxfId="574" totalsRowDxfId="573">
      <calculatedColumnFormula>TblConstr[[#This Row],[Land]]</calculatedColumnFormula>
    </tableColumn>
    <tableColumn id="72" xr3:uid="{03634B5C-154E-4AC8-80E1-BA13BC9D96CD}" name="Time (2)" dataDxfId="572" totalsRowDxfId="571">
      <calculatedColumnFormula>TblImps[[#This Row],[Time]]</calculatedColumnFormula>
    </tableColumn>
    <tableColumn id="73" xr3:uid="{B2BF9056-6EBE-4C01-A8BD-B72B49E563E4}" name="…..." dataDxfId="570" totalsRowDxfId="569"/>
    <tableColumn id="74" xr3:uid="{E1DF0DF3-108E-4B1D-AD0D-B0438E0119B4}" name="Dest Hom" dataDxfId="568" totalsRowDxfId="567"/>
    <tableColumn id="75" xr3:uid="{E9A56C16-CD83-4CF4-801D-3F07F7F4410E}" name="Dest Alc" dataDxfId="566" totalsRowDxfId="565"/>
    <tableColumn id="76" xr3:uid="{83CFBDA2-FADE-4B08-B33E-9C2E9F9BF768}" name="Dest Farm" dataDxfId="564" totalsRowDxfId="563"/>
    <tableColumn id="77" xr3:uid="{19187257-0444-44F4-9D3D-6D0323F40019}" name="Dest Smi" dataDxfId="562" totalsRowDxfId="561"/>
    <tableColumn id="78" xr3:uid="{868AFE18-6FA1-48AB-ABF5-2F2AEFE5F988}" name="Dest Mas" dataDxfId="560" totalsRowDxfId="559"/>
    <tableColumn id="79" xr3:uid="{177B6B53-2F11-4209-8387-13A45749227F}" name="Dest Ly" dataDxfId="558" totalsRowDxfId="557"/>
    <tableColumn id="80" xr3:uid="{7546C506-76A9-4C40-A0E7-9A9D9E5AABE5}" name="Dest Hav" dataDxfId="556" totalsRowDxfId="555"/>
    <tableColumn id="81" xr3:uid="{ADDB86A6-E781-4DBE-8117-6F690916DDFA}" name="Dest OM" dataDxfId="554" totalsRowDxfId="553"/>
    <tableColumn id="82" xr3:uid="{B9BF98EC-18BF-465D-9531-8B38D89E91A0}" name="Dest GN" dataDxfId="552" totalsRowDxfId="551"/>
    <tableColumn id="83" xr3:uid="{E7A6D253-F3B2-42C8-99DD-B144C58FC0C5}" name="Dest Fac" dataDxfId="550" totalsRowDxfId="549"/>
    <tableColumn id="84" xr3:uid="{17104BBD-FC27-4D10-B29C-0273D3241FF4}" name="Dest GT" dataDxfId="548" totalsRowDxfId="547"/>
    <tableColumn id="85" xr3:uid="{99559D62-4D78-440A-98FE-DEBB129B435F}" name="Dest Bar" dataDxfId="546" totalsRowDxfId="545"/>
    <tableColumn id="86" xr3:uid="{9B2EEB8C-2FE8-47EE-A3E2-DC10DB45C7AB}" name="Dest Shr" dataDxfId="544" totalsRowDxfId="543"/>
    <tableColumn id="87" xr3:uid="{514D2AAA-E6E3-475E-9F65-8C732A78896D}" name="Dest Tow" dataDxfId="542" totalsRowDxfId="541"/>
    <tableColumn id="88" xr3:uid="{FAB7F148-62FD-4A01-9E52-E72AB5D98A80}" name="Dest Tem" dataDxfId="540" totalsRowDxfId="539"/>
    <tableColumn id="89" xr3:uid="{51F0AAF8-EA25-41BB-8274-29128D8E9309}" name="Dest WG" dataDxfId="538" totalsRowDxfId="537"/>
    <tableColumn id="90" xr3:uid="{B5DD0E4A-F9DA-46DF-AC1D-4C082F96D4FD}" name="Dest DM" dataDxfId="536" totalsRowDxfId="535"/>
    <tableColumn id="91" xr3:uid="{8374E536-FAFB-4695-B2E9-40E6A61A9D8E}" name="Dest Sch" dataDxfId="534" totalsRowDxfId="533"/>
    <tableColumn id="92" xr3:uid="{AB6E075B-E076-40E6-B2ED-7DBD5C2545B9}" name="Dest Doc" dataDxfId="532" totalsRowDxfId="531"/>
    <tableColumn id="93" xr3:uid="{A4B6EEF5-D4D4-4B9E-B020-F892CB1DC5F1}" name="…...." dataDxfId="530" totalsRowDxfId="529"/>
    <tableColumn id="94" xr3:uid="{A8785F66-A063-4182-BB5F-F2E489C44B8C}" name="Ch_Plain" dataDxfId="528" totalsRowDxfId="527">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6" totalsRowDxfId="525">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4" totalsRowDxfId="523">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2" totalsRowDxfId="521">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20" totalsRowDxfId="519">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8" totalsRowDxfId="517">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6" totalsRowDxfId="515">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4" totalsRowDxfId="513">
      <calculatedColumnFormula>IF(Explore!S4=1,20) - TblConstr[[#This Row],[Hom]] + TblConstr[[#This Row],[Dest Hom]]</calculatedColumnFormula>
    </tableColumn>
    <tableColumn id="102" xr3:uid="{A18B5339-7B5E-4FF1-B44C-54D91E2619B1}" name="…....." dataDxfId="512" totalsRowDxfId="511"/>
    <tableColumn id="103" xr3:uid="{4E3EEDB6-D8CB-4DA1-AC9F-29019C9A6FFC}" name="Total Plain" dataDxfId="510" totalsRowDxfId="509"/>
    <tableColumn id="104" xr3:uid="{669C7BA0-B3F2-47DA-B10D-81C2466FF6F3}" name="Total Forest" dataDxfId="508" totalsRowDxfId="507"/>
    <tableColumn id="105" xr3:uid="{B6EE778A-6E52-44FF-8691-B86F1650C2C2}" name="Total Mountain" dataDxfId="506" totalsRowDxfId="505"/>
    <tableColumn id="106" xr3:uid="{5FF89BD6-7921-4110-AD96-EA8B54555F1C}" name="Total Hill" dataDxfId="504" totalsRowDxfId="503"/>
    <tableColumn id="107" xr3:uid="{F920559E-5C73-4899-BC53-A9BA9E7DFC0C}" name="Total Swamp" dataDxfId="502" totalsRowDxfId="501"/>
    <tableColumn id="108" xr3:uid="{6462BCCF-F375-4DEC-B000-637E1187AA5E}" name="Total Cavern" dataDxfId="500" totalsRowDxfId="499"/>
    <tableColumn id="109" xr3:uid="{D966B8E0-E2CD-4374-AF05-B86C330B3BD4}" name="Total Water" dataDxfId="498" totalsRowDxfId="497"/>
    <tableColumn id="110" xr3:uid="{170A4E12-F563-448F-8964-EB5CA71BA3AF}" name="Homeland" dataDxfId="496" totalsRowDxfId="495">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4" totalsRowDxfId="493"/>
    <tableColumn id="114" xr3:uid="{EDC1B5E1-1E93-4946-BEC7-453EF5B18C9F}" name="Farms" dataDxfId="492" totalsRowDxfId="491">
      <calculatedColumnFormula>MAX(BA4-BA3,0)</calculatedColumnFormula>
    </tableColumn>
    <tableColumn id="115" xr3:uid="{1D02A65C-E8F6-4B66-A5EB-3699A9BE61C5}" name="Docks" totalsRowFunction="sum" dataDxfId="490" totalsRowDxfId="489">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4" dataDxfId="473" tableBorderDxfId="47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1">
      <calculatedColumnFormula>TblRezone[[#This Row],[Hour]]</calculatedColumnFormula>
    </tableColumn>
    <tableColumn id="2" xr3:uid="{DFB120B6-BC70-4091-A005-99D4961CB538}" name="Land" dataDxfId="470">
      <calculatedColumnFormula>TblConstr[[#This Row],[Land]]</calculatedColumnFormula>
    </tableColumn>
    <tableColumn id="3" xr3:uid="{05C32193-1764-4A8E-B877-789E51BD1927}" name="." dataDxfId="469"/>
    <tableColumn id="4" xr3:uid="{2DBA3229-29BD-4F1F-B6CD-9E822C9071D7}" name="Plains" dataDxfId="468">
      <calculatedColumnFormula>TblConstr[[#This Row],[Plain]]</calculatedColumnFormula>
    </tableColumn>
    <tableColumn id="5" xr3:uid="{3D1FE633-D61E-4157-92AE-5E68F0C48770}" name="Forest" dataDxfId="467">
      <calculatedColumnFormula>TblConstr[[#This Row],[Forest]]</calculatedColumnFormula>
    </tableColumn>
    <tableColumn id="6" xr3:uid="{D9ABEDC6-9211-428A-B587-3CA9C3BF9744}" name="Mountn" dataDxfId="466">
      <calculatedColumnFormula>TblConstr[[#This Row],[Mountain]]</calculatedColumnFormula>
    </tableColumn>
    <tableColumn id="7" xr3:uid="{190BAA64-9D9E-4080-878D-BF035387620E}" name="Hills" dataDxfId="465">
      <calculatedColumnFormula>TblConstr[[#This Row],[Hill]]</calculatedColumnFormula>
    </tableColumn>
    <tableColumn id="8" xr3:uid="{812744CE-DEB7-4A8A-8374-CD5852E8C168}" name="Swamp" dataDxfId="464">
      <calculatedColumnFormula>TblConstr[[#This Row],[Swamp]]</calculatedColumnFormula>
    </tableColumn>
    <tableColumn id="9" xr3:uid="{96D79F63-015A-4655-975B-A1C99185A034}" name="Caverns" dataDxfId="463">
      <calculatedColumnFormula>TblConstr[[#This Row],[Cavern]]</calculatedColumnFormula>
    </tableColumn>
    <tableColumn id="10" xr3:uid="{607DA3E5-8D4A-44F4-A35C-DDAF32BE627C}" name="Water" dataDxfId="462">
      <calculatedColumnFormula>TblConstr[[#This Row],[Water]]</calculatedColumnFormula>
    </tableColumn>
    <tableColumn id="11" xr3:uid="{12EC2AC2-5FD3-4D82-8C37-DB70DCC56DC2}" name="Column2" dataDxfId="461"/>
    <tableColumn id="12" xr3:uid="{B171FE82-C8DE-44A1-89CE-409ED8DDD9D4}" name="Column3" dataDxfId="460"/>
    <tableColumn id="13" xr3:uid="{8C0085EE-E99F-4C98-9D66-144A50E3623C}" name="Column4" dataDxfId="459"/>
    <tableColumn id="14" xr3:uid="{5686D8FB-FF86-4148-AF9E-C03A97A84AF3}" name="Smithies" dataDxfId="458" dataCellStyle="Percent">
      <calculatedColumnFormula>TblMili[[#This Row],[Smithies]]</calculatedColumnFormula>
    </tableColumn>
    <tableColumn id="15" xr3:uid="{A0DC0A41-1987-4EE6-99BA-624DB6ACB9BF}" name="Employm." dataDxfId="457" dataCellStyle="Percent">
      <calculatedColumnFormula>TblPop[[#This Row],[Employment]]</calculatedColumnFormula>
    </tableColumn>
    <tableColumn id="16" xr3:uid="{7B85DEA6-C72D-4EAB-B18F-155B3A80E27B}" name="Popul." dataDxfId="456" dataCellStyle="Percent">
      <calculatedColumnFormula>TblImps[[#This Row],[Population]]</calculatedColumnFormula>
    </tableColumn>
    <tableColumn id="17" xr3:uid="{0BE33934-A790-4489-A3A2-E553E3C4AAEE}" name="Land (2)" dataDxfId="455">
      <calculatedColumnFormula>TblExplore[[#This Row],[Land]]</calculatedColumnFormula>
    </tableColumn>
    <tableColumn id="18" xr3:uid="{1EE849E8-6296-4479-BDA2-30E4622212E0}" name="Hour (2)" dataDxfId="454">
      <calculatedColumnFormula>TblExplore[[#This Row],[Hour]]</calculatedColumnFormula>
    </tableColumn>
    <tableColumn id="19" xr3:uid="{802EC67C-58E0-4E2B-9471-52B76B3F516A}" name="Land Bonus" dataDxfId="453"/>
    <tableColumn id="20" xr3:uid="{B1DC4E54-695A-4FE1-A303-67B047732E38}" name="Plains Explore" dataDxfId="452"/>
    <tableColumn id="21" xr3:uid="{28A63039-E9F4-4C91-BC61-38AFA90CBBA3}" name="Forest Explore" dataDxfId="451"/>
    <tableColumn id="22" xr3:uid="{52A3F218-67B7-4353-9DCD-90E402F80D3A}" name="Mountain Explore" dataDxfId="450"/>
    <tableColumn id="23" xr3:uid="{CADD78BB-1A84-4EF1-B568-74D7A7333BED}" name="Hill Explore" dataDxfId="449"/>
    <tableColumn id="24" xr3:uid="{86B12DCD-5E50-4631-800C-3D06D0C8407F}" name="Swamp Explore" dataDxfId="448"/>
    <tableColumn id="25" xr3:uid="{41A3F8D1-C19F-4B01-A125-BD6C5BE75F1D}" name="Cavern Explore" dataDxfId="447"/>
    <tableColumn id="26" xr3:uid="{DD83E77E-8C71-44A7-BF29-B8595544CC0D}" name="Water Explore" dataDxfId="446"/>
    <tableColumn id="27" xr3:uid="{6F68BDB2-663F-44CE-A108-1184CFBBBFB9}" name="Time" dataDxfId="445">
      <calculatedColumnFormula>TblImps[[#This Row],[Real time]]</calculatedColumnFormula>
    </tableColumn>
    <tableColumn id="28" xr3:uid="{0FBA88C1-4190-4A95-897B-20B88A072234}" name="Draftees" dataDxfId="444">
      <calculatedColumnFormula>TblMili[[#This Row],[Draftees]]</calculatedColumnFormula>
    </tableColumn>
    <tableColumn id="29" xr3:uid="{4EFD1992-02FD-4356-A327-EBEED01908DD}" name="Platinum" dataDxfId="443">
      <calculatedColumnFormula>TblProd[[#This Row],[Platinum]]</calculatedColumnFormula>
    </tableColumn>
    <tableColumn id="30" xr3:uid="{3D9A7B33-B273-4A01-8F7D-822B1BEB344B}" name=".." dataDxfId="442"/>
    <tableColumn id="31" xr3:uid="{EDB0F070-B31D-4B00-90A6-0A190E3CA80B}" name="Land-DB" dataDxfId="441">
      <calculatedColumnFormula>TblExplore[[#This Row],[Land]]-TblExplore[[#This Row],[Land Bonus]]*20</calculatedColumnFormula>
    </tableColumn>
    <tableColumn id="32" xr3:uid="{B94D1074-50E9-44F1-8957-6BE450DE4BF0}" name="Plat/acre" dataDxfId="440">
      <calculatedColumnFormula>ROUND((0.6*TblExplore[[#This Row],[Land-DB]]^1.299 + IF(TblExplore[[#This Row],[Land-DB]]&lt;1520, (-0.001*(TblExplore[[#This Row],[Land-DB]]^2)+1.91*TblExplore[[#This Row],[Land-DB]]-593), 0))*(1+ tech_2_6*Techs!AC4 + tech_2_9*Techs!AF4 + tech_3_7*Techs!AN4 + Overview!$I$33),0)</calculatedColumnFormula>
    </tableColumn>
    <tableColumn id="33" xr3:uid="{F0CBDA56-E75F-4156-B9BD-681857934D22}" name="Draftees/acre" dataDxfId="439">
      <calculatedColumnFormula>_xlfn.FLOOR.MATH(TblExplore[[#This Row],[Land-DB]]/150)+3+tech_2_9_2*TblTech[[#This Row],[2-9]]+tech_3_7_2*TblTech[[#This Row],[3-7]]</calculatedColumnFormula>
    </tableColumn>
    <tableColumn id="34" xr3:uid="{FCB11E8B-2CF1-408C-B51A-7901C753C76F}" name="Platinum (2)" dataDxfId="438">
      <calculatedColumnFormula>SUM(TblExplore[[#This Row],[Plains Explore]:[Water Explore]])*TblExplore[[#This Row],[Plat/acre]]</calculatedColumnFormula>
    </tableColumn>
    <tableColumn id="35" xr3:uid="{61575F8F-5343-43C9-858D-AF8501368779}" name="Draftees (2)" dataDxfId="437">
      <calculatedColumnFormula>SUM(TblExplore[[#This Row],[Plains Explore]:[Water Explore]])*TblExplore[[#This Row],[Draftees/acre]]</calculatedColumnFormula>
    </tableColumn>
    <tableColumn id="36" xr3:uid="{BD4C2C0C-7F81-4BE8-9828-9CFCFFAFF394}" name="Max Explore" dataDxfId="43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6" dataDxfId="425" tableBorderDxfId="42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3">
      <calculatedColumnFormula>TblConstr[[#This Row],[Land]]</calculatedColumnFormula>
    </tableColumn>
    <tableColumn id="2" xr3:uid="{09D3C0EB-2481-406C-ABC2-3B9FE0683D68}" name="Plains" dataDxfId="422">
      <calculatedColumnFormula>TblConstr[[#This Row],[Plain]]</calculatedColumnFormula>
    </tableColumn>
    <tableColumn id="3" xr3:uid="{E95763D4-88E5-487A-9912-CB5FED512375}" name="Forest" dataDxfId="421">
      <calculatedColumnFormula>TblConstr[[#This Row],[Forest]]</calculatedColumnFormula>
    </tableColumn>
    <tableColumn id="4" xr3:uid="{62B2173B-885E-48E7-B615-089739267B8E}" name="Mountains" dataDxfId="420">
      <calculatedColumnFormula>TblConstr[[#This Row],[Mountain]]</calculatedColumnFormula>
    </tableColumn>
    <tableColumn id="5" xr3:uid="{4FA61465-41A2-4497-AB2D-7B63B7113E12}" name="Hills" dataDxfId="419">
      <calculatedColumnFormula>TblConstr[[#This Row],[Hill]]</calculatedColumnFormula>
    </tableColumn>
    <tableColumn id="6" xr3:uid="{FC27A0D5-6BB5-414B-8DEB-98AD07E7EBFF}" name="Swamp" dataDxfId="418">
      <calculatedColumnFormula>TblConstr[[#This Row],[Swamp]]</calculatedColumnFormula>
    </tableColumn>
    <tableColumn id="7" xr3:uid="{E95EDCE9-4D0A-4F4F-80D0-F52A495BDAE2}" name="Caverns" dataDxfId="417">
      <calculatedColumnFormula>TblConstr[[#This Row],[Cavern]]</calculatedColumnFormula>
    </tableColumn>
    <tableColumn id="8" xr3:uid="{4D162EFF-D831-41C8-9A17-B9113296E43B}" name="Water" dataDxfId="416">
      <calculatedColumnFormula>TblConstr[[#This Row],[Water]]</calculatedColumnFormula>
    </tableColumn>
    <tableColumn id="9" xr3:uid="{D55A4201-089D-415F-8D4D-3ECCCB36C63A}" name="." dataDxfId="415"/>
    <tableColumn id="10" xr3:uid="{DD5BAECA-959B-44B4-BFE4-04100EF42CEE}" name="Hour" dataDxfId="414">
      <calculatedColumnFormula>J3+1</calculatedColumnFormula>
    </tableColumn>
    <tableColumn id="11" xr3:uid="{BBC04AC2-481C-43B9-8F7E-DA11BD9865DF}" name="Time" dataDxfId="413">
      <calculatedColumnFormula>TblImps[[#This Row],[Real time]]</calculatedColumnFormula>
    </tableColumn>
    <tableColumn id="12" xr3:uid="{D6C776EF-706C-4E21-B5A7-00C9AD08F8F2}" name="Plains Rezone" dataDxfId="412"/>
    <tableColumn id="13" xr3:uid="{8517A176-425D-4D28-9953-4EC1AA93C82D}" name="Forest Rezone" dataDxfId="411"/>
    <tableColumn id="14" xr3:uid="{6C6986FB-4B34-4620-9F5C-E204CA007C29}" name="Mountain Rezone" dataDxfId="410"/>
    <tableColumn id="15" xr3:uid="{A238C8DA-37C8-4B93-BDB9-803627A51455}" name="Hill Rezone" dataDxfId="409"/>
    <tableColumn id="16" xr3:uid="{6F93D167-46BB-49F9-99E2-4FE4FA89F6F6}" name="Swamp Rezone" dataDxfId="408"/>
    <tableColumn id="17" xr3:uid="{2891557D-037E-43FE-B080-6B5406778FAE}" name="Cavern Rezone" dataDxfId="407"/>
    <tableColumn id="18" xr3:uid="{C6630C4B-97F3-4512-833F-587ADB90804D}" name="Water Rezone" dataDxfId="406"/>
    <tableColumn id="19" xr3:uid="{71938840-BA0F-4F0E-90C2-866B3EEED32E}" name="Total acres" dataDxfId="405">
      <calculatedColumnFormula>SUMIF(TblRezone[[#This Row],[Plains Rezone]:[Water Rezone]],"&gt;0")</calculatedColumnFormula>
    </tableColumn>
    <tableColumn id="20" xr3:uid="{A48C796B-764B-4744-95D2-0DB5292F5562}" name="Ok?" dataDxfId="404">
      <calculatedColumnFormula>IF(SUM(TblRezone[[#This Row],[Plains Rezone]:[Water Rezone]])=0,"Ok","Nope")</calculatedColumnFormula>
    </tableColumn>
    <tableColumn id="21" xr3:uid="{2EBFAAC1-440A-44F3-A930-C229C35B9BD3}" name=".." dataDxfId="403"/>
    <tableColumn id="22" xr3:uid="{2020F260-8DB5-44E6-A131-B44D79AF6B62}" name="Platinum" dataDxfId="402">
      <calculatedColumnFormula>TblProd[[#This Row],[Platinum]]</calculatedColumnFormula>
    </tableColumn>
    <tableColumn id="23" xr3:uid="{81A5A213-A750-4DD5-8456-6B104D493CA4}" name="…" dataDxfId="401"/>
    <tableColumn id="24" xr3:uid="{8EF28125-DA30-4482-ADE4-2B916A90CAD2}" name="Plat/acre" dataDxfId="400">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9">
      <calculatedColumnFormula>TblRezone[[#This Row],[Total acres]]*TblRezone[[#This Row],[Plat/acre]]</calculatedColumnFormula>
    </tableColumn>
    <tableColumn id="26" xr3:uid="{685D7DEA-DD3C-4385-BEC6-C5DBEEE6B44D}" name="…." dataDxfId="398"/>
    <tableColumn id="27" xr3:uid="{44BE000A-0846-46D4-B9B4-8728EC5881AB}" name="Plat/acre*" dataDxfId="397">
      <calculatedColumnFormula>(250+0.6*(TblRezone[[#This Row],[Land]]-250))</calculatedColumnFormula>
    </tableColumn>
    <tableColumn id="28" xr3:uid="{3AFBA97F-9340-4669-BF68-67D7B351BBD4}" name="….." dataDxfId="396"/>
    <tableColumn id="29" xr3:uid="{D8C9DC04-80EE-49BF-BEDB-6FEC536A5F93}" name="Facs" dataDxfId="395">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7" dataDxfId="385" headerRowBorderDxfId="386" tableBorderDxfId="384">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3">
      <calculatedColumnFormula>TblRezone[[#This Row],[Hour]]</calculatedColumnFormula>
    </tableColumn>
    <tableColumn id="2" xr3:uid="{EAC413AF-EC0E-4C34-B6C3-F5AE2181B0A0}" name="Military" dataDxfId="382">
      <calculatedColumnFormula>SUM(TblMili[[#This Row],[Unit 1]:[Archmages]])+SUM(TblMili[[#This Row],[Train Unit 1]:[Train Unit 4]])+TblMili[[#This Row],[Draftees]]</calculatedColumnFormula>
    </tableColumn>
    <tableColumn id="3" xr3:uid="{B9847F02-8883-462E-B245-62A25138A973}" name="Military%" dataDxfId="381">
      <calculatedColumnFormula>TblPop[[#This Row],[Military%]]</calculatedColumnFormula>
    </tableColumn>
    <tableColumn id="4" xr3:uid="{873B66D3-9A4C-4CF2-ADD1-BF3696F9A721}" name="." dataDxfId="380"/>
    <tableColumn id="5" xr3:uid="{FC5A3C7C-0387-4B98-9BB7-AC3A387EAFF0}" name="Unit 1" dataDxfId="379">
      <calculatedColumnFormula>OFFSET(TblMili[[#This Row],[Unit 1]],-1,0) - TblMili[[#This Row],[Release Unit 1]]</calculatedColumnFormula>
    </tableColumn>
    <tableColumn id="6" xr3:uid="{A8BE2C9D-1318-46BD-B50B-D87014E90395}" name="Unit 2" dataDxfId="378">
      <calculatedColumnFormula>OFFSET(TblMili[[#This Row],[Unit 2]],-1,0)-TblMili[[#This Row],[Release Unit 2]]</calculatedColumnFormula>
    </tableColumn>
    <tableColumn id="7" xr3:uid="{49487FD4-4EF4-4722-A4A4-FCC0DD98F9F2}" name="Unit 3" dataDxfId="377">
      <calculatedColumnFormula>OFFSET(TblMili[[#This Row],[Unit 3]],-1,0)-TblMili[[#This Row],[Release Unit 3]]</calculatedColumnFormula>
    </tableColumn>
    <tableColumn id="8" xr3:uid="{739E7790-2960-445C-A5B2-C6064A881CDF}" name="Unit 4" dataDxfId="376">
      <calculatedColumnFormula>OFFSET(TblMili[[#This Row],[Unit 4]],-1,0)-TblMili[[#This Row],[Release Unit 4]]</calculatedColumnFormula>
    </tableColumn>
    <tableColumn id="9" xr3:uid="{0DB25EC0-D296-415A-BF65-DA60D7174CD2}" name="Spies" dataDxfId="375">
      <calculatedColumnFormula>OFFSET(TblMili[[#This Row],[Spies]],-1,0)-TblMili[[#This Row],[Release Spies]]</calculatedColumnFormula>
    </tableColumn>
    <tableColumn id="109" xr3:uid="{1E772BA5-219C-4FDC-ABC4-BDFC09C3EC97}" name="Archspies" dataDxfId="374"/>
    <tableColumn id="10" xr3:uid="{1B32AEAE-0DB3-4DD4-8543-1BD37596FD6C}" name="Wizards" dataDxfId="373">
      <calculatedColumnFormula>OFFSET(TblMili[[#This Row],[Wizards]],-1,0)-TblMili[[#This Row],[Release Wizards]]-TblMili[[#This Row],[Train AM]]</calculatedColumnFormula>
    </tableColumn>
    <tableColumn id="11" xr3:uid="{ED512AF5-16B2-421C-BF95-07157DB57B9D}" name="Archmages" dataDxfId="372">
      <calculatedColumnFormula>OFFSET(TblMili[[#This Row],[Archmages]],-1,0)-TblMili[[#This Row],[Release AM]]</calculatedColumnFormula>
    </tableColumn>
    <tableColumn id="12" xr3:uid="{CADE9B79-5861-46C5-8C69-B19C0F0551CF}" name=".." dataDxfId="371"/>
    <tableColumn id="13" xr3:uid="{18901E43-A967-4D1C-A56F-B4449A6C28E5}" name="Networth" dataDxfId="370">
      <calculatedColumnFormula>TblProd[[#This Row],[Networth]]</calculatedColumnFormula>
    </tableColumn>
    <tableColumn id="14" xr3:uid="{2F50B0FF-1C90-493E-BE67-86AFE22B6059}" name="…" dataDxfId="369"/>
    <tableColumn id="15" xr3:uid="{800A8F5F-B777-4995-AD6F-4DF929E0A477}" name="Raw" dataDxfId="368">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7">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6">
      <calculatedColumnFormula>TblMili[[#This Row],[Raw]]*(1+TblMili[[#This Row],[Mods_Off]])</calculatedColumnFormula>
    </tableColumn>
    <tableColumn id="18" xr3:uid="{49AD1BCC-C9BC-46CD-8B38-93838D61E9DD}" name="Non Draft" dataDxfId="365">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4">
      <calculatedColumnFormula>TblMili[[#This Row],[Non Draft]]+TblMili[[#This Row],[Draftees]]</calculatedColumnFormula>
    </tableColumn>
    <tableColumn id="20" xr3:uid="{C64B2C83-F9B3-427D-8326-C6954139623D}" name="Mods_Def" dataDxfId="363">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2" dataCellStyle="Comma">
      <calculatedColumnFormula>TblMili[[#This Row],[Non Draft]] * (1 + TblMili[[#This Row],[Mods_Def]])</calculatedColumnFormula>
    </tableColumn>
    <tableColumn id="22" xr3:uid="{EA8914C0-CD98-4E5C-A923-EA0F9E30F1EA}" name="Draft (mod)" dataDxfId="361">
      <calculatedColumnFormula>TblMili[[#This Row],[Draft]] * (1 + TblMili[[#This Row],[Mods_Def]])</calculatedColumnFormula>
    </tableColumn>
    <tableColumn id="23" xr3:uid="{EAC9356D-CE42-4256-BB93-BF208B480555}" name="Land" dataDxfId="360">
      <calculatedColumnFormula>TblConstr[[#This Row],[Land]]</calculatedColumnFormula>
    </tableColumn>
    <tableColumn id="24" xr3:uid="{D4A87242-2EDC-47D9-8CA4-84D822469E1B}" name="Set" dataDxfId="359"/>
    <tableColumn id="25" xr3:uid="{448088C9-E1C1-47E6-9443-BE83ECC5C2F2}" name="Draftrate" dataDxfId="358" dataCellStyle="Percent">
      <calculatedColumnFormula>IF(TblMili[[#This Row],[Set]]&lt;&gt;"",TblMili[[#This Row],[Set]],OFFSET(TblMili[[#This Row],[Draftrate]],-1,0))</calculatedColumnFormula>
    </tableColumn>
    <tableColumn id="26" xr3:uid="{EE8F6844-A68F-416E-B5A0-7B6FA4C5DE98}" name="Draftees" dataDxfId="357">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6"/>
    <tableColumn id="28" xr3:uid="{0B20A7CE-7BB6-4469-889B-DF744233C462}" name="Smithies" dataDxfId="355" dataCellStyle="Percent">
      <calculatedColumnFormula>(TblConstr[[#This Row],[Tot Smi]]+TblConstr[[#This Row],[Dest Smi]])/(TblConstr[[#This Row],[Land]]-TblExplore[[#This Row],[Land Bonus]]*20)</calculatedColumnFormula>
    </tableColumn>
    <tableColumn id="29" xr3:uid="{A03A8504-EBEF-4639-9EE4-238592848C94}" name="….." dataDxfId="354"/>
    <tableColumn id="30" xr3:uid="{4B521A36-EE77-42BE-850C-0D858F3717A6}" name="Hour (2)" dataDxfId="353">
      <calculatedColumnFormula>TblMili[[#This Row],[Hour]]</calculatedColumnFormula>
    </tableColumn>
    <tableColumn id="31" xr3:uid="{D44FE507-2C86-49D9-BC07-83C7B27BB255}" name="Time" dataDxfId="352">
      <calculatedColumnFormula>TblExplore[[#This Row],[Time]]</calculatedColumnFormula>
    </tableColumn>
    <tableColumn id="32" xr3:uid="{0DAD6AB9-2259-4821-8771-37863F1ED4CC}" name="Train Unit 1" dataDxfId="351"/>
    <tableColumn id="33" xr3:uid="{0E43B866-578B-4060-84D1-01656CB368A4}" name="Train Unit 2" dataDxfId="350"/>
    <tableColumn id="34" xr3:uid="{3AAC979B-4FF3-4EFF-8F6E-BD28BBE2B8BD}" name="Train Unit 3" dataDxfId="349"/>
    <tableColumn id="35" xr3:uid="{EC6B8083-BC72-4376-9760-2275CF62C1A6}" name="Train Unit 4" dataDxfId="348"/>
    <tableColumn id="36" xr3:uid="{DE15CA92-2C69-4205-88B3-DE37F5AAF9A6}" name="Train Spies" dataDxfId="347"/>
    <tableColumn id="107" xr3:uid="{917516D6-B00F-4F57-ADB0-6C22D2A96B9F}" name="Train AS" dataDxfId="346"/>
    <tableColumn id="37" xr3:uid="{97770C71-624D-4E73-A8AD-D79927F45908}" name="Train Wiz" dataDxfId="345"/>
    <tableColumn id="38" xr3:uid="{4E456233-AA67-4D90-9179-339EBD335F62}" name="Train AM" dataDxfId="344"/>
    <tableColumn id="111" xr3:uid="{54F0D0ED-12E4-4C6A-9A83-21A22A24F933}" name="DnD_Zombies" dataDxfId="343">
      <calculatedColumnFormula>ROUND(IF(AND(TblMagic[[#This Row],[Active DnD]]&lt;12,TblMagic[[#This Row],[Active DnD]]&gt;5),OFFSET(TblPop[[#This Row],[Draft Growth]],-1,0)*0.375,0),0)</calculatedColumnFormula>
    </tableColumn>
    <tableColumn id="39" xr3:uid="{29C90460-5421-4EA7-A4CB-BDA1C40BF8A1}" name="  " dataDxfId="342"/>
    <tableColumn id="40" xr3:uid="{2C04ED42-9AAF-4375-A8D4-18DA4B397FAA}" name="Platinum" dataDxfId="341">
      <calculatedColumnFormula>TblProd[[#This Row],[Platinum]]</calculatedColumnFormula>
    </tableColumn>
    <tableColumn id="41" xr3:uid="{122C6EDE-4C24-4A3C-9FA2-6A7942348604}" name="Secondary recource" dataDxfId="340">
      <calculatedColumnFormula>INDEX(TblProd[[#Headers],[Lumber]]:TblProd[[#This Row],[Ore]],COUNTA(TblProd[[#Headers],[Lumber]]:TblProd[[#This Row],[Lumber]]),MATCH(Military!$AR$2,TblProd[[#Headers],[Lumber]:[Ore]],0))</calculatedColumnFormula>
    </tableColumn>
    <tableColumn id="42" xr3:uid="{AD4D72D1-3860-48CA-B3DA-ADFB8307154A}" name="Plat Cost" dataDxfId="33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calculatedColumnFormula>
    </tableColumn>
    <tableColumn id="43" xr3:uid="{DAFB5FAD-E913-4B29-993E-21DDDA949BE9}" name="Sec. rec. Cost" dataDxfId="33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7">
      <calculatedColumnFormula>TblMili[[#This Row],[Hour]]</calculatedColumnFormula>
    </tableColumn>
    <tableColumn id="45" xr3:uid="{20B1F70F-03BF-43F5-9126-6B2FF45FE149}" name="Time " dataDxfId="336">
      <calculatedColumnFormula>TblMili[[#This Row],[Time]]</calculatedColumnFormula>
    </tableColumn>
    <tableColumn id="46" xr3:uid="{32831987-A30D-4329-BB1C-DB47E6B77B54}" name="Draftees    " dataDxfId="335">
      <calculatedColumnFormula>TblMili[[#This Row],[Draftees]]</calculatedColumnFormula>
    </tableColumn>
    <tableColumn id="47" xr3:uid="{7EBE7BE4-37D1-4B52-B049-F9BE4ABBBADC}" name="Release Draft" dataDxfId="334"/>
    <tableColumn id="48" xr3:uid="{C3BB0EE7-6180-4099-B663-EFA3F1503DB3}" name="Release Unit 1" dataDxfId="333"/>
    <tableColumn id="49" xr3:uid="{EDF7E463-807D-4CE2-B63E-18766260768C}" name="Release Unit 2" dataDxfId="332"/>
    <tableColumn id="50" xr3:uid="{A1BE9DD8-455A-4FAA-8154-5BB2D1A53261}" name="Release Unit 3" dataDxfId="331"/>
    <tableColumn id="51" xr3:uid="{4FE1D56E-EA47-4DF6-B5A4-E78C1D5F5774}" name="Release Unit 4" dataDxfId="330"/>
    <tableColumn id="52" xr3:uid="{F0F9CB78-BA40-4031-AC17-0AB88B159B60}" name="Release Spies" dataDxfId="329"/>
    <tableColumn id="108" xr3:uid="{118BE0C9-E863-4E5F-98D5-187B99319B85}" name="Release AS" dataDxfId="328"/>
    <tableColumn id="53" xr3:uid="{3CC7AC8A-814F-42C4-B491-A6DFD7A4A93E}" name="Release Wizards" dataDxfId="327"/>
    <tableColumn id="54" xr3:uid="{BCB616C3-3465-4473-B27B-B25584160E71}" name="Release AM" dataDxfId="326"/>
    <tableColumn id="55" xr3:uid="{6B6EC03F-2A6A-47EB-A7F1-0DFE335A330A}" name="   " dataDxfId="325"/>
    <tableColumn id="56" xr3:uid="{71F6F49D-CD22-4E5F-BBB5-61150307312C}" name="WG's" dataDxfId="324">
      <calculatedColumnFormula>TblConstr[[#This Row],[Tot WG]]/TblConstr[[#This Row],[Land]]</calculatedColumnFormula>
    </tableColumn>
    <tableColumn id="57" xr3:uid="{B8AC3F70-AED4-4E5E-9FFD-FF94CB39B791}" name="FH's" dataDxfId="323">
      <calculatedColumnFormula>TblConstr[[#This Row],[Tot Hav]]/TblConstr[[#This Row],[Land]]</calculatedColumnFormula>
    </tableColumn>
    <tableColumn id="58" xr3:uid="{140FE3B0-18E6-43AA-A625-E817354E2D53}" name="OP Plat" dataDxfId="322">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1">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0">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9">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8">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7">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6">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5">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4">
      <calculatedColumnFormula>ROUNDUP((1-MIN(ROUND(fh_spy_cost_red*TblMili[[#This Row],[FH''s]],4),fh_spy_cost_cap)+ tech_1_9*TblTech[[#This Row],[1-9]] + tech_9_1*TblTech[[#This Row],[9-1]])*spy_plat,0)</calculatedColumnFormula>
    </tableColumn>
    <tableColumn id="110" xr3:uid="{E3910BF3-0412-473B-852A-F6A0FE497DE5}" name="ASs Cost" dataDxfId="313">
      <calculatedColumnFormula>ROUNDUP((1-MIN(ROUND(fh_spy_cost_red*TblMili[[#This Row],[FH''s]],4),fh_spy_cost_cap)+ tech_1_9*TblTech[[#This Row],[1-9]] + tech_9_1*TblTech[[#This Row],[9-1]])*archspy_plat,0)</calculatedColumnFormula>
    </tableColumn>
    <tableColumn id="67" xr3:uid="{CDB40042-773A-4CE1-B670-B62BC884A947}" name="Wizzies cost" dataDxfId="312">
      <calculatedColumnFormula>ROUNDUP((1-MIN(ROUND(wg_wiz_cost_bonus*TblMili[[#This Row],[WG''s]],4),wg_wiz_cost_cap) + tech_1_9_2*TblTech[[#This Row],[1-9]] + tech_9_1_2*TblTech[[#This Row],[9-1]])*wizard_plat,0)</calculatedColumnFormula>
    </tableColumn>
    <tableColumn id="68" xr3:uid="{1053234A-AE18-4A82-94FC-D94692087DE3}" name="AMs cost" dataDxfId="311">
      <calculatedColumnFormula>ROUNDUP((1-MIN(ROUND(wg_wiz_cost_bonus*TblMili[[#This Row],[WG''s]],4),wg_wiz_cost_cap) + tech_1_9_2*TblTech[[#This Row],[1-9]] + tech_9_1_2*TblTech[[#This Row],[9-1]])*archmage_plat,0)</calculatedColumnFormula>
    </tableColumn>
    <tableColumn id="69" xr3:uid="{9D11DA92-CF6B-4838-B51B-494833977486}" name=" " dataDxfId="310"/>
    <tableColumn id="70" xr3:uid="{1F713D65-CE26-4E75-AF9C-1E2610D02FB6}" name="Homeland%" dataDxfId="309">
      <calculatedColumnFormula>TblConstr[[#This Row],[Homeland]]/TblConstr[[#This Row],[Land]]</calculatedColumnFormula>
    </tableColumn>
    <tableColumn id="71" xr3:uid="{FBD620E0-8F97-4BED-916D-A8962B459E13}" name="WG" dataDxfId="308">
      <calculatedColumnFormula>TblMili[[#This Row],[WG''s]]</calculatedColumnFormula>
    </tableColumn>
    <tableColumn id="72" xr3:uid="{0F482B90-6164-42A0-AC1A-EB6CBE2239E0}" name="Mystic" dataDxfId="307">
      <calculatedColumnFormula>IF(mystic_cap="none",TblMili[[#This Row],[Homeland%]]/mystic_bonus,MIN(mystic_cap,TblMili[[#This Row],[Homeland%]]/mystic_bonus))</calculatedColumnFormula>
    </tableColumn>
    <tableColumn id="73" xr3:uid="{2FD25056-5068-463F-8553-3D2CFBDBD80D}" name="Druid (op)" dataDxfId="306">
      <calculatedColumnFormula>IF(druid_op_cap="none",TblMili[[#This Row],[Homeland%]]/druid_op_bonus,MIN(druid_op_cap,TblMili[[#This Row],[Homeland%]]/druid_op_bonus))</calculatedColumnFormula>
    </tableColumn>
    <tableColumn id="74" xr3:uid="{53018DF3-E735-41C7-A3D0-8E634866C57E}" name="Druid (dp)" dataDxfId="305">
      <calculatedColumnFormula>IF(druid_dp_cap="none",TblMili[[#This Row],[Homeland%]]/druid_dp_bonus,MIN(druid_dp_cap,TblMili[[#This Row],[Homeland%]]/druid_dp_bonus))</calculatedColumnFormula>
    </tableColumn>
    <tableColumn id="75" xr3:uid="{7F4EE74D-9905-4DF0-A5F6-DDC9D0115356}" name="Dryad" dataDxfId="304">
      <calculatedColumnFormula>MIN(dryad_cap,TblMili[[#This Row],[Homeland%]]/dryad_bonus)</calculatedColumnFormula>
    </tableColumn>
    <tableColumn id="76" xr3:uid="{E7F9826C-05CD-49D4-95DF-ECCD467D1341}" name="Rockapult" dataDxfId="303">
      <calculatedColumnFormula>MIN(rocka_cap,TblMili[[#This Row],[Homeland%]]/rocka_bonus)</calculatedColumnFormula>
    </tableColumn>
    <tableColumn id="77" xr3:uid="{A26FFF73-DC56-4E66-8A0E-51A9C837AE8D}" name="Spellblade" dataDxfId="302">
      <calculatedColumnFormula>MIN(adept_op_cap,TblMili[[#This Row],[WG]]/adept_op_bonus)</calculatedColumnFormula>
    </tableColumn>
    <tableColumn id="78" xr3:uid="{A5F9372F-5EBA-4E5A-AB3F-5A786DE5FEB0}" name="Adept-DP" dataDxfId="301">
      <calculatedColumnFormula>MIN(adept_dp_cap,TblMili[[#This Row],[WG]]/adept_dp_bonus)</calculatedColumnFormula>
    </tableColumn>
    <tableColumn id="79" xr3:uid="{FF50DABE-A375-4222-848D-9C4D1D0FC999}" name="Beasts" dataDxfId="300">
      <calculatedColumnFormula>MIN(TblMili[[#This Row],[Unit 3]],TblMili[[#This Row],[Unit 2]])*2</calculatedColumnFormula>
    </tableColumn>
    <tableColumn id="80" xr3:uid="{FFCDA044-2FD9-4119-B82B-7914D887B7F4}" name="Overlords" dataDxfId="299">
      <calculatedColumnFormula>MIN(TblMili[[#This Row],[Unit 1]],TblMili[[#This Row],[Unit 4]])*2</calculatedColumnFormula>
    </tableColumn>
    <tableColumn id="81" xr3:uid="{00DE2C4D-2323-42A0-B749-2FB5F4E28DBF}" name="Frost Mage" dataDxfId="298">
      <calculatedColumnFormula>MIN(frost_mage_cap,TblMili[[#This Row],[Homeland%]]/frost_mage_bonus)</calculatedColumnFormula>
    </tableColumn>
    <tableColumn id="82" xr3:uid="{BB055F70-3593-48E8-A32F-2C3BC4E6D218}" name="Ice Elemental" dataDxfId="297">
      <calculatedColumnFormula>MIN(ice_elem_cap,TblMili[[#This Row],[Raw (2)]]*ice_elem_bonus)</calculatedColumnFormula>
    </tableColumn>
    <tableColumn id="83" xr3:uid="{1158BE59-7C9D-4D41-AE99-4249CB18E29F}" name="Orc" dataDxfId="296">
      <calculatedColumnFormula>MIN(bone_breaker_cap,250/bone_breaker_bonus)</calculatedColumnFormula>
    </tableColumn>
    <tableColumn id="84" xr3:uid="{76252BAC-90E5-49A7-B5F9-E399F71EA45D}" name="Nox" dataDxfId="295">
      <calculatedColumnFormula>MIN(nox_nightshade_cap,TblConstr[[#This Row],[Homeland]]/TblConstr[[#This Row],[Land]]/nox_nightshade_swamp_bonus)</calculatedColumnFormula>
    </tableColumn>
    <tableColumn id="113" xr3:uid="{4A27EC0B-8E58-4935-B9BC-28BBFBF14B3B}" name="Abyssal Enforcer" dataDxfId="294">
      <calculatedColumnFormula>MIN(TblConstr[[#This Row],[Total Swamp]]/TblConstr[[#This Row],[Land]]/abyss_enforce_bonus,abyss_enforcer_cap)</calculatedColumnFormula>
    </tableColumn>
    <tableColumn id="112" xr3:uid="{784D98C7-E60A-4D20-854E-4FCCFEFCDE00}" name="Infernal Command OP" dataDxfId="293">
      <calculatedColumnFormula>IF(TblMagic[[#This Row],[Active Infernal Command]]&gt;0,TblMili[[#This Row],[Unit 1]]*infernal_cmd_op,0)</calculatedColumnFormula>
    </tableColumn>
    <tableColumn id="85" xr3:uid="{1DFCAA2E-8651-447E-895D-82655A45DF53}" name="Column36" dataDxfId="292"/>
    <tableColumn id="86" xr3:uid="{2B117F31-500F-4EF5-A943-EA4E7192FD0F}" name="Column37" dataDxfId="291"/>
    <tableColumn id="87" xr3:uid="{F3D20B86-D78F-4794-87F9-C555822D3041}" name="Column38" dataDxfId="290"/>
    <tableColumn id="88" xr3:uid="{BDEF093C-2660-4215-8999-F98F4344DFB8}" name="Mystic bonus" dataDxfId="289">
      <calculatedColumnFormula>TblMili[[#This Row],[Mystic]]*2</calculatedColumnFormula>
    </tableColumn>
    <tableColumn id="89" xr3:uid="{46F4DC63-3122-4751-919D-25DE59A7EF66}" name="Druid bonus" dataDxfId="288">
      <calculatedColumnFormula>TblMili[[#This Row],[Druid (op)]]*2</calculatedColumnFormula>
    </tableColumn>
    <tableColumn id="90" xr3:uid="{0AB01A9F-5F69-4677-ABD0-FC19B1243F36}" name="Wood Elf bonus" dataDxfId="287">
      <calculatedColumnFormula>TblMili[[#This Row],[Mystic bonus]]*TblMili[[#This Row],[Unit 3]]+TblMili[[#This Row],[Druid bonus]]*TblMili[[#This Row],[Unit 4]]</calculatedColumnFormula>
    </tableColumn>
    <tableColumn id="91" xr3:uid="{4EE98187-D861-41F7-99BA-17048C4D8D34}" name="Dryad bonus" dataDxfId="286">
      <calculatedColumnFormula>TblMili[[#This Row],[Dryad]]*2</calculatedColumnFormula>
    </tableColumn>
    <tableColumn id="92" xr3:uid="{4D0FBA77-63EB-4AF7-AA3C-BF4D432786D2}" name="Sylvan bonus" dataDxfId="285">
      <calculatedColumnFormula>sylvan*(TblMili[[#This Row],[Mystic bonus]]*TblMili[[#This Row],[Unit 3]])</calculatedColumnFormula>
    </tableColumn>
    <tableColumn id="93" xr3:uid="{9CB7A2CE-8BEC-402B-B1F0-5A1153673E45}" name="Rockapult bonus" dataDxfId="284">
      <calculatedColumnFormula>TblMili[[#This Row],[Rockapult]]*2</calculatedColumnFormula>
    </tableColumn>
    <tableColumn id="94" xr3:uid="{702EEF5A-ED83-4CC8-84F7-F6D979E56F25}" name="Gnome bonus" dataDxfId="283">
      <calculatedColumnFormula>gnome*(TblMili[[#This Row],[Rockapult bonus]]*TblMili[[#This Row],[Unit 3]])</calculatedColumnFormula>
    </tableColumn>
    <tableColumn id="95" xr3:uid="{A02C2188-BFCD-4178-8B64-B969D4D2D97B}" name="Adept bonus" dataDxfId="282">
      <calculatedColumnFormula>TblMili[[#This Row],[Adept-DP]]*2</calculatedColumnFormula>
    </tableColumn>
    <tableColumn id="96" xr3:uid="{2AC6A177-5D6E-4EEF-803F-78737FC291BE}" name="Dark Elf bonus" dataDxfId="281">
      <calculatedColumnFormula>dark_elf*(TblMili[[#This Row],[Adept bonus]]*TblMili[[#This Row],[Unit 3]])</calculatedColumnFormula>
    </tableColumn>
    <tableColumn id="97" xr3:uid="{19730E51-BC55-444F-8E03-4B3A51C0E3D8}" name="Frost Mage bonus" dataDxfId="280">
      <calculatedColumnFormula>TblMili[[#This Row],[Frost Mage]]*2</calculatedColumnFormula>
    </tableColumn>
    <tableColumn id="98" xr3:uid="{4BF7728A-52B6-482F-A623-6B6D066AA813}" name="Ice Elemental bonus" dataDxfId="279">
      <calculatedColumnFormula>TblMili[[#This Row],[Ice Elemental]]*2</calculatedColumnFormula>
    </tableColumn>
    <tableColumn id="99" xr3:uid="{B96172E1-FD81-4837-8894-EDD42748B071}" name="Icekin bonus" dataDxfId="278">
      <calculatedColumnFormula>TblMili[[#This Row],[Frost Mage bonus]]*TblMili[[#This Row],[Unit 3]]+TblMili[[#This Row],[Ice Elemental bonus]]*TblMili[[#This Row],[Unit 4]]</calculatedColumnFormula>
    </tableColumn>
    <tableColumn id="100" xr3:uid="{A2072E36-3982-4B78-93F1-3B2C7DD41EB6}" name="Column46" dataDxfId="277"/>
    <tableColumn id="101" xr3:uid="{AA2C19ED-CD7C-4497-8949-4735D8380A50}" name="Favorable Terrain Bonus" dataDxfId="276" dataCellStyle="Percent">
      <calculatedColumnFormula>MIN(SUM(TblConstr[[#This Row],[Plain]:[Water]])/TblMili[[#This Row],[Land]]/favorable_terrain_bonus/100,favorable_terrain_max)</calculatedColumnFormula>
    </tableColumn>
    <tableColumn id="102" xr3:uid="{045A1C5D-FFD7-4F37-8C55-3E1C6325D69C}" name="Column48" dataDxfId="275"/>
    <tableColumn id="103" xr3:uid="{CA1D4487-36A8-42BE-AAE8-1C025B923059}" name="Networth (2)" dataDxfId="274">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3"/>
    <tableColumn id="105" xr3:uid="{628D592A-8396-4FB0-BFC1-BC7CA81586EE}" name="Raw (2)" dataDxfId="272">
      <calculatedColumnFormula>(TblMili[[#This Row],[Wizards]]+2*TblMili[[#This Row],[Archmages]])/TblConstr[[#This Row],[Land]]</calculatedColumnFormula>
    </tableColumn>
    <tableColumn id="106" xr3:uid="{016BFDB0-CD57-41C0-AF17-CB540C2E962C}" name="Modded (2)" dataDxfId="271">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2" dataDxfId="260" headerRowBorderDxfId="261" tableBorderDxfId="259">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8">
      <calculatedColumnFormula>TblRezone[[#This Row],[Hour]]</calculatedColumnFormula>
    </tableColumn>
    <tableColumn id="2" xr3:uid="{E160E2FF-C983-4A55-B03E-684BAA5D56D7}" name="Land" dataDxfId="257">
      <calculatedColumnFormula>TblConstr[[#This Row],[Land]]</calculatedColumnFormula>
    </tableColumn>
    <tableColumn id="3" xr3:uid="{CEA3931F-9B77-4317-A7C7-C5D0214A12BA}" name="Mana" dataDxfId="256">
      <calculatedColumnFormula>TblProd[[#This Row],[Mana]]</calculatedColumnFormula>
    </tableColumn>
    <tableColumn id="4" xr3:uid="{D383CA2D-65F3-4634-A1DD-E4ECA1CC96C8}" name="Wiz str" dataDxfId="255">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4">
      <calculatedColumnFormula>OFFSET(TblMagic[[#This Row],[Time]],-1,0)+1/24</calculatedColumnFormula>
    </tableColumn>
    <tableColumn id="6" xr3:uid="{6625E0CA-37E1-457D-817F-784FA6A7A47B}" name="Pop" dataDxfId="253">
      <calculatedColumnFormula>TblImps[[#This Row],[Population]]</calculatedColumnFormula>
    </tableColumn>
    <tableColumn id="7" xr3:uid="{74B4A440-273D-4100-B1BC-91171D1D20B6}" name="Gaia's Watch" dataDxfId="252"/>
    <tableColumn id="8" xr3:uid="{43E4A01F-74F7-4C30-9D8A-3079A04763B9}" name="Mining Strength" dataDxfId="251"/>
    <tableColumn id="9" xr3:uid="{1A92950C-8F89-409E-9002-FCC57F75ADE0}" name="Ares Call" dataDxfId="250"/>
    <tableColumn id="10" xr3:uid="{A04C0737-02D0-4DAA-B9D7-324E3D59498C}" name="Midas Touch" dataDxfId="249"/>
    <tableColumn id="11" xr3:uid="{028D46F5-0AAD-49F8-AC48-D5E2C41FD4C2}" name="Harmony" dataDxfId="248"/>
    <tableColumn id="12" xr3:uid="{42548E68-C2D5-44CD-99FA-6AD40E64E185}" name="Miner's Sight" dataDxfId="247"/>
    <tableColumn id="13" xr3:uid="{D64F8C18-3DBE-4D7A-8AA3-C35E04DD6CAC}" name="Mechanical Genius" dataDxfId="246"/>
    <tableColumn id="14" xr3:uid="{0165862E-59ED-45FB-BD5A-0C7DCAA39217}" name="Death and Decay" dataDxfId="245"/>
    <tableColumn id="15" xr3:uid="{762B30AD-670D-48C3-94F1-2BA1DC4089CC}" name="Killing Rage / Bloodrage / Crusade" dataDxfId="244"/>
    <tableColumn id="16" xr3:uid="{0162EA56-857C-4157-A7AB-4D90C9EA47F1}" name="Gaia's Blessing" dataDxfId="243"/>
    <tableColumn id="17" xr3:uid="{6D83302D-974B-4742-8BDA-D99BB673F6D7}" name="Howling" dataDxfId="242"/>
    <tableColumn id="18" xr3:uid="{081EE08A-AA95-4648-9376-F68D04887352}" name="Alchemist Frost" dataDxfId="241"/>
    <tableColumn id="19" xr3:uid="{3BCC0361-67FB-4576-8296-8E91F374A4A4}" name="Alchemists Flame" dataDxfId="240"/>
    <tableColumn id="20" xr3:uid="{CFB1AFFE-0570-4E81-B96B-5EE870CC5038}" name="Nightfall" dataDxfId="239"/>
    <tableColumn id="40" xr3:uid="{CD69E8F6-3FD6-49C0-9EB8-DB9FD0CAA6D9}" name="Favorable Terrain" dataDxfId="238"/>
    <tableColumn id="42" xr3:uid="{B3C18C59-4C81-4804-BB33-FB8D6CCF256E}" name="Infernal Command" dataDxfId="237"/>
    <tableColumn id="21" xr3:uid="{4F53D2F5-E2E8-4AEE-975D-5B925FA589B0}" name="Useless spell" dataDxfId="236"/>
    <tableColumn id="22" xr3:uid="{E7040239-1040-4E8C-8EEB-3D517AC825BD}" name="." dataDxfId="235"/>
    <tableColumn id="23" xr3:uid="{8F45EE21-92D1-4622-B103-16B477DF630B}" name="Mana cost" dataDxfId="234">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3">
      <calculatedColumnFormula>SUMIF(TblMagic[[#This Row],[Gaia''s Watch]:[Useless spell]],1)*0.05</calculatedColumnFormula>
    </tableColumn>
    <tableColumn id="25" xr3:uid="{2466DF86-89FE-4172-9850-F9FBAE56839D}" name=".." dataDxfId="232"/>
    <tableColumn id="26" xr3:uid="{F8559349-C288-4EC3-B38A-23771E549D1D}" name="Active Gaia's Watch" dataDxfId="231">
      <calculatedColumnFormula>IF(TblMagic[[#This Row],[Gaia''s Watch]],12,IF(OFFSET(TblMagic[[#This Row],[Active Gaia''s Watch]],-1,0)&gt;0,OFFSET(TblMagic[[#This Row],[Active Gaia''s Watch]],-1,0)-1,0))</calculatedColumnFormula>
    </tableColumn>
    <tableColumn id="27" xr3:uid="{00F45689-4686-422F-8E94-89C18992B261}" name="Active Mining Strength" dataDxfId="230">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9">
      <calculatedColumnFormula>IF(TblMagic[[#This Row],[Ares Call]],12,IF(OFFSET(TblMagic[[#This Row],[Active Ares Call]],-1,0)&gt;0,OFFSET(TblMagic[[#This Row],[Active Ares Call]],-1,0)-1,0))</calculatedColumnFormula>
    </tableColumn>
    <tableColumn id="29" xr3:uid="{BCC9ACB6-69AC-4DA1-B07D-F4802162CEF5}" name="Active Midas Touch" dataDxfId="228">
      <calculatedColumnFormula>IF(TblMagic[[#This Row],[Midas Touch]],12,IF(OFFSET(TblMagic[[#This Row],[Active Midas Touch]],-1,0)&gt;0,OFFSET(TblMagic[[#This Row],[Active Midas Touch]],-1,0)-1,0))</calculatedColumnFormula>
    </tableColumn>
    <tableColumn id="30" xr3:uid="{D13DA239-CC1B-41FD-A41B-68906B10F262}" name="Active Harmony" dataDxfId="227">
      <calculatedColumnFormula>IF(TblMagic[[#This Row],[Harmony]],12,IF(OFFSET(TblMagic[[#This Row],[Active Harmony]],-1,0)&gt;0,OFFSET(TblMagic[[#This Row],[Active Harmony]],-1,0)-1,0))</calculatedColumnFormula>
    </tableColumn>
    <tableColumn id="31" xr3:uid="{10D4FEA0-0AA8-4F31-8F5A-8576AE611BDA}" name="Active Miner's Sight" dataDxfId="226">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5">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4">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3">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2">
      <calculatedColumnFormula>IF(TblMagic[[#This Row],[Gaia''s Blessing]],12,IF(OFFSET(TblMagic[[#This Row],[Active Gaia''s Blessing]],-1,0)&gt;0,OFFSET(TblMagic[[#This Row],[Active Gaia''s Blessing]],-1,0)-1,0))</calculatedColumnFormula>
    </tableColumn>
    <tableColumn id="36" xr3:uid="{DB2BE469-2BE3-4333-BFBC-C2857399E743}" name="Active Howling" dataDxfId="221">
      <calculatedColumnFormula>IF(TblMagic[[#This Row],[Howling]],12,IF(OFFSET(TblMagic[[#This Row],[Active Howling]],-1,0)&gt;0,OFFSET(TblMagic[[#This Row],[Active Howling]],-1,0)-1,0))</calculatedColumnFormula>
    </tableColumn>
    <tableColumn id="37" xr3:uid="{F5838FA3-8068-44AA-A6A2-758F46E5F78D}" name="Active Alch Frost" dataDxfId="220">
      <calculatedColumnFormula>IF(TblMagic[[#This Row],[Alchemist Frost]],12,IF(OFFSET(TblMagic[[#This Row],[Active Alch Frost]],-1,0)&gt;0,OFFSET(TblMagic[[#This Row],[Active Alch Frost]],-1,0)-1,0))</calculatedColumnFormula>
    </tableColumn>
    <tableColumn id="38" xr3:uid="{11215FCC-A994-4C4E-835C-F365C4B7BDF8}" name="Active Alchemists Flame" dataDxfId="219">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8">
      <calculatedColumnFormula>IF(TblMagic[[#This Row],[Nightfall]],12,IF(OFFSET(TblMagic[[#This Row],[Active Nightfall]],-1,0)&gt;0,OFFSET(TblMagic[[#This Row],[Active Nightfall]],-1,0)-1,0))</calculatedColumnFormula>
    </tableColumn>
    <tableColumn id="41" xr3:uid="{E8FFEB0A-82D1-4B3D-86CE-6103CDF8A0FD}" name="Active Favorable Terrain" dataDxfId="217">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6"/>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CA136" totalsRowShown="0" headerRowDxfId="123" dataDxfId="121" headerRowBorderDxfId="122" tableBorderDxfId="120">
  <autoFilter ref="A3:CA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3">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0">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(1+Overview!$I$29)*SUM(TblImps[[#This Row],[P2]:[G2]])+OFFSET(TblImps[[#This Row],[Σ Science]],-1,0)</calculatedColumnFormula>
    </tableColumn>
    <tableColumn id="33" xr3:uid="{87424BBC-4CC9-4173-85AC-5C6A6ECFFB84}" name="Σ Keep" dataDxfId="87">
      <calculatedColumnFormula>(1+Overview!$I$29)*SUM(TblImps[[#This Row],[P3]:[G3]])+OFFSET(TblImps[[#This Row],[Σ Keep]],-1,0)</calculatedColumnFormula>
    </tableColumn>
    <tableColumn id="34" xr3:uid="{3DB81FE6-4CBC-4F36-973D-C8F8D1BD09A1}" name="Σ Spires" dataDxfId="86">
      <calculatedColumnFormula>(1+Overview!$I$29 + tech_7_1*TblTech[[#This Row],[7-1]])*SUM(TblImps[[#This Row],[P4]:[G4]])+OFFSET(TblImps[[#This Row],[Σ Spires]],-1,0)</calculatedColumnFormula>
    </tableColumn>
    <tableColumn id="35" xr3:uid="{485A62F9-7EE3-40A9-BDA7-9F3E4E3EC0E1}" name="Σ Forges" dataDxfId="85">
      <calculatedColumnFormula>(1+Overview!$I$29)*SUM(TblImps[[#This Row],[P5]:[FW5]])+OFFSET(TblImps[[#This Row],[Σ Forges]],-1,0)</calculatedColumnFormula>
    </tableColumn>
    <tableColumn id="36" xr3:uid="{CEDFD8F7-5AA6-4236-AE0F-14B6F23AE524}" name="Σ Walls" dataDxfId="84">
      <calculatedColumnFormula>(1+Overview!$I$29)*SUM(TblImps[[#This Row],[P6]:[G6]])+OFFSET(TblImps[[#This Row],[Σ Walls]],-1,0)</calculatedColumnFormula>
    </tableColumn>
    <tableColumn id="37" xr3:uid="{1C140D1F-1021-4314-82BD-7176A05B078C}" name="Σ Harbor" dataDxfId="83">
      <calculatedColumnFormula>(1+Overview!$I$29 + tech_7_1*TblTech[[#This Row],[7-1]])*SUM(TblImps[[#This Row],[P7]:[G7]])+OFFSET(TblImps[[#This Row],[Σ Harbor]],-1,0)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79" xr3:uid="{82DDD14A-93EB-44E8-B2CD-09DAA5D38C77}" name="FW5" dataDxfId="57">
      <calculatedColumnFormula>IF(OFFSET(TblMagic[[#This Row],[Active Alchemists Flame]],-1,0)&gt;0,TblConstr[[#This Row],[Tot Alc]]*alchemist_flame_invest,0)</calculatedColumnFormula>
    </tableColumn>
    <tableColumn id="63" xr3:uid="{22605E6F-6335-44A7-8340-9D5A857286D7}" name="…......." dataDxfId="56"/>
    <tableColumn id="64" xr3:uid="{74BD3EE9-84CB-4606-9851-F46947A6E124}" name="P6" dataDxfId="55">
      <calculatedColumnFormula>IF(TblImps[[#This Row],[Resource]]=BM$2,IF(TblImps[[#This Row],[Part]]=$AC$2,TblImps[[#This Row],[Amount]]*plat_invest)) + IF(TblImps[[#This Row],[Resource 2]]=BM$2,IF(TblImps[[#This Row],[Part 2]]=$AC$2,TblImps[[#This Row],[Amount 2]]*plat_invest)) + IF(TblImps[[#This Row],[Resource 3]]=BM$2,IF(TblImps[[#This Row],[Part 3]]=$AC$2,TblImps[[#This Row],[Amount 3]]*plat_invest))</calculatedColumnFormula>
    </tableColumn>
    <tableColumn id="65" xr3:uid="{F266A8BA-8CC3-4601-95F2-5F977F23CC3C}" name="L6" dataDxfId="54">
      <calculatedColumnFormula>IF(TblImps[[#This Row],[Resource]]=BN$2,IF(TblImps[[#This Row],[Part]]=$AC$2,TblImps[[#This Row],[Amount]]*lumber_invest)) + IF(TblImps[[#This Row],[Resource 2]]=BN$2,IF(TblImps[[#This Row],[Part 2]]=$AC$2,TblImps[[#This Row],[Amount 2]]*lumber_invest)) + IF(TblImps[[#This Row],[Resource 3]]=BN$2,IF(TblImps[[#This Row],[Part 3]]=$AC$2,TblImps[[#This Row],[Amount 3]]*lumber_invest))</calculatedColumnFormula>
    </tableColumn>
    <tableColumn id="66" xr3:uid="{73623468-7991-4CDF-BBF6-67A0C3387D2F}" name="O6" dataDxfId="53">
      <calculatedColumnFormula>IF(TblImps[[#This Row],[Resource]]=BO$2,IF(TblImps[[#This Row],[Part]]=$AC$2,TblImps[[#This Row],[Amount]]*ore_invest)) + IF(TblImps[[#This Row],[Resource 2]]=BO$2,IF(TblImps[[#This Row],[Part 2]]=$AC$2,TblImps[[#This Row],[Amount 2]]*ore_invest)) + IF(TblImps[[#This Row],[Resource 3]]=BO$2,IF(TblImps[[#This Row],[Part 3]]=$AC$2,TblImps[[#This Row],[Amount 3]]*ore_invest))</calculatedColumnFormula>
    </tableColumn>
    <tableColumn id="67" xr3:uid="{82BAE55C-FE60-4E58-BBAD-C4C76AA392E3}" name="G6" dataDxfId="52">
      <calculatedColumnFormula>IF(TblImps[[#This Row],[Resource]]=BP$2,IF(TblImps[[#This Row],[Part]]=$AC$2,TblImps[[#This Row],[Amount]]*gem_invest)) + IF(TblImps[[#This Row],[Resource 2]]=BP$2,IF(TblImps[[#This Row],[Part 2]]=$AC$2,TblImps[[#This Row],[Amount 2]]*gem_invest)) + IF(TblImps[[#This Row],[Resource 3]]=BP$2,IF(TblImps[[#This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Row],[Resource]]=BR$2,IF(TblImps[[#This Row],[Part]]=$AD$2,TblImps[[#This Row],[Amount]]*plat_invest)) + IF(TblImps[[#This Row],[Resource 2]]=BR$2,IF(TblImps[[#This Row],[Part 2]]=$AD$2,TblImps[[#This Row],[Amount 2]]*plat_invest)) + IF(TblImps[[#This Row],[Resource 3]]=BR$2,IF(TblImps[[#This Row],[Part 3]]=$AD$2,TblImps[[#This Row],[Amount 3]]*plat_invest))</calculatedColumnFormula>
    </tableColumn>
    <tableColumn id="70" xr3:uid="{48F49DEB-7DDE-4B3E-8C67-B32AB76DD814}" name="L7" dataDxfId="49">
      <calculatedColumnFormula>IF(TblImps[[#This Row],[Resource]]=BS$2,IF(TblImps[[#This Row],[Part]]=$AD$2,TblImps[[#This Row],[Amount]]*lumber_invest)) + IF(TblImps[[#This Row],[Resource 2]]=BS$2,IF(TblImps[[#This Row],[Part 2]]=$AD$2,TblImps[[#This Row],[Amount 2]]*lumber_invest)) + IF(TblImps[[#This Row],[Resource 3]]=BS$2,IF(TblImps[[#This Row],[Part 3]]=$AD$2,TblImps[[#This Row],[Amount 3]]*lumber_invest))</calculatedColumnFormula>
    </tableColumn>
    <tableColumn id="71" xr3:uid="{DD30EA2C-7008-455C-B999-AF907234A41D}" name="O7" dataDxfId="48">
      <calculatedColumnFormula>IF(TblImps[[#This Row],[Resource]]=BT$2,IF(TblImps[[#This Row],[Part]]=$AD$2,TblImps[[#This Row],[Amount]]*ore_invest)) + IF(TblImps[[#This Row],[Resource 2]]=BT$2,IF(TblImps[[#This Row],[Part 2]]=$AD$2,TblImps[[#This Row],[Amount 2]]*ore_invest)) + IF(TblImps[[#This Row],[Resource 3]]=BT$2,IF(TblImps[[#This Row],[Part 3]]=$AD$2,TblImps[[#This Row],[Amount 3]]*ore_invest))</calculatedColumnFormula>
    </tableColumn>
    <tableColumn id="72" xr3:uid="{609097EE-C87B-48ED-AFB5-7A961F13ECF1}" name="G7" dataDxfId="47">
      <calculatedColumnFormula>IF(TblImps[[#This Row],[Resource]]=BU$2,IF(TblImps[[#This Row],[Part]]=$AD$2,TblImps[[#This Row],[Amount]]*gem_invest)) + IF(TblImps[[#This Row],[Resource 2]]=BU$2,IF(TblImps[[#This Row],[Part 2]]=$AD$2,TblImps[[#This Row],[Amount 2]]*gem_invest)) + IF(TblImps[[#This Row],[Resource 3]]=BU$2,IF(TblImps[[#This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9" t="s">
        <v>449</v>
      </c>
      <c r="B1" s="489"/>
      <c r="C1" s="489"/>
      <c r="D1" s="489"/>
      <c r="E1" s="489"/>
      <c r="F1" s="489"/>
      <c r="G1" s="489"/>
      <c r="H1" s="489"/>
      <c r="I1" s="489"/>
      <c r="J1" s="489"/>
      <c r="K1" s="489"/>
      <c r="L1" s="490"/>
      <c r="M1" s="496" t="s">
        <v>1032</v>
      </c>
      <c r="N1" s="497"/>
      <c r="O1" s="498"/>
    </row>
    <row r="2" spans="1:15" s="44" customFormat="1" ht="12.75" customHeight="1" x14ac:dyDescent="0.2">
      <c r="A2" s="525" t="s">
        <v>1067</v>
      </c>
      <c r="B2" s="526"/>
      <c r="C2" s="526"/>
      <c r="D2" s="526"/>
      <c r="E2" s="526"/>
      <c r="F2" s="526"/>
      <c r="G2" s="526"/>
      <c r="H2" s="526"/>
      <c r="I2" s="526"/>
      <c r="J2" s="526"/>
      <c r="K2" s="526"/>
      <c r="L2" s="527"/>
      <c r="M2" s="513" t="s">
        <v>1095</v>
      </c>
      <c r="N2" s="514"/>
      <c r="O2" s="515"/>
    </row>
    <row r="3" spans="1:15" s="44" customFormat="1" x14ac:dyDescent="0.2">
      <c r="A3" s="525"/>
      <c r="B3" s="526"/>
      <c r="C3" s="526"/>
      <c r="D3" s="526"/>
      <c r="E3" s="526"/>
      <c r="F3" s="526"/>
      <c r="G3" s="526"/>
      <c r="H3" s="526"/>
      <c r="I3" s="526"/>
      <c r="J3" s="526"/>
      <c r="K3" s="526"/>
      <c r="L3" s="527"/>
      <c r="M3" s="513"/>
      <c r="N3" s="514"/>
      <c r="O3" s="515"/>
    </row>
    <row r="4" spans="1:15" s="44" customFormat="1" x14ac:dyDescent="0.2">
      <c r="A4" s="525"/>
      <c r="B4" s="526"/>
      <c r="C4" s="526"/>
      <c r="D4" s="526"/>
      <c r="E4" s="526"/>
      <c r="F4" s="526"/>
      <c r="G4" s="526"/>
      <c r="H4" s="526"/>
      <c r="I4" s="526"/>
      <c r="J4" s="526"/>
      <c r="K4" s="526"/>
      <c r="L4" s="527"/>
      <c r="M4" s="513"/>
      <c r="N4" s="514"/>
      <c r="O4" s="515"/>
    </row>
    <row r="5" spans="1:15" s="44" customFormat="1" x14ac:dyDescent="0.2">
      <c r="A5" s="525"/>
      <c r="B5" s="526"/>
      <c r="C5" s="526"/>
      <c r="D5" s="526"/>
      <c r="E5" s="526"/>
      <c r="F5" s="526"/>
      <c r="G5" s="526"/>
      <c r="H5" s="526"/>
      <c r="I5" s="526"/>
      <c r="J5" s="526"/>
      <c r="K5" s="526"/>
      <c r="L5" s="527"/>
      <c r="M5" s="513"/>
      <c r="N5" s="514"/>
      <c r="O5" s="515"/>
    </row>
    <row r="6" spans="1:15" s="44" customFormat="1" x14ac:dyDescent="0.2">
      <c r="A6" s="525"/>
      <c r="B6" s="526"/>
      <c r="C6" s="526"/>
      <c r="D6" s="526"/>
      <c r="E6" s="526"/>
      <c r="F6" s="526"/>
      <c r="G6" s="526"/>
      <c r="H6" s="526"/>
      <c r="I6" s="526"/>
      <c r="J6" s="526"/>
      <c r="K6" s="526"/>
      <c r="L6" s="527"/>
      <c r="M6" s="513"/>
      <c r="N6" s="514"/>
      <c r="O6" s="515"/>
    </row>
    <row r="7" spans="1:15" s="44" customFormat="1" ht="13.5" thickBot="1" x14ac:dyDescent="0.25">
      <c r="A7" s="528"/>
      <c r="B7" s="529"/>
      <c r="C7" s="529"/>
      <c r="D7" s="529"/>
      <c r="E7" s="529"/>
      <c r="F7" s="529"/>
      <c r="G7" s="529"/>
      <c r="H7" s="529"/>
      <c r="I7" s="529"/>
      <c r="J7" s="529"/>
      <c r="K7" s="529"/>
      <c r="L7" s="530"/>
      <c r="M7" s="513"/>
      <c r="N7" s="514"/>
      <c r="O7" s="515"/>
    </row>
    <row r="8" spans="1:15" s="44" customFormat="1" ht="15.75" x14ac:dyDescent="0.2">
      <c r="A8" s="491" t="s">
        <v>448</v>
      </c>
      <c r="B8" s="492"/>
      <c r="C8" s="492"/>
      <c r="D8" s="492"/>
      <c r="E8" s="492"/>
      <c r="F8" s="492"/>
      <c r="G8" s="492"/>
      <c r="H8" s="492"/>
      <c r="I8" s="493"/>
      <c r="J8" s="499" t="s">
        <v>1169</v>
      </c>
      <c r="K8" s="500"/>
      <c r="L8" s="501"/>
      <c r="M8" s="516"/>
      <c r="N8" s="517"/>
      <c r="O8" s="518"/>
    </row>
    <row r="9" spans="1:15" s="44" customFormat="1" ht="12.75" customHeight="1" x14ac:dyDescent="0.2">
      <c r="A9" s="494" t="s">
        <v>1147</v>
      </c>
      <c r="B9" s="495"/>
      <c r="C9" s="495"/>
      <c r="D9" s="495"/>
      <c r="E9" s="495"/>
      <c r="F9" s="495"/>
      <c r="G9" s="495"/>
      <c r="H9" s="495"/>
      <c r="I9" s="495"/>
      <c r="J9" s="502"/>
      <c r="K9" s="503"/>
      <c r="L9" s="504"/>
      <c r="M9" s="516"/>
      <c r="N9" s="517"/>
      <c r="O9" s="518"/>
    </row>
    <row r="10" spans="1:15" s="44" customFormat="1" ht="12.75" customHeight="1" x14ac:dyDescent="0.2">
      <c r="A10" s="494"/>
      <c r="B10" s="495"/>
      <c r="C10" s="495"/>
      <c r="D10" s="495"/>
      <c r="E10" s="495"/>
      <c r="F10" s="495"/>
      <c r="G10" s="495"/>
      <c r="H10" s="495"/>
      <c r="I10" s="495"/>
      <c r="J10" s="502"/>
      <c r="K10" s="503"/>
      <c r="L10" s="504"/>
      <c r="M10" s="516"/>
      <c r="N10" s="517"/>
      <c r="O10" s="518"/>
    </row>
    <row r="11" spans="1:15" s="44" customFormat="1" ht="12.75" customHeight="1" x14ac:dyDescent="0.2">
      <c r="A11" s="494"/>
      <c r="B11" s="495"/>
      <c r="C11" s="495"/>
      <c r="D11" s="495"/>
      <c r="E11" s="495"/>
      <c r="F11" s="495"/>
      <c r="G11" s="495"/>
      <c r="H11" s="495"/>
      <c r="I11" s="495"/>
      <c r="J11" s="502"/>
      <c r="K11" s="503"/>
      <c r="L11" s="504"/>
      <c r="M11" s="516"/>
      <c r="N11" s="517"/>
      <c r="O11" s="518"/>
    </row>
    <row r="12" spans="1:15" s="44" customFormat="1" ht="28.5" customHeight="1" thickBot="1" x14ac:dyDescent="0.25">
      <c r="A12" s="494"/>
      <c r="B12" s="495"/>
      <c r="C12" s="495"/>
      <c r="D12" s="495"/>
      <c r="E12" s="495"/>
      <c r="F12" s="495"/>
      <c r="G12" s="495"/>
      <c r="H12" s="495"/>
      <c r="I12" s="495"/>
      <c r="J12" s="505"/>
      <c r="K12" s="506"/>
      <c r="L12" s="507"/>
      <c r="M12" s="519"/>
      <c r="N12" s="520"/>
      <c r="O12" s="521"/>
    </row>
    <row r="13" spans="1:15" s="44" customFormat="1" ht="25.5" customHeight="1" thickBot="1" x14ac:dyDescent="0.25">
      <c r="A13" s="522" t="s">
        <v>256</v>
      </c>
      <c r="B13" s="523"/>
      <c r="C13" s="524"/>
      <c r="D13" s="524"/>
      <c r="E13" s="524"/>
      <c r="F13" s="524"/>
      <c r="G13" s="524"/>
      <c r="H13" s="524"/>
      <c r="I13" s="524"/>
      <c r="J13" s="524"/>
      <c r="K13" s="524"/>
      <c r="L13" s="524"/>
      <c r="M13" s="524"/>
      <c r="N13" s="524"/>
      <c r="O13" s="524"/>
    </row>
    <row r="14" spans="1:15" s="52" customFormat="1" ht="12.75" customHeight="1" x14ac:dyDescent="0.2">
      <c r="A14" s="45" t="s">
        <v>28</v>
      </c>
      <c r="B14" s="130" t="s">
        <v>89</v>
      </c>
      <c r="C14" s="46"/>
      <c r="D14" s="47" t="s">
        <v>321</v>
      </c>
      <c r="E14" s="47" t="s">
        <v>765</v>
      </c>
      <c r="F14" s="44"/>
      <c r="G14" s="44"/>
      <c r="K14" s="44" t="s">
        <v>1145</v>
      </c>
      <c r="L14" s="44"/>
      <c r="M14" s="44"/>
      <c r="O14" s="79"/>
    </row>
    <row r="15" spans="1:15" s="44" customFormat="1" ht="12.75" customHeight="1" x14ac:dyDescent="0.2">
      <c r="A15" s="45" t="s">
        <v>446</v>
      </c>
      <c r="B15" s="131">
        <v>46180</v>
      </c>
      <c r="D15" s="45" t="s">
        <v>322</v>
      </c>
      <c r="E15" s="53">
        <f>B15+(1+B16-1)/24+B18-0/24</f>
        <v>46180</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46172.520269907407</v>
      </c>
      <c r="H16" s="45" t="s">
        <v>163</v>
      </c>
      <c r="I16" s="54">
        <f>INDEX(TblRaces[[Max population]:[Explore Cost]],MATCH(race,TblRaces[Race],0),MATCH(Table4[[#This Row],[Race Bonuses]],TblRaces[[#Headers],[Max population]:[Explore Cost]],0))</f>
        <v>0</v>
      </c>
      <c r="K16" s="45" t="s">
        <v>170</v>
      </c>
      <c r="L16" s="478">
        <v>0</v>
      </c>
      <c r="M16" s="482" t="s">
        <v>1148</v>
      </c>
      <c r="O16" s="51"/>
    </row>
    <row r="17" spans="1:15" s="44" customFormat="1" ht="12.75" customHeight="1" thickBot="1" x14ac:dyDescent="0.25">
      <c r="A17" s="45" t="s">
        <v>319</v>
      </c>
      <c r="B17" s="55">
        <f ca="1">TODAY()</f>
        <v>46172</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6">
        <v>0</v>
      </c>
      <c r="M17" s="481" t="s">
        <v>1149</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6">
        <v>30</v>
      </c>
      <c r="M18" s="481" t="s">
        <v>1150</v>
      </c>
      <c r="O18" s="51"/>
    </row>
    <row r="19" spans="1:15" s="44" customFormat="1" x14ac:dyDescent="0.2">
      <c r="H19" s="45" t="s">
        <v>107</v>
      </c>
      <c r="I19" s="54">
        <f>INDEX(TblRaces[[Max population]:[Explore Cost]],MATCH(race,TblRaces[Race],0),MATCH(Table4[[#This Row],[Race Bonuses]],TblRaces[[#Headers],[Max population]:[Explore Cost]],0))</f>
        <v>0.05</v>
      </c>
      <c r="J19" s="49"/>
      <c r="K19" s="45" t="s">
        <v>1142</v>
      </c>
      <c r="L19" s="476">
        <v>0</v>
      </c>
      <c r="M19" s="481" t="s">
        <v>1151</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1138</v>
      </c>
      <c r="L20" s="476">
        <v>0</v>
      </c>
      <c r="M20" s="481" t="s">
        <v>1152</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6">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315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6">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1139</v>
      </c>
      <c r="L23" s="477">
        <v>0</v>
      </c>
      <c r="M23" s="468"/>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1136</v>
      </c>
      <c r="L24" s="477">
        <v>0</v>
      </c>
      <c r="M24" s="468"/>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7">
        <v>0</v>
      </c>
      <c r="M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1135</v>
      </c>
      <c r="L26" s="477">
        <v>0</v>
      </c>
      <c r="M26" s="468"/>
      <c r="O26" s="60"/>
    </row>
    <row r="27" spans="1:15" s="44" customFormat="1" x14ac:dyDescent="0.2">
      <c r="A27" s="414" t="s">
        <v>1077</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1137</v>
      </c>
      <c r="L27" s="477">
        <v>0</v>
      </c>
      <c r="M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1141</v>
      </c>
      <c r="L28" s="476">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6">
        <v>0</v>
      </c>
      <c r="O29" s="60"/>
    </row>
    <row r="30" spans="1:15" s="44" customFormat="1" x14ac:dyDescent="0.2">
      <c r="A30" s="65" t="s">
        <v>1062</v>
      </c>
      <c r="D30" s="66"/>
      <c r="E30" s="67"/>
      <c r="G30" s="51"/>
      <c r="H30" s="45" t="s">
        <v>486</v>
      </c>
      <c r="I30" s="54">
        <f>INDEX(TblRaces[[Max population]:[Explore Cost]],MATCH(race,TblRaces[Race],0),MATCH(Table4[[#This Row],[Race Bonuses]],TblRaces[[#Headers],[Max population]:[Explore Cost]],0))</f>
        <v>0</v>
      </c>
      <c r="K30" s="45" t="s">
        <v>1143</v>
      </c>
      <c r="L30" s="476">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1144</v>
      </c>
      <c r="L31" s="476">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1134</v>
      </c>
      <c r="L32" s="476">
        <v>0</v>
      </c>
      <c r="O32" s="60"/>
    </row>
    <row r="33" spans="1:21" s="44" customFormat="1" x14ac:dyDescent="0.2">
      <c r="A33" s="65"/>
      <c r="D33" s="66"/>
      <c r="E33" s="67"/>
      <c r="H33" s="45" t="s">
        <v>1057</v>
      </c>
      <c r="I33" s="54">
        <f>INDEX(TblRaces[[Max population]:[Explore Cost]],MATCH(race,TblRaces[Race],0),MATCH(Table4[[#This Row],[Race Bonuses]],TblRaces[[#Headers],[Max population]:[Explore Cost]],0))</f>
        <v>0</v>
      </c>
      <c r="K33" s="45" t="s">
        <v>1140</v>
      </c>
      <c r="L33" s="476">
        <v>0</v>
      </c>
      <c r="O33" s="60"/>
    </row>
    <row r="34" spans="1:21" s="44" customFormat="1" x14ac:dyDescent="0.2">
      <c r="A34" s="65"/>
      <c r="D34" s="66"/>
      <c r="E34" s="67"/>
      <c r="H34" s="210"/>
      <c r="I34" s="473"/>
      <c r="K34" s="45" t="s">
        <v>46</v>
      </c>
      <c r="L34" s="476">
        <v>0</v>
      </c>
      <c r="O34" s="60"/>
    </row>
    <row r="35" spans="1:21" s="69" customFormat="1" x14ac:dyDescent="0.2">
      <c r="A35" s="68"/>
      <c r="D35" s="70"/>
      <c r="E35" s="71"/>
      <c r="H35" s="474"/>
      <c r="I35" s="475"/>
      <c r="K35" s="474"/>
      <c r="L35" s="479">
        <f>SUM(Table20[Amount])</f>
        <v>50</v>
      </c>
      <c r="M35" s="480" t="str">
        <f>IF(L35=start_acres,"Construction Complete!",IF(L35&lt;start_acres,"Construct additional buildings!","You have built too many buildings!"))</f>
        <v>Construct additional buildings!</v>
      </c>
      <c r="O35" s="74"/>
    </row>
    <row r="36" spans="1:21" s="73" customFormat="1" ht="29.25" customHeight="1" x14ac:dyDescent="0.2">
      <c r="A36" s="511" t="s">
        <v>375</v>
      </c>
      <c r="B36" s="487"/>
      <c r="C36" s="487"/>
      <c r="D36" s="487"/>
      <c r="E36" s="487"/>
      <c r="F36" s="487"/>
      <c r="G36" s="487"/>
      <c r="H36" s="487"/>
      <c r="I36" s="487"/>
      <c r="J36" s="512"/>
      <c r="K36" s="512"/>
      <c r="L36" s="512"/>
      <c r="M36" s="512"/>
      <c r="N36" s="512"/>
      <c r="O36" s="512"/>
    </row>
    <row r="37" spans="1:21" x14ac:dyDescent="0.2">
      <c r="A37" s="5" t="s">
        <v>22</v>
      </c>
      <c r="B37" s="45" t="s">
        <v>353</v>
      </c>
      <c r="C37" s="75" t="s">
        <v>31</v>
      </c>
      <c r="D37" s="76" t="s">
        <v>206</v>
      </c>
      <c r="E37" s="77" t="s">
        <v>1004</v>
      </c>
      <c r="F37" s="75" t="s">
        <v>32</v>
      </c>
      <c r="G37" s="76" t="s">
        <v>1002</v>
      </c>
      <c r="H37" s="76" t="s">
        <v>1003</v>
      </c>
      <c r="I37" s="78" t="s">
        <v>765</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Military!E$52</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9"/>
      <c r="L39" s="508" t="s">
        <v>427</v>
      </c>
      <c r="M39" s="508"/>
      <c r="N39" s="508"/>
      <c r="O39" s="509"/>
      <c r="R39" s="5"/>
      <c r="U39" s="124"/>
    </row>
    <row r="40" spans="1:21" x14ac:dyDescent="0.2">
      <c r="A40" s="90" t="str">
        <f>spec_dp_name</f>
        <v>Archer</v>
      </c>
      <c r="B40" s="91">
        <f ca="1">Military!F$52</f>
        <v>0</v>
      </c>
      <c r="C40" s="92">
        <f ca="1">B40*B23</f>
        <v>0</v>
      </c>
      <c r="D40" s="93"/>
      <c r="E40" s="91">
        <f ca="1">C40*(1+$D$39)</f>
        <v>0</v>
      </c>
      <c r="F40" s="94">
        <f ca="1">B40*C23</f>
        <v>0</v>
      </c>
      <c r="G40" s="93"/>
      <c r="H40" s="94">
        <f ca="1">F40*(1+$G$39)</f>
        <v>0</v>
      </c>
      <c r="I40" s="89" t="str">
        <f>A40</f>
        <v>Archer</v>
      </c>
      <c r="J40" s="44"/>
      <c r="K40" s="469"/>
      <c r="L40" s="508"/>
      <c r="M40" s="508"/>
      <c r="N40" s="508"/>
      <c r="O40" s="509"/>
      <c r="R40" s="471"/>
      <c r="S40" s="471"/>
      <c r="T40" s="471"/>
      <c r="U40" s="471"/>
    </row>
    <row r="41" spans="1:21" x14ac:dyDescent="0.2">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9"/>
      <c r="L41" s="508"/>
      <c r="M41" s="508"/>
      <c r="N41" s="508"/>
      <c r="O41" s="509"/>
      <c r="R41" s="471"/>
      <c r="S41" s="471"/>
      <c r="T41" s="471"/>
      <c r="U41" s="471"/>
    </row>
    <row r="42" spans="1:21" ht="13.5" customHeight="1" thickBot="1" x14ac:dyDescent="0.25">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8"/>
      <c r="L42" s="486" t="s">
        <v>447</v>
      </c>
      <c r="M42" s="486"/>
      <c r="N42" s="486"/>
      <c r="O42" s="510"/>
      <c r="R42" s="471"/>
      <c r="S42" s="471"/>
      <c r="T42" s="471"/>
      <c r="U42" s="471"/>
    </row>
    <row r="43" spans="1:21" ht="13.5" thickTop="1" x14ac:dyDescent="0.2">
      <c r="A43" s="98"/>
      <c r="B43" s="85"/>
      <c r="C43" s="99">
        <f ca="1">SUM(C39:C42)</f>
        <v>0</v>
      </c>
      <c r="E43" s="100">
        <f ca="1">SUM(E39:E42)</f>
        <v>0</v>
      </c>
      <c r="F43" s="35">
        <f ca="1">SUM(F39:F42)</f>
        <v>0</v>
      </c>
      <c r="H43" s="35">
        <f ca="1">SUM(H39:H42)</f>
        <v>0</v>
      </c>
      <c r="I43" s="82"/>
      <c r="J43" s="44"/>
      <c r="K43" s="468"/>
      <c r="L43" s="486"/>
      <c r="M43" s="486"/>
      <c r="N43" s="486"/>
      <c r="O43" s="510"/>
      <c r="R43" s="472"/>
      <c r="S43" s="472"/>
      <c r="T43" s="472"/>
      <c r="U43" s="472"/>
    </row>
    <row r="44" spans="1:21" ht="12.75" customHeight="1" x14ac:dyDescent="0.2">
      <c r="A44" s="101" t="s">
        <v>24</v>
      </c>
      <c r="B44" s="94">
        <f ca="1">F44</f>
        <v>477</v>
      </c>
      <c r="C44" s="101"/>
      <c r="E44" s="102"/>
      <c r="F44" s="94">
        <f ca="1">Military!AA52</f>
        <v>477</v>
      </c>
      <c r="H44" s="94">
        <f ca="1">F44*(1+$G$39)</f>
        <v>477</v>
      </c>
      <c r="I44" s="89" t="s">
        <v>418</v>
      </c>
      <c r="J44" s="44"/>
      <c r="K44" s="469"/>
      <c r="L44" s="508" t="s">
        <v>445</v>
      </c>
      <c r="M44" s="508"/>
      <c r="N44" s="508"/>
      <c r="O44" s="509"/>
      <c r="R44" s="472"/>
      <c r="S44" s="472"/>
      <c r="T44" s="472"/>
      <c r="U44" s="472"/>
    </row>
    <row r="45" spans="1:21" ht="13.5" thickBot="1" x14ac:dyDescent="0.25">
      <c r="A45" s="101" t="s">
        <v>417</v>
      </c>
      <c r="B45" s="45">
        <f ca="1">E57</f>
        <v>0</v>
      </c>
      <c r="C45" s="101"/>
      <c r="E45" s="102"/>
      <c r="F45" s="103">
        <f ca="1">MIN(Population!C76/2,Constants!B14*20*Construction!BE76)</f>
        <v>0</v>
      </c>
      <c r="H45" s="104">
        <f ca="1">F45*(1+$G$39)</f>
        <v>0</v>
      </c>
      <c r="I45" s="89" t="s">
        <v>376</v>
      </c>
      <c r="J45" s="44"/>
      <c r="K45" s="469"/>
      <c r="L45" s="508"/>
      <c r="M45" s="508"/>
      <c r="N45" s="508"/>
      <c r="O45" s="509"/>
      <c r="R45" s="471"/>
      <c r="S45" s="471"/>
      <c r="T45" s="471"/>
      <c r="U45" s="471"/>
    </row>
    <row r="46" spans="1:21" ht="13.5" thickTop="1" x14ac:dyDescent="0.2">
      <c r="C46" s="101"/>
      <c r="E46" s="102"/>
      <c r="F46" s="35">
        <f ca="1">F44+F43+F45</f>
        <v>477</v>
      </c>
      <c r="H46" s="100">
        <f ca="1">H44+H43+H45</f>
        <v>477</v>
      </c>
      <c r="I46" s="89"/>
      <c r="J46" s="44"/>
      <c r="K46" s="469"/>
      <c r="L46" s="508"/>
      <c r="M46" s="508"/>
      <c r="N46" s="508"/>
      <c r="O46" s="509"/>
      <c r="R46" s="471"/>
      <c r="S46" s="471"/>
      <c r="T46" s="471"/>
      <c r="U46" s="471"/>
    </row>
    <row r="47" spans="1:21" x14ac:dyDescent="0.2">
      <c r="A47" s="44"/>
      <c r="B47" s="44"/>
      <c r="C47" s="44"/>
      <c r="D47" s="485"/>
      <c r="E47" s="485"/>
      <c r="F47" s="485"/>
      <c r="G47" s="485"/>
      <c r="H47" s="485"/>
      <c r="I47" s="44"/>
      <c r="J47" s="44"/>
      <c r="K47" s="44"/>
      <c r="L47" s="44"/>
      <c r="M47" s="44"/>
      <c r="N47" s="44"/>
      <c r="O47" s="51"/>
      <c r="R47" s="471"/>
      <c r="S47" s="471"/>
      <c r="T47" s="471"/>
      <c r="U47" s="471"/>
    </row>
    <row r="48" spans="1:21" x14ac:dyDescent="0.2">
      <c r="A48" s="105" t="str">
        <f>A26</f>
        <v>Spy</v>
      </c>
      <c r="B48" s="402">
        <f ca="1">Military!I52</f>
        <v>0</v>
      </c>
      <c r="D48" s="44"/>
      <c r="E48" s="44"/>
      <c r="F48" s="44"/>
      <c r="G48" s="44"/>
      <c r="I48" s="44"/>
      <c r="J48" s="44"/>
      <c r="K48" s="44"/>
      <c r="L48" s="50" t="s">
        <v>425</v>
      </c>
      <c r="M48" s="44"/>
      <c r="N48" s="44"/>
      <c r="O48" s="51"/>
    </row>
    <row r="49" spans="1:15" x14ac:dyDescent="0.2">
      <c r="A49" s="467" t="s">
        <v>1133</v>
      </c>
      <c r="B49" s="415">
        <f ca="1">Military!J52</f>
        <v>0</v>
      </c>
      <c r="C49" s="44"/>
      <c r="D49" s="5" t="s">
        <v>252</v>
      </c>
      <c r="E49" s="57" t="s">
        <v>353</v>
      </c>
      <c r="F49" s="45" t="s">
        <v>1005</v>
      </c>
      <c r="G49" s="44"/>
      <c r="H49" s="50" t="s">
        <v>254</v>
      </c>
      <c r="I49" s="44"/>
      <c r="J49" s="44"/>
      <c r="K49" s="44"/>
      <c r="L49" s="486" t="s">
        <v>450</v>
      </c>
      <c r="M49" s="487"/>
      <c r="N49" s="487"/>
      <c r="O49" s="488"/>
    </row>
    <row r="50" spans="1:15" x14ac:dyDescent="0.2">
      <c r="A50" s="416" t="str">
        <f>A28</f>
        <v>Wizard</v>
      </c>
      <c r="B50" s="417">
        <f ca="1">Military!K52</f>
        <v>0</v>
      </c>
      <c r="C50" s="44"/>
      <c r="D50" s="47" t="s">
        <v>1</v>
      </c>
      <c r="E50" s="466">
        <f ca="1">Construction!BT52</f>
        <v>50</v>
      </c>
      <c r="F50" s="106">
        <v>1</v>
      </c>
      <c r="G50" s="44"/>
      <c r="H50" s="45" t="s">
        <v>255</v>
      </c>
      <c r="I50" s="107" t="s">
        <v>188</v>
      </c>
      <c r="J50" s="57" t="s">
        <v>227</v>
      </c>
      <c r="K50" s="44"/>
      <c r="L50" s="487"/>
      <c r="M50" s="487"/>
      <c r="N50" s="487"/>
      <c r="O50" s="488"/>
    </row>
    <row r="51" spans="1:15" x14ac:dyDescent="0.2">
      <c r="A51" s="112" t="str">
        <f>A29</f>
        <v>Archmage</v>
      </c>
      <c r="B51" s="403">
        <f ca="1">Military!L52</f>
        <v>0</v>
      </c>
      <c r="C51" s="44"/>
      <c r="D51" s="108" t="str">
        <f>Construction!AY3</f>
        <v>Tot Hom</v>
      </c>
      <c r="E51" s="109">
        <f ca="1">Construction!AY52</f>
        <v>0</v>
      </c>
      <c r="F51" s="110">
        <f ca="1">E51/$E$50</f>
        <v>0</v>
      </c>
      <c r="G51" s="44"/>
      <c r="H51" s="45" t="s">
        <v>249</v>
      </c>
      <c r="I51" s="111">
        <f ca="1">C43/E50</f>
        <v>0</v>
      </c>
      <c r="J51" s="111">
        <f ca="1">E43/E50</f>
        <v>0</v>
      </c>
      <c r="K51" s="44"/>
      <c r="L51" s="487"/>
      <c r="M51" s="487"/>
      <c r="N51" s="487"/>
      <c r="O51" s="488"/>
    </row>
    <row r="52" spans="1:15" x14ac:dyDescent="0.2">
      <c r="A52" s="44"/>
      <c r="B52" s="44"/>
      <c r="C52" s="44"/>
      <c r="D52" s="108" t="str">
        <f>Construction!AZ3</f>
        <v>Tot Alc</v>
      </c>
      <c r="E52" s="45">
        <f ca="1">Construction!AZ52</f>
        <v>0</v>
      </c>
      <c r="F52" s="110">
        <f ca="1">E52/$E$50</f>
        <v>0</v>
      </c>
      <c r="G52" s="44"/>
      <c r="H52" s="45" t="s">
        <v>250</v>
      </c>
      <c r="I52" s="111">
        <f ca="1">F43/E50</f>
        <v>0</v>
      </c>
      <c r="J52" s="111">
        <f ca="1">H43/E50</f>
        <v>0</v>
      </c>
      <c r="K52" s="44"/>
      <c r="L52" s="487"/>
      <c r="M52" s="487"/>
      <c r="N52" s="487"/>
      <c r="O52" s="488"/>
    </row>
    <row r="53" spans="1:15" x14ac:dyDescent="0.2">
      <c r="A53" s="105" t="s">
        <v>266</v>
      </c>
      <c r="B53" s="402">
        <f ca="1">_xlfn.FLOOR.MATH(Production!N52)*(boat_size + tech_6_3_3*Techs!BH76)</f>
        <v>0</v>
      </c>
      <c r="C53" s="44"/>
      <c r="D53" s="108" t="str">
        <f>Construction!BA3</f>
        <v>Tot Farm</v>
      </c>
      <c r="E53" s="45">
        <f ca="1">Construction!BA52</f>
        <v>30</v>
      </c>
      <c r="F53" s="110">
        <f ca="1">E53/$E$50</f>
        <v>0.6</v>
      </c>
      <c r="G53" s="44"/>
      <c r="H53" s="45" t="s">
        <v>251</v>
      </c>
      <c r="I53" s="111">
        <f ca="1">(B48 + B49*2 + B41*D94*E94 + B41*D95*E95)/E50</f>
        <v>0</v>
      </c>
      <c r="J53" s="111">
        <f ca="1">I53*(1+I27)</f>
        <v>0</v>
      </c>
      <c r="K53" s="44"/>
      <c r="L53" s="487"/>
      <c r="M53" s="487"/>
      <c r="N53" s="487"/>
      <c r="O53" s="488"/>
    </row>
    <row r="54" spans="1:15" x14ac:dyDescent="0.2">
      <c r="A54" s="112" t="s">
        <v>374</v>
      </c>
      <c r="B54" s="403">
        <f>SUM(Imps!M4:'Imps'!M52)</f>
        <v>0</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7"/>
      <c r="M54" s="487"/>
      <c r="N54" s="487"/>
      <c r="O54" s="488"/>
    </row>
    <row r="55" spans="1:15" x14ac:dyDescent="0.2">
      <c r="C55" s="44"/>
      <c r="D55" s="108" t="str">
        <f>Construction!BC3</f>
        <v>Tot Mas</v>
      </c>
      <c r="E55" s="45">
        <f ca="1">Construction!BC52</f>
        <v>0</v>
      </c>
      <c r="F55" s="110">
        <f t="shared" ca="1" si="0"/>
        <v>0</v>
      </c>
      <c r="G55" s="44"/>
      <c r="H55" s="44"/>
      <c r="I55" s="44"/>
      <c r="J55" s="44"/>
      <c r="K55" s="44"/>
      <c r="L55" s="210"/>
      <c r="M55" s="470"/>
      <c r="N55" s="210"/>
      <c r="O55" s="51"/>
    </row>
    <row r="56" spans="1:15" x14ac:dyDescent="0.2">
      <c r="A56" s="113" t="s">
        <v>1</v>
      </c>
      <c r="B56" s="399">
        <f ca="1">E50</f>
        <v>50</v>
      </c>
      <c r="C56" s="44"/>
      <c r="D56" s="108" t="str">
        <f>Construction!BD3</f>
        <v>Tot Ly</v>
      </c>
      <c r="E56" s="45">
        <f ca="1">Construction!BD52</f>
        <v>20</v>
      </c>
      <c r="F56" s="110">
        <f t="shared" ca="1" si="0"/>
        <v>0.4</v>
      </c>
      <c r="G56" s="44"/>
      <c r="H56" s="50" t="s">
        <v>2</v>
      </c>
      <c r="I56" s="44"/>
      <c r="J56" s="44"/>
      <c r="K56" s="44"/>
      <c r="L56" s="210"/>
      <c r="M56" s="470"/>
      <c r="N56" s="210"/>
      <c r="O56" s="51"/>
    </row>
    <row r="57" spans="1:15" x14ac:dyDescent="0.2">
      <c r="A57" s="114" t="s">
        <v>21</v>
      </c>
      <c r="B57" s="400">
        <f ca="1">Population!C52</f>
        <v>292</v>
      </c>
      <c r="C57" s="44"/>
      <c r="D57" s="108" t="str">
        <f>Construction!BE3</f>
        <v>Tot Hav</v>
      </c>
      <c r="E57" s="45">
        <f ca="1">Construction!BE52</f>
        <v>0</v>
      </c>
      <c r="F57" s="110">
        <f t="shared" ca="1" si="0"/>
        <v>0</v>
      </c>
      <c r="G57" s="44"/>
      <c r="H57" s="45" t="s">
        <v>0</v>
      </c>
      <c r="I57" s="101" t="s">
        <v>216</v>
      </c>
      <c r="J57" s="45" t="s">
        <v>382</v>
      </c>
      <c r="K57" s="44"/>
      <c r="L57" s="210"/>
      <c r="M57" s="470"/>
      <c r="N57" s="210"/>
      <c r="O57" s="51"/>
    </row>
    <row r="58" spans="1:15" x14ac:dyDescent="0.2">
      <c r="A58" s="115" t="s">
        <v>24</v>
      </c>
      <c r="B58" s="401">
        <f ca="1">B44</f>
        <v>477</v>
      </c>
      <c r="C58" s="44"/>
      <c r="D58" s="108" t="str">
        <f>Construction!BF3</f>
        <v>Tot OM</v>
      </c>
      <c r="E58" s="45">
        <f ca="1">Construction!BF52</f>
        <v>0</v>
      </c>
      <c r="F58" s="110">
        <f t="shared" ca="1" si="0"/>
        <v>0</v>
      </c>
      <c r="G58" s="44"/>
      <c r="H58" s="116">
        <v>37</v>
      </c>
      <c r="I58" s="61">
        <f ca="1">Production!H40</f>
        <v>158460</v>
      </c>
      <c r="J58" s="61">
        <f ca="1">Production!H40+SUM(Military!AS4:AS40)</f>
        <v>158460</v>
      </c>
      <c r="K58" s="44"/>
      <c r="L58" s="210"/>
      <c r="M58" s="470"/>
      <c r="N58" s="210"/>
      <c r="O58" s="51"/>
    </row>
    <row r="59" spans="1:15" x14ac:dyDescent="0.2">
      <c r="A59" s="114" t="s">
        <v>230</v>
      </c>
      <c r="B59" s="400">
        <f ca="1">Production!G52</f>
        <v>1250</v>
      </c>
      <c r="C59" s="44"/>
      <c r="D59" s="108" t="str">
        <f>Construction!BG3</f>
        <v>Tot GN</v>
      </c>
      <c r="E59" s="45">
        <f ca="1">Construction!BG52</f>
        <v>0</v>
      </c>
      <c r="F59" s="110">
        <f t="shared" ca="1" si="0"/>
        <v>0</v>
      </c>
      <c r="G59" s="44"/>
      <c r="H59" s="116">
        <v>40</v>
      </c>
      <c r="I59" s="61">
        <f ca="1">Production!H43</f>
        <v>161091</v>
      </c>
      <c r="J59" s="61">
        <f ca="1">Production!H43+SUM(Military!AS5:AS43)</f>
        <v>161091</v>
      </c>
      <c r="K59" s="117"/>
      <c r="L59" s="210"/>
      <c r="M59" s="470"/>
      <c r="N59" s="210"/>
      <c r="O59" s="51"/>
    </row>
    <row r="60" spans="1:15" x14ac:dyDescent="0.2">
      <c r="A60" s="115" t="s">
        <v>265</v>
      </c>
      <c r="B60" s="401">
        <f ca="1">H43</f>
        <v>0</v>
      </c>
      <c r="C60" s="44"/>
      <c r="D60" s="108" t="str">
        <f>Construction!BJ3</f>
        <v>Tot Bar</v>
      </c>
      <c r="E60" s="45">
        <f ca="1">Construction!BJ52</f>
        <v>0</v>
      </c>
      <c r="F60" s="110">
        <f t="shared" ca="1" si="0"/>
        <v>0</v>
      </c>
      <c r="G60" s="44"/>
      <c r="H60" s="116" t="s">
        <v>229</v>
      </c>
      <c r="I60" s="61">
        <f ca="1">Production!H52</f>
        <v>168547</v>
      </c>
      <c r="J60" s="61">
        <f ca="1">Production!H52+SUM(Military!AS4:AS52)</f>
        <v>168547</v>
      </c>
      <c r="K60" s="117"/>
      <c r="L60" s="210"/>
      <c r="M60" s="470"/>
      <c r="N60" s="210"/>
      <c r="O60" s="51"/>
    </row>
    <row r="61" spans="1:15" x14ac:dyDescent="0.2">
      <c r="A61" s="114" t="s">
        <v>264</v>
      </c>
      <c r="B61" s="400">
        <f ca="1">E43</f>
        <v>0</v>
      </c>
      <c r="C61" s="44"/>
      <c r="D61" s="108" t="str">
        <f>Construction!BH3</f>
        <v>Tot Fac</v>
      </c>
      <c r="E61" s="45">
        <f ca="1">Construction!BH52</f>
        <v>0</v>
      </c>
      <c r="F61" s="110">
        <f t="shared" ca="1" si="0"/>
        <v>0</v>
      </c>
      <c r="G61" s="44"/>
      <c r="H61" s="44"/>
      <c r="I61" s="44"/>
      <c r="J61" s="44"/>
      <c r="K61" s="117"/>
      <c r="L61" s="210"/>
      <c r="M61" s="470"/>
      <c r="N61" s="210"/>
      <c r="O61" s="51"/>
    </row>
    <row r="62" spans="1:15" x14ac:dyDescent="0.2">
      <c r="A62" s="115" t="s">
        <v>6</v>
      </c>
      <c r="B62" s="401">
        <f ca="1">Production!S52</f>
        <v>788</v>
      </c>
      <c r="C62" s="44"/>
      <c r="D62" s="108" t="str">
        <f>Construction!BI3</f>
        <v>Tot GT</v>
      </c>
      <c r="E62" s="45">
        <f ca="1">Construction!BI52</f>
        <v>0</v>
      </c>
      <c r="F62" s="110">
        <f t="shared" ca="1" si="0"/>
        <v>0</v>
      </c>
      <c r="G62" s="44"/>
      <c r="H62" s="50" t="s">
        <v>275</v>
      </c>
      <c r="I62" s="44"/>
      <c r="J62" s="44"/>
      <c r="K62" s="44"/>
      <c r="L62" s="210"/>
      <c r="M62" s="470"/>
      <c r="N62" s="210"/>
      <c r="O62" s="51"/>
    </row>
    <row r="63" spans="1:15" x14ac:dyDescent="0.2">
      <c r="A63" s="114" t="s">
        <v>2</v>
      </c>
      <c r="B63" s="400">
        <f ca="1">Production!H$52</f>
        <v>168547</v>
      </c>
      <c r="C63" s="44"/>
      <c r="D63" s="108" t="str">
        <f>Construction!BK3</f>
        <v>Tot Shr</v>
      </c>
      <c r="E63" s="45">
        <f ca="1">Construction!BK52</f>
        <v>0</v>
      </c>
      <c r="F63" s="110">
        <f t="shared" ca="1" si="0"/>
        <v>0</v>
      </c>
      <c r="G63" s="44"/>
      <c r="H63" s="45" t="s">
        <v>276</v>
      </c>
      <c r="I63" s="92" t="s">
        <v>216</v>
      </c>
      <c r="J63" s="118" t="s">
        <v>381</v>
      </c>
      <c r="K63" s="44"/>
      <c r="L63" s="210"/>
      <c r="M63" s="470"/>
      <c r="N63" s="210"/>
      <c r="O63" s="51"/>
    </row>
    <row r="64" spans="1:15" x14ac:dyDescent="0.2">
      <c r="A64" s="115" t="s">
        <v>5</v>
      </c>
      <c r="B64" s="401">
        <f ca="1">Production!I$52</f>
        <v>100641</v>
      </c>
      <c r="C64" s="44"/>
      <c r="D64" s="108" t="str">
        <f>Construction!BL3</f>
        <v>Tot Tow</v>
      </c>
      <c r="E64" s="45">
        <f ca="1">Construction!BL52</f>
        <v>0</v>
      </c>
      <c r="F64" s="110">
        <f t="shared" ca="1" si="0"/>
        <v>0</v>
      </c>
      <c r="G64" s="44"/>
      <c r="H64" s="45" t="s">
        <v>277</v>
      </c>
      <c r="I64" s="94">
        <f ca="1">SUM(Construction!AQ4:AQ52)</f>
        <v>0</v>
      </c>
      <c r="J64" s="118">
        <f ca="1">IFERROR(Table18[[#This Row],[Amount]]/Table18[[#Totals],[Amount]],0)</f>
        <v>0</v>
      </c>
      <c r="K64" s="44"/>
      <c r="L64" s="210"/>
      <c r="M64" s="470"/>
      <c r="N64" s="210"/>
      <c r="O64" s="51"/>
    </row>
    <row r="65" spans="1:15" x14ac:dyDescent="0.2">
      <c r="A65" s="114" t="s">
        <v>7</v>
      </c>
      <c r="B65" s="400">
        <f ca="1">Production!J$52</f>
        <v>47529</v>
      </c>
      <c r="C65" s="44"/>
      <c r="D65" s="108" t="str">
        <f>Construction!BM3</f>
        <v>Tot Tem</v>
      </c>
      <c r="E65" s="45">
        <f ca="1">Construction!BM52</f>
        <v>0</v>
      </c>
      <c r="F65" s="110">
        <f t="shared" ca="1" si="0"/>
        <v>0</v>
      </c>
      <c r="G65" s="44"/>
      <c r="H65" s="45" t="s">
        <v>278</v>
      </c>
      <c r="I65" s="94">
        <f ca="1">SUM(Explore!AH4:AH52)</f>
        <v>0</v>
      </c>
      <c r="J65" s="118">
        <f ca="1">IFERROR(Table18[[#This Row],[Amount]]/Table18[[#Totals],[Amount]],0)</f>
        <v>0</v>
      </c>
      <c r="K65" s="44"/>
      <c r="L65" s="210"/>
      <c r="M65" s="470"/>
      <c r="N65" s="210"/>
      <c r="O65" s="51"/>
    </row>
    <row r="66" spans="1:15" x14ac:dyDescent="0.2">
      <c r="A66" s="115" t="s">
        <v>12</v>
      </c>
      <c r="B66" s="401">
        <f ca="1">Production!K$52</f>
        <v>0</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70"/>
      <c r="N66" s="210"/>
      <c r="O66" s="51"/>
    </row>
    <row r="67" spans="1:15" x14ac:dyDescent="0.2">
      <c r="A67" s="114" t="s">
        <v>3</v>
      </c>
      <c r="B67" s="400">
        <f ca="1">Production!L$52</f>
        <v>0</v>
      </c>
      <c r="C67" s="44"/>
      <c r="D67" s="108" t="str">
        <f>Construction!BO3</f>
        <v>Tot DM</v>
      </c>
      <c r="E67" s="45">
        <f ca="1">Construction!BO52</f>
        <v>0</v>
      </c>
      <c r="F67" s="110">
        <f t="shared" ca="1" si="0"/>
        <v>0</v>
      </c>
      <c r="G67" s="44"/>
      <c r="H67" s="45" t="s">
        <v>190</v>
      </c>
      <c r="I67" s="94">
        <f ca="1">SUM(Rezone!Y4:Y52)</f>
        <v>0</v>
      </c>
      <c r="J67" s="118">
        <f ca="1">IFERROR(Table18[[#This Row],[Amount]]/Table18[[#Totals],[Amount]],0)</f>
        <v>0</v>
      </c>
      <c r="K67" s="44"/>
      <c r="L67" s="210"/>
      <c r="M67" s="470"/>
      <c r="N67" s="210"/>
      <c r="O67" s="51"/>
    </row>
    <row r="68" spans="1:15" x14ac:dyDescent="0.2">
      <c r="A68" s="115" t="s">
        <v>4</v>
      </c>
      <c r="B68" s="401">
        <f ca="1">Production!M$52</f>
        <v>0</v>
      </c>
      <c r="C68" s="44"/>
      <c r="D68" s="108" t="str">
        <f>Construction!BP3</f>
        <v>Tot Sch</v>
      </c>
      <c r="E68" s="45">
        <f ca="1">Construction!BP52</f>
        <v>0</v>
      </c>
      <c r="F68" s="110">
        <f t="shared" ca="1" si="0"/>
        <v>0</v>
      </c>
      <c r="G68" s="44"/>
      <c r="H68" s="45" t="s">
        <v>279</v>
      </c>
      <c r="I68" s="94">
        <f>SUM(Imps!AM4:AM52)</f>
        <v>0</v>
      </c>
      <c r="J68" s="118">
        <f ca="1">IFERROR(Table18[[#This Row],[Amount]]/Table18[[#Totals],[Amount]],0)</f>
        <v>0</v>
      </c>
      <c r="K68" s="44"/>
      <c r="L68" s="210"/>
      <c r="M68" s="470"/>
      <c r="N68" s="210"/>
      <c r="O68" s="51"/>
    </row>
    <row r="69" spans="1:15" x14ac:dyDescent="0.2">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Construction!DG52</f>
        <v>30</v>
      </c>
      <c r="F70" s="120">
        <f ca="1">E70/E50</f>
        <v>0.6</v>
      </c>
      <c r="G70" s="44"/>
      <c r="I70" s="44"/>
      <c r="K70" s="44"/>
      <c r="L70" s="44"/>
      <c r="M70" s="44"/>
      <c r="N70" s="44"/>
      <c r="O70" s="51"/>
    </row>
    <row r="71" spans="1:15" x14ac:dyDescent="0.2">
      <c r="A71" s="114" t="s">
        <v>274</v>
      </c>
      <c r="B71" s="400">
        <f>Construction!D52</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3" t="s">
        <v>286</v>
      </c>
      <c r="B76" s="484"/>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1120</v>
      </c>
      <c r="C79" s="128"/>
      <c r="D79" s="128">
        <f ca="1">IF(Constants!F119="none",$F$70/Constants!C119,MIN(Constants!F119,$F$70/Constants!C119))</f>
        <v>2</v>
      </c>
      <c r="E79" s="124" t="b">
        <f>$B$14=A79</f>
        <v>0</v>
      </c>
    </row>
    <row r="80" spans="1:15" x14ac:dyDescent="0.2">
      <c r="A80" s="124"/>
      <c r="B80" s="124" t="s">
        <v>125</v>
      </c>
      <c r="C80" s="128">
        <f ca="1">IF(Constants!F120="none",$F$70/Constants!C120,MIN(Constants!F120,$F$70/Constants!C120))</f>
        <v>2</v>
      </c>
      <c r="D80" s="128">
        <f ca="1">IF(Constants!F121="none",$F$70/Constants!C121,MIN(Constants!F121,$F$70/Constants!C121))</f>
        <v>2</v>
      </c>
      <c r="E80" s="124"/>
    </row>
    <row r="81" spans="1:5" x14ac:dyDescent="0.2">
      <c r="A81" s="124" t="s">
        <v>96</v>
      </c>
      <c r="B81" s="124" t="s">
        <v>139</v>
      </c>
      <c r="C81" s="128"/>
      <c r="D81" s="128">
        <f ca="1">MIN(Constants!F122,$F$70/Constants!C122)</f>
        <v>2.9999999999999996</v>
      </c>
      <c r="E81" s="124" t="b">
        <f>$B$14=A81</f>
        <v>0</v>
      </c>
    </row>
    <row r="82" spans="1:5" x14ac:dyDescent="0.2">
      <c r="A82" s="124" t="s">
        <v>94</v>
      </c>
      <c r="B82" s="124" t="s">
        <v>132</v>
      </c>
      <c r="C82" s="128"/>
      <c r="D82" s="128">
        <f ca="1">MIN(Constants!F123,$F$70/Constants!C123)</f>
        <v>2</v>
      </c>
      <c r="E82" s="124" t="b">
        <f>$B$14=A82</f>
        <v>0</v>
      </c>
    </row>
    <row r="83" spans="1:5" x14ac:dyDescent="0.2">
      <c r="A83" s="124" t="s">
        <v>99</v>
      </c>
      <c r="B83" s="124" t="s">
        <v>147</v>
      </c>
      <c r="C83" s="128">
        <f ca="1">MIN(Constants!F124,F66/Constants!C124)</f>
        <v>0</v>
      </c>
      <c r="D83" s="128">
        <f ca="1">MIN(Constants!F125,F66/Constants!C125)</f>
        <v>0</v>
      </c>
      <c r="E83" s="124" t="b">
        <f>$B$14=A83</f>
        <v>0</v>
      </c>
    </row>
    <row r="84" spans="1:5" x14ac:dyDescent="0.2">
      <c r="A84" s="124" t="s">
        <v>328</v>
      </c>
      <c r="B84" s="124" t="s">
        <v>331</v>
      </c>
      <c r="C84" s="124"/>
      <c r="D84" s="128">
        <f ca="1">MIN(Constants!F126,F70/Constants!C126)</f>
        <v>2.9999999999999996</v>
      </c>
      <c r="E84" s="124" t="b">
        <f>$B$14=A84</f>
        <v>0</v>
      </c>
    </row>
    <row r="85" spans="1:5" x14ac:dyDescent="0.2">
      <c r="A85" s="124"/>
      <c r="B85" s="124" t="s">
        <v>332</v>
      </c>
      <c r="C85" s="124">
        <f ca="1">MIN(Constants!F127,I54*Constants!C127)</f>
        <v>0</v>
      </c>
      <c r="D85" s="124"/>
      <c r="E85" s="124"/>
    </row>
    <row r="86" spans="1:5" x14ac:dyDescent="0.2">
      <c r="A86" s="124" t="s">
        <v>143</v>
      </c>
      <c r="B86" s="124" t="s">
        <v>373</v>
      </c>
      <c r="C86" s="124"/>
      <c r="D86" s="128">
        <f>MIN(Constants!F128,250/Constants!C128)</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1123</v>
      </c>
      <c r="B89" s="124" t="s">
        <v>1130</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1123</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2" priority="7" stopIfTrue="1">
      <formula>$D$47&lt;&gt;""</formula>
    </cfRule>
  </conditionalFormatting>
  <conditionalFormatting sqref="E18">
    <cfRule type="cellIs" dxfId="961" priority="8" stopIfTrue="1" operator="equal">
      <formula>"""Yes"""</formula>
    </cfRule>
    <cfRule type="expression" dxfId="960" priority="9" stopIfTrue="1">
      <formula>ISERROR(E18)</formula>
    </cfRule>
  </conditionalFormatting>
  <conditionalFormatting sqref="E17">
    <cfRule type="cellIs" dxfId="959" priority="10" stopIfTrue="1" operator="lessThan">
      <formula>1</formula>
    </cfRule>
  </conditionalFormatting>
  <conditionalFormatting sqref="A30">
    <cfRule type="expression" dxfId="958" priority="5">
      <formula>$B$14&lt;&gt;"Dark Elf"</formula>
    </cfRule>
    <cfRule type="expression" dxfId="957" priority="6">
      <formula>$B$14="Dark Elf"</formula>
    </cfRule>
  </conditionalFormatting>
  <conditionalFormatting sqref="M69">
    <cfRule type="cellIs" dxfId="956" priority="3" operator="lessThan">
      <formula>$M$50</formula>
    </cfRule>
    <cfRule type="cellIs" dxfId="955" priority="4" operator="greaterThan">
      <formula>$M$50</formula>
    </cfRule>
  </conditionalFormatting>
  <conditionalFormatting sqref="L35">
    <cfRule type="expression" dxfId="954" priority="1">
      <formula>$L$35&lt;&gt;start_acres</formula>
    </cfRule>
    <cfRule type="expression" dxfId="953"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2" t="s">
        <v>23</v>
      </c>
      <c r="D1" s="532"/>
      <c r="E1" s="532"/>
      <c r="F1" s="532"/>
      <c r="G1" s="532"/>
      <c r="H1" s="532"/>
      <c r="I1" s="532"/>
      <c r="J1" s="28"/>
      <c r="K1" s="28"/>
      <c r="L1" s="532" t="s">
        <v>22</v>
      </c>
      <c r="M1" s="532"/>
      <c r="N1" s="532"/>
      <c r="O1" s="532"/>
      <c r="P1" s="532"/>
      <c r="Q1" s="532"/>
      <c r="R1" s="532"/>
      <c r="S1" s="532"/>
      <c r="U1" s="532" t="s">
        <v>163</v>
      </c>
      <c r="V1" s="533"/>
      <c r="W1" s="532" t="s">
        <v>167</v>
      </c>
      <c r="X1" s="532"/>
      <c r="Y1" s="532"/>
      <c r="Z1" s="532"/>
      <c r="AA1" s="532" t="s">
        <v>172</v>
      </c>
      <c r="AB1" s="533"/>
      <c r="AC1" s="533"/>
      <c r="AD1" s="533"/>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765</v>
      </c>
      <c r="L3" s="135" t="s">
        <v>1006</v>
      </c>
      <c r="M3" s="135" t="s">
        <v>761</v>
      </c>
      <c r="N3" s="135" t="s">
        <v>762</v>
      </c>
      <c r="O3" s="135" t="s">
        <v>763</v>
      </c>
      <c r="P3" s="135" t="s">
        <v>764</v>
      </c>
      <c r="Q3" s="135" t="s">
        <v>25</v>
      </c>
      <c r="R3" s="135" t="s">
        <v>26</v>
      </c>
      <c r="S3" s="135" t="s">
        <v>182</v>
      </c>
      <c r="T3" s="135" t="s">
        <v>766</v>
      </c>
      <c r="U3" s="135" t="s">
        <v>226</v>
      </c>
      <c r="V3" s="135" t="s">
        <v>174</v>
      </c>
      <c r="W3" s="135" t="s">
        <v>173</v>
      </c>
      <c r="X3" s="135" t="s">
        <v>232</v>
      </c>
      <c r="Y3" s="135" t="s">
        <v>225</v>
      </c>
      <c r="Z3" s="135" t="s">
        <v>1023</v>
      </c>
      <c r="AA3" s="135" t="s">
        <v>768</v>
      </c>
      <c r="AB3" s="135" t="s">
        <v>167</v>
      </c>
      <c r="AC3" s="135" t="s">
        <v>171</v>
      </c>
    </row>
    <row r="4" spans="1:30" x14ac:dyDescent="0.2">
      <c r="A4" s="137">
        <f>TblRezone[[#This Row],[Hour]]</f>
        <v>1</v>
      </c>
      <c r="B4" s="138">
        <f>TblImps[[#This Row],[Time]]</f>
        <v>46180</v>
      </c>
      <c r="C4" s="378">
        <f ca="1">start_peasants</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DnD]]&gt;6),1.5,1),0)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46180.041666666664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DnD]]&gt;6),1.5,1),0)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46180.083333333328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DnD]]&gt;6),1.5,1),0)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46180.124999999993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DnD]]&gt;6),1.5,1),0)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46180.166666666657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DnD]]&gt;6),1.5,1),0)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46180.208333333321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DnD]]&gt;6),1.5,1),0)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46180.249999999985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DnD]]&gt;6),1.5,1),0)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46180.29166666665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DnD]]&gt;6),1.5,1),0)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46180.333333333314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DnD]]&gt;6),1.5,1),0)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46180.374999999978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DnD]]&gt;6),1.5,1),0)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46180.416666666642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DnD]]&gt;6),1.5,1),0)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46180.458333333307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DnD]]&gt;6),1.5,1),0)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46180.499999999971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DnD]]&gt;6),1.5,1),0)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46180.541666666635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DnD]]&gt;6),1.5,1),0)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46180.583333333299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DnD]]&gt;6),1.5,1),0)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46180.624999999964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DnD]]&gt;6),1.5,1),0)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46180.666666666628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DnD]]&gt;6),1.5,1),0)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46180.708333333292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DnD]]&gt;6),1.5,1),0)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46180.749999999956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DnD]]&gt;6),1.5,1),0)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46180.791666666621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DnD]]&gt;6),1.5,1),0)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46180.833333333285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DnD]]&gt;6),1.5,1),0)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46180.874999999949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DnD]]&gt;6),1.5,1),0)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46180.916666666613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DnD]]&gt;6),1.5,1),0)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46180.958333333278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DnD]]&gt;6),1.5,1),0)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46180.999999999942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DnD]]&gt;6),1.5,1),0)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46181.041666666606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DnD]]&gt;6),1.5,1),0)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46181.08333333327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DnD]]&gt;6),1.5,1),0)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46181.124999999935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DnD]]&gt;6),1.5,1),0)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46181.166666666599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DnD]]&gt;6),1.5,1),0)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46181.208333333263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DnD]]&gt;6),1.5,1),0)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46181.249999999927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DnD]]&gt;6),1.5,1),0)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46181.291666666591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DnD]]&gt;6),1.5,1),0)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46181.333333333256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DnD]]&gt;6),1.5,1),0)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46181.37499999992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DnD]]&gt;6),1.5,1),0)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46181.416666666584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DnD]]&gt;6),1.5,1),0)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46181.458333333248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DnD]]&gt;6),1.5,1),0)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46181.499999999913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DnD]]&gt;6),1.5,1),0)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46181.541666666577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DnD]]&gt;6),1.5,1),0)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46181.583333333241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DnD]]&gt;6),1.5,1),0)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46181.624999999905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DnD]]&gt;6),1.5,1),0)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46181.66666666657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DnD]]&gt;6),1.5,1),0)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46181.708333333234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DnD]]&gt;6),1.5,1),0)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46181.749999999898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DnD]]&gt;6),1.5,1),0)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46181.791666666562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DnD]]&gt;6),1.5,1),0)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46181.833333333227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DnD]]&gt;6),1.5,1),0)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46181.874999999891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DnD]]&gt;6),1.5,1),0)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46181.916666666555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DnD]]&gt;6),1.5,1),0)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46181.958333333219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DnD]]&gt;6),1.5,1),0)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46181.999999999884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DnD]]&gt;6),1.5,1),0)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46182.041666666548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DnD]]&gt;6),1.5,1),0)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46182.083333333212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DnD]]&gt;6),1.5,1),0)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46182.124999999876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DnD]]&gt;6),1.5,1),0)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46182.166666666541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DnD]]&gt;6),1.5,1),0)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46182.208333333205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DnD]]&gt;6),1.5,1),0)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46182.249999999869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DnD]]&gt;6),1.5,1),0)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46182.291666666533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DnD]]&gt;6),1.5,1),0)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46182.333333333198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DnD]]&gt;6),1.5,1),0)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46182.374999999862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DnD]]&gt;6),1.5,1),0)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46182.416666666526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DnD]]&gt;6),1.5,1),0)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46182.45833333319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DnD]]&gt;6),1.5,1),0)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46182.499999999854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DnD]]&gt;6),1.5,1),0)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46182.541666666519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DnD]]&gt;6),1.5,1),0)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46182.583333333183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DnD]]&gt;6),1.5,1),0)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46182.624999999847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DnD]]&gt;6),1.5,1),0)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46182.666666666511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DnD]]&gt;6),1.5,1),0)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46182.708333333176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DnD]]&gt;6),1.5,1),0)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46182.74999999984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DnD]]&gt;6),1.5,1),0)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46182.791666666504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DnD]]&gt;6),1.5,1),0)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46182.833333333168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DnD]]&gt;6),1.5,1),0)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46182.874999999833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DnD]]&gt;6),1.5,1),0)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46182.916666666497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DnD]]&gt;6),1.5,1),0)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46182.958333333161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DnD]]&gt;6),1.5,1),0)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46182.999999999825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DnD]]&gt;6),1.5,1),0)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46183.04166666649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DnD]]&gt;6),1.5,1),0)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46183.083333333154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DnD]]&gt;6),1.5,1),0)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46183.124999999818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DnD]]&gt;6),1.5,1),0)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46183.166666666482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DnD]]&gt;6),1.5,1),0)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46183.208333333147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DnD]]&gt;6),1.5,1),0)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46183.249999999811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DnD]]&gt;6),1.5,1),0)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46183.291666666475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DnD]]&gt;6),1.5,1),0)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46183.333333333139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DnD]]&gt;6),1.5,1),0)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46183.374999999804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DnD]]&gt;6),1.5,1),0)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46183.416666666468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DnD]]&gt;6),1.5,1),0)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46183.458333333132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DnD]]&gt;6),1.5,1),0)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46183.499999999796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DnD]]&gt;6),1.5,1),0)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46183.541666666461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DnD]]&gt;6),1.5,1),0)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46183.583333333125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DnD]]&gt;6),1.5,1),0)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46183.624999999789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DnD]]&gt;6),1.5,1),0)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46183.666666666453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DnD]]&gt;6),1.5,1),0)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46183.708333333117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DnD]]&gt;6),1.5,1),0)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46183.749999999782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DnD]]&gt;6),1.5,1),0)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46183.791666666446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DnD]]&gt;6),1.5,1),0)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46183.83333333311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DnD]]&gt;6),1.5,1),0)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46183.874999999774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DnD]]&gt;6),1.5,1),0)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46183.916666666439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DnD]]&gt;6),1.5,1),0)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46183.958333333103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DnD]]&gt;6),1.5,1),0)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46183.999999999767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DnD]]&gt;6),1.5,1),0)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46184.041666666431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DnD]]&gt;6),1.5,1),0)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46184.083333333096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DnD]]&gt;6),1.5,1),0)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46184.12499999976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DnD]]&gt;6),1.5,1),0)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46184.166666666424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DnD]]&gt;6),1.5,1),0)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46184.208333333088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DnD]]&gt;6),1.5,1),0)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46184.249999999753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DnD]]&gt;6),1.5,1),0)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46184.291666666417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DnD]]&gt;6),1.5,1),0)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46184.333333333081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DnD]]&gt;6),1.5,1),0)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46184.374999999745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DnD]]&gt;6),1.5,1),0)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46184.41666666641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DnD]]&gt;6),1.5,1),0)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46184.458333333074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DnD]]&gt;6),1.5,1),0)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46184.499999999738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DnD]]&gt;6),1.5,1),0)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46184.541666666402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DnD]]&gt;6),1.5,1),0)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46184.583333333067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DnD]]&gt;6),1.5,1),0)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46184.624999999731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DnD]]&gt;6),1.5,1),0)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46184.666666666395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DnD]]&gt;6),1.5,1),0)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46184.708333333059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DnD]]&gt;6),1.5,1),0)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46184.749999999724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DnD]]&gt;6),1.5,1),0)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46184.791666666388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DnD]]&gt;6),1.5,1),0)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46184.833333333052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DnD]]&gt;6),1.5,1),0)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46184.874999999716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DnD]]&gt;6),1.5,1),0)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46184.91666666638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DnD]]&gt;6),1.5,1),0)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46184.958333333045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DnD]]&gt;6),1.5,1),0)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46184.999999999709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DnD]]&gt;6),1.5,1),0)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46185.041666666373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DnD]]&gt;6),1.5,1),0)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46185.083333333037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DnD]]&gt;6),1.5,1),0)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46185.124999999702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DnD]]&gt;6),1.5,1),0)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46185.166666666366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DnD]]&gt;6),1.5,1),0)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46185.20833333303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DnD]]&gt;6),1.5,1),0)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46185.249999999694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DnD]]&gt;6),1.5,1),0)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46185.291666666359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DnD]]&gt;6),1.5,1),0)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46185.333333333023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DnD]]&gt;6),1.5,1),0)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46185.374999999687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DnD]]&gt;6),1.5,1),0)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46185.416666666351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DnD]]&gt;6),1.5,1),0)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46185.458333333016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DnD]]&gt;6),1.5,1),0)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46185.49999999968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DnD]]&gt;6),1.5,1),0)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1" t="s">
        <v>314</v>
      </c>
      <c r="D1269" s="487"/>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80" priority="1" stopIfTrue="1">
      <formula>OR(C4&lt;0,ROW()-3=$C$1270)</formula>
    </cfRule>
  </conditionalFormatting>
  <conditionalFormatting sqref="A1269:XFD1270">
    <cfRule type="expression" dxfId="879" priority="106" stopIfTrue="1">
      <formula>$C$1270&gt;144</formula>
    </cfRule>
  </conditionalFormatting>
  <conditionalFormatting sqref="A4:AC136">
    <cfRule type="expression" dxfId="878" priority="12" stopIfTrue="1">
      <formula>ROW()-3=$C$1270</formula>
    </cfRule>
    <cfRule type="expression" dxfId="877" priority="112">
      <formula>$A4=49</formula>
    </cfRule>
    <cfRule type="expression" dxfId="876" priority="113">
      <formula>ROUND(($A4-1)/12,0)=INT($A4-1)/12</formula>
    </cfRule>
  </conditionalFormatting>
  <conditionalFormatting sqref="A1:XFD3">
    <cfRule type="expression" dxfId="875"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4" t="s">
        <v>247</v>
      </c>
      <c r="T1" s="534"/>
      <c r="U1" s="534"/>
      <c r="AA1" s="534" t="s">
        <v>85</v>
      </c>
      <c r="AB1" s="534"/>
      <c r="AH1" s="534" t="s">
        <v>164</v>
      </c>
      <c r="AI1" s="534"/>
      <c r="AJ1" s="534"/>
      <c r="AK1" s="534"/>
      <c r="AL1" s="534"/>
      <c r="AM1" s="534"/>
      <c r="AO1" s="5" t="s">
        <v>19</v>
      </c>
      <c r="AT1" s="534" t="s">
        <v>184</v>
      </c>
      <c r="AU1" s="534"/>
      <c r="BC1" s="5" t="s">
        <v>419</v>
      </c>
      <c r="BI1" s="5" t="s">
        <v>17</v>
      </c>
    </row>
    <row r="2" spans="1:65" s="5" customFormat="1" x14ac:dyDescent="0.2">
      <c r="A2" s="28"/>
    </row>
    <row r="3" spans="1:65" s="151" customFormat="1" ht="25.5" x14ac:dyDescent="0.2">
      <c r="A3" s="135" t="s">
        <v>0</v>
      </c>
      <c r="B3" s="135" t="s">
        <v>309</v>
      </c>
      <c r="C3" s="135" t="s">
        <v>320</v>
      </c>
      <c r="D3" s="135" t="s">
        <v>765</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766</v>
      </c>
      <c r="S3" s="135" t="s">
        <v>6</v>
      </c>
      <c r="T3" s="135" t="s">
        <v>9</v>
      </c>
      <c r="U3" s="135" t="s">
        <v>8</v>
      </c>
      <c r="V3" s="135" t="s">
        <v>13</v>
      </c>
      <c r="W3" s="135" t="s">
        <v>10</v>
      </c>
      <c r="X3" s="135" t="s">
        <v>11</v>
      </c>
      <c r="Y3" s="135" t="s">
        <v>50</v>
      </c>
      <c r="Z3" s="135" t="s">
        <v>767</v>
      </c>
      <c r="AA3" s="135" t="s">
        <v>828</v>
      </c>
      <c r="AB3" s="135" t="s">
        <v>829</v>
      </c>
      <c r="AC3" s="135" t="s">
        <v>830</v>
      </c>
      <c r="AD3" s="135" t="s">
        <v>831</v>
      </c>
      <c r="AE3" s="135" t="s">
        <v>832</v>
      </c>
      <c r="AF3" s="135" t="s">
        <v>833</v>
      </c>
      <c r="AG3" s="135" t="s">
        <v>768</v>
      </c>
      <c r="AH3" s="135" t="s">
        <v>834</v>
      </c>
      <c r="AI3" s="135" t="s">
        <v>835</v>
      </c>
      <c r="AJ3" s="135" t="s">
        <v>836</v>
      </c>
      <c r="AK3" s="135" t="s">
        <v>837</v>
      </c>
      <c r="AL3" s="135" t="s">
        <v>838</v>
      </c>
      <c r="AM3" s="135" t="s">
        <v>839</v>
      </c>
      <c r="AN3" s="135" t="s">
        <v>780</v>
      </c>
      <c r="AO3" s="135" t="s">
        <v>14</v>
      </c>
      <c r="AP3" s="135" t="s">
        <v>20</v>
      </c>
      <c r="AQ3" s="135" t="s">
        <v>16</v>
      </c>
      <c r="AR3" s="135" t="s">
        <v>15</v>
      </c>
      <c r="AS3" s="135" t="s">
        <v>781</v>
      </c>
      <c r="AT3" s="135" t="s">
        <v>840</v>
      </c>
      <c r="AU3" s="135" t="s">
        <v>841</v>
      </c>
      <c r="AV3" s="135" t="s">
        <v>842</v>
      </c>
      <c r="AW3" s="135" t="s">
        <v>843</v>
      </c>
      <c r="AX3" s="135" t="s">
        <v>844</v>
      </c>
      <c r="AY3" s="135" t="s">
        <v>782</v>
      </c>
      <c r="AZ3" s="135" t="s">
        <v>324</v>
      </c>
      <c r="BA3" s="135" t="s">
        <v>325</v>
      </c>
      <c r="BB3" s="135" t="s">
        <v>845</v>
      </c>
      <c r="BC3" s="135" t="s">
        <v>846</v>
      </c>
      <c r="BD3" s="135" t="s">
        <v>847</v>
      </c>
      <c r="BE3" s="135" t="s">
        <v>848</v>
      </c>
      <c r="BF3" s="135" t="s">
        <v>849</v>
      </c>
      <c r="BG3" s="135" t="s">
        <v>850</v>
      </c>
      <c r="BH3" s="135" t="s">
        <v>193</v>
      </c>
      <c r="BI3" s="135" t="s">
        <v>851</v>
      </c>
      <c r="BJ3" s="135" t="s">
        <v>852</v>
      </c>
      <c r="BK3" s="135" t="s">
        <v>853</v>
      </c>
      <c r="BL3" s="135" t="s">
        <v>854</v>
      </c>
      <c r="BM3" s="135" t="s">
        <v>855</v>
      </c>
    </row>
    <row r="4" spans="1:65" x14ac:dyDescent="0.2">
      <c r="A4" s="137">
        <f>TblRezone[[#This Row],[Hour]]</f>
        <v>1</v>
      </c>
      <c r="B4" s="152">
        <f>TblImps[[#This Row],[Time]]</f>
        <v>46180</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46180</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46180.041666666664</v>
      </c>
      <c r="C5" s="153"/>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Infernal Command]]&gt;0,demonic_pact_food_cons,0))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153"/>
      <c r="BB5" s="45">
        <f>TblProd[[#This Row],[Hour]]</f>
        <v>2</v>
      </c>
      <c r="BC5" s="158">
        <f>-TblProd[[#This Row],[Bank Lumber]] / 2 + -TblProd[[#This Row],[Bank Gems]] * 2 + -TblProd[[#This Row],[Bank Ore]] / 2</f>
        <v>0</v>
      </c>
      <c r="BD5" s="158"/>
      <c r="BE5" s="158"/>
      <c r="BF5" s="158"/>
      <c r="BG5" s="159">
        <f ca="1">TblProd[[#This Row],[Time]]</f>
        <v>46180.041666666664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x14ac:dyDescent="0.2">
      <c r="A6" s="137">
        <v>3</v>
      </c>
      <c r="B6" s="152">
        <f ca="1">TblImps[[#This Row],[Time]]</f>
        <v>46180.083333333328</v>
      </c>
      <c r="C6" s="153"/>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Infernal Command]]&gt;0,demonic_pact_food_cons,0))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153"/>
      <c r="BB6" s="45">
        <f>TblProd[[#This Row],[Hour]]</f>
        <v>3</v>
      </c>
      <c r="BC6" s="158">
        <f>-TblProd[[#This Row],[Bank Lumber]] / 2 + -TblProd[[#This Row],[Bank Gems]] * 2 + -TblProd[[#This Row],[Bank Ore]] / 2</f>
        <v>0</v>
      </c>
      <c r="BD6" s="158"/>
      <c r="BE6" s="158"/>
      <c r="BF6" s="158"/>
      <c r="BG6" s="159">
        <f ca="1">TblProd[[#This Row],[Time]]</f>
        <v>46180.083333333328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x14ac:dyDescent="0.2">
      <c r="A7" s="137">
        <v>4</v>
      </c>
      <c r="B7" s="152">
        <f ca="1">TblImps[[#This Row],[Time]]</f>
        <v>46180.124999999993</v>
      </c>
      <c r="C7" s="153"/>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Infernal Command]]&gt;0,demonic_pact_food_cons,0))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153"/>
      <c r="BB7" s="45">
        <f>TblProd[[#This Row],[Hour]]</f>
        <v>4</v>
      </c>
      <c r="BC7" s="158">
        <f>-TblProd[[#This Row],[Bank Lumber]] / 2 + -TblProd[[#This Row],[Bank Gems]] * 2 + -TblProd[[#This Row],[Bank Ore]] / 2</f>
        <v>0</v>
      </c>
      <c r="BD7" s="158"/>
      <c r="BE7" s="158"/>
      <c r="BF7" s="158"/>
      <c r="BG7" s="159">
        <f ca="1">TblProd[[#This Row],[Time]]</f>
        <v>46180.124999999993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x14ac:dyDescent="0.2">
      <c r="A8" s="137">
        <v>5</v>
      </c>
      <c r="B8" s="152">
        <f ca="1">TblImps[[#This Row],[Time]]</f>
        <v>46180.166666666657</v>
      </c>
      <c r="C8" s="153"/>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Infernal Command]]&gt;0,demonic_pact_food_cons,0))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153"/>
      <c r="BB8" s="45">
        <f>TblProd[[#This Row],[Hour]]</f>
        <v>5</v>
      </c>
      <c r="BC8" s="158">
        <f>-TblProd[[#This Row],[Bank Lumber]] / 2 + -TblProd[[#This Row],[Bank Gems]] * 2 + -TblProd[[#This Row],[Bank Ore]] / 2</f>
        <v>0</v>
      </c>
      <c r="BD8" s="158"/>
      <c r="BE8" s="158"/>
      <c r="BF8" s="158"/>
      <c r="BG8" s="159">
        <f ca="1">TblProd[[#This Row],[Time]]</f>
        <v>46180.166666666657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x14ac:dyDescent="0.2">
      <c r="A9" s="137">
        <v>6</v>
      </c>
      <c r="B9" s="152">
        <f ca="1">TblImps[[#This Row],[Time]]</f>
        <v>46180.208333333321</v>
      </c>
      <c r="C9" s="153"/>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Infernal Command]]&gt;0,demonic_pact_food_cons,0))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153"/>
      <c r="BB9" s="45">
        <f>TblProd[[#This Row],[Hour]]</f>
        <v>6</v>
      </c>
      <c r="BC9" s="158">
        <f>-TblProd[[#This Row],[Bank Lumber]] / 2 + -TblProd[[#This Row],[Bank Gems]] * 2 + -TblProd[[#This Row],[Bank Ore]] / 2</f>
        <v>0</v>
      </c>
      <c r="BD9" s="158"/>
      <c r="BE9" s="158"/>
      <c r="BF9" s="158"/>
      <c r="BG9" s="159">
        <f ca="1">TblProd[[#This Row],[Time]]</f>
        <v>46180.208333333321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x14ac:dyDescent="0.2">
      <c r="A10" s="137">
        <v>7</v>
      </c>
      <c r="B10" s="152">
        <f ca="1">TblImps[[#This Row],[Time]]</f>
        <v>46180.249999999985</v>
      </c>
      <c r="C10" s="153"/>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Infernal Command]]&gt;0,demonic_pact_food_cons,0))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153"/>
      <c r="BB10" s="45">
        <f>TblProd[[#This Row],[Hour]]</f>
        <v>7</v>
      </c>
      <c r="BC10" s="158">
        <f>-TblProd[[#This Row],[Bank Lumber]] / 2 + -TblProd[[#This Row],[Bank Gems]] * 2 + -TblProd[[#This Row],[Bank Ore]] / 2</f>
        <v>0</v>
      </c>
      <c r="BD10" s="158"/>
      <c r="BE10" s="158"/>
      <c r="BF10" s="158"/>
      <c r="BG10" s="159">
        <f ca="1">TblProd[[#This Row],[Time]]</f>
        <v>46180.249999999985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x14ac:dyDescent="0.2">
      <c r="A11" s="137">
        <v>8</v>
      </c>
      <c r="B11" s="152">
        <f ca="1">TblImps[[#This Row],[Time]]</f>
        <v>46180.29166666665</v>
      </c>
      <c r="C11" s="153"/>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Infernal Command]]&gt;0,demonic_pact_food_cons,0))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153"/>
      <c r="BB11" s="45">
        <f>TblProd[[#This Row],[Hour]]</f>
        <v>8</v>
      </c>
      <c r="BC11" s="158">
        <f>-TblProd[[#This Row],[Bank Lumber]] / 2 + -TblProd[[#This Row],[Bank Gems]] * 2 + -TblProd[[#This Row],[Bank Ore]] / 2</f>
        <v>0</v>
      </c>
      <c r="BD11" s="158"/>
      <c r="BE11" s="158"/>
      <c r="BF11" s="158"/>
      <c r="BG11" s="159">
        <f ca="1">TblProd[[#This Row],[Time]]</f>
        <v>46180.29166666665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x14ac:dyDescent="0.2">
      <c r="A12" s="137">
        <v>9</v>
      </c>
      <c r="B12" s="152">
        <f ca="1">TblImps[[#This Row],[Time]]</f>
        <v>46180.333333333314</v>
      </c>
      <c r="C12" s="153"/>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Infernal Command]]&gt;0,demonic_pact_food_cons,0))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153"/>
      <c r="BB12" s="45">
        <f>TblProd[[#This Row],[Hour]]</f>
        <v>9</v>
      </c>
      <c r="BC12" s="158">
        <f>-TblProd[[#This Row],[Bank Lumber]] / 2 + -TblProd[[#This Row],[Bank Gems]] * 2 + -TblProd[[#This Row],[Bank Ore]] / 2</f>
        <v>0</v>
      </c>
      <c r="BD12" s="158"/>
      <c r="BE12" s="158"/>
      <c r="BF12" s="158"/>
      <c r="BG12" s="159">
        <f ca="1">TblProd[[#This Row],[Time]]</f>
        <v>46180.333333333314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x14ac:dyDescent="0.2">
      <c r="A13" s="137">
        <v>10</v>
      </c>
      <c r="B13" s="152">
        <f ca="1">TblImps[[#This Row],[Time]]</f>
        <v>46180.374999999978</v>
      </c>
      <c r="C13" s="153"/>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Infernal Command]]&gt;0,demonic_pact_food_cons,0))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153"/>
      <c r="BB13" s="45">
        <f>TblProd[[#This Row],[Hour]]</f>
        <v>10</v>
      </c>
      <c r="BC13" s="158">
        <f>-TblProd[[#This Row],[Bank Lumber]] / 2 + -TblProd[[#This Row],[Bank Gems]] * 2 + -TblProd[[#This Row],[Bank Ore]] / 2</f>
        <v>0</v>
      </c>
      <c r="BD13" s="158"/>
      <c r="BE13" s="158"/>
      <c r="BF13" s="158"/>
      <c r="BG13" s="159">
        <f ca="1">TblProd[[#This Row],[Time]]</f>
        <v>46180.374999999978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x14ac:dyDescent="0.2">
      <c r="A14" s="137">
        <v>11</v>
      </c>
      <c r="B14" s="152">
        <f ca="1">TblImps[[#This Row],[Time]]</f>
        <v>46180.416666666642</v>
      </c>
      <c r="C14" s="153"/>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153"/>
      <c r="BB14" s="45">
        <f>TblProd[[#This Row],[Hour]]</f>
        <v>11</v>
      </c>
      <c r="BC14" s="158">
        <f>-TblProd[[#This Row],[Bank Lumber]] / 2 + -TblProd[[#This Row],[Bank Gems]] * 2 + -TblProd[[#This Row],[Bank Ore]] / 2</f>
        <v>0</v>
      </c>
      <c r="BD14" s="158"/>
      <c r="BE14" s="158"/>
      <c r="BF14" s="158"/>
      <c r="BG14" s="159">
        <f ca="1">TblProd[[#This Row],[Time]]</f>
        <v>46180.416666666642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x14ac:dyDescent="0.2">
      <c r="A15" s="137">
        <v>12</v>
      </c>
      <c r="B15" s="152">
        <f ca="1">TblImps[[#This Row],[Time]]</f>
        <v>46180.458333333307</v>
      </c>
      <c r="C15" s="153"/>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153"/>
      <c r="BB15" s="45">
        <f>TblProd[[#This Row],[Hour]]</f>
        <v>12</v>
      </c>
      <c r="BC15" s="158">
        <f>-TblProd[[#This Row],[Bank Lumber]] / 2 + -TblProd[[#This Row],[Bank Gems]] * 2 + -TblProd[[#This Row],[Bank Ore]] / 2</f>
        <v>0</v>
      </c>
      <c r="BD15" s="158"/>
      <c r="BE15" s="158"/>
      <c r="BF15" s="158"/>
      <c r="BG15" s="159">
        <f ca="1">TblProd[[#This Row],[Time]]</f>
        <v>46180.458333333307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x14ac:dyDescent="0.2">
      <c r="A16" s="137">
        <v>13</v>
      </c>
      <c r="B16" s="152">
        <f ca="1">TblImps[[#This Row],[Time]]</f>
        <v>46180.499999999971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Infernal Command]]&gt;0,demonic_pact_food_cons,0))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46180.499999999971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x14ac:dyDescent="0.2">
      <c r="A17" s="137">
        <v>14</v>
      </c>
      <c r="B17" s="152">
        <f ca="1">TblImps[[#This Row],[Time]]</f>
        <v>46180.541666666635</v>
      </c>
      <c r="C17" s="153"/>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Infernal Command]]&gt;0,demonic_pact_food_cons,0))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153"/>
      <c r="BB17" s="45">
        <f>TblProd[[#This Row],[Hour]]</f>
        <v>14</v>
      </c>
      <c r="BC17" s="158">
        <f>-TblProd[[#This Row],[Bank Lumber]] / 2 + -TblProd[[#This Row],[Bank Gems]] * 2 + -TblProd[[#This Row],[Bank Ore]] / 2</f>
        <v>0</v>
      </c>
      <c r="BD17" s="158"/>
      <c r="BE17" s="158"/>
      <c r="BF17" s="158"/>
      <c r="BG17" s="159">
        <f ca="1">TblProd[[#This Row],[Time]]</f>
        <v>46180.541666666635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x14ac:dyDescent="0.2">
      <c r="A18" s="137">
        <v>15</v>
      </c>
      <c r="B18" s="152">
        <f ca="1">TblImps[[#This Row],[Time]]</f>
        <v>46180.583333333299</v>
      </c>
      <c r="C18" s="153"/>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Infernal Command]]&gt;0,demonic_pact_food_cons,0))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153"/>
      <c r="BB18" s="45">
        <f>TblProd[[#This Row],[Hour]]</f>
        <v>15</v>
      </c>
      <c r="BC18" s="158">
        <f>-TblProd[[#This Row],[Bank Lumber]] / 2 + -TblProd[[#This Row],[Bank Gems]] * 2 + -TblProd[[#This Row],[Bank Ore]] / 2</f>
        <v>0</v>
      </c>
      <c r="BD18" s="158"/>
      <c r="BE18" s="158"/>
      <c r="BF18" s="158"/>
      <c r="BG18" s="159">
        <f ca="1">TblProd[[#This Row],[Time]]</f>
        <v>46180.583333333299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x14ac:dyDescent="0.2">
      <c r="A19" s="137">
        <v>16</v>
      </c>
      <c r="B19" s="152">
        <f ca="1">TblImps[[#This Row],[Time]]</f>
        <v>46180.624999999964</v>
      </c>
      <c r="C19" s="153"/>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Infernal Command]]&gt;0,demonic_pact_food_cons,0))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153"/>
      <c r="BB19" s="45">
        <f>TblProd[[#This Row],[Hour]]</f>
        <v>16</v>
      </c>
      <c r="BC19" s="158">
        <f>-TblProd[[#This Row],[Bank Lumber]] / 2 + -TblProd[[#This Row],[Bank Gems]] * 2 + -TblProd[[#This Row],[Bank Ore]] / 2</f>
        <v>0</v>
      </c>
      <c r="BD19" s="158"/>
      <c r="BE19" s="158"/>
      <c r="BF19" s="158"/>
      <c r="BG19" s="159">
        <f ca="1">TblProd[[#This Row],[Time]]</f>
        <v>46180.624999999964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x14ac:dyDescent="0.2">
      <c r="A20" s="137">
        <v>17</v>
      </c>
      <c r="B20" s="152">
        <f ca="1">TblImps[[#This Row],[Time]]</f>
        <v>46180.666666666628</v>
      </c>
      <c r="C20" s="153"/>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Infernal Command]]&gt;0,demonic_pact_food_cons,0))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153"/>
      <c r="BB20" s="45">
        <f>TblProd[[#This Row],[Hour]]</f>
        <v>17</v>
      </c>
      <c r="BC20" s="158">
        <f>-TblProd[[#This Row],[Bank Lumber]] / 2 + -TblProd[[#This Row],[Bank Gems]] * 2 + -TblProd[[#This Row],[Bank Ore]] / 2</f>
        <v>0</v>
      </c>
      <c r="BD20" s="158"/>
      <c r="BE20" s="158"/>
      <c r="BF20" s="158"/>
      <c r="BG20" s="159">
        <f ca="1">TblProd[[#This Row],[Time]]</f>
        <v>46180.666666666628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x14ac:dyDescent="0.2">
      <c r="A21" s="137">
        <v>18</v>
      </c>
      <c r="B21" s="152">
        <f ca="1">TblImps[[#This Row],[Time]]</f>
        <v>46180.708333333292</v>
      </c>
      <c r="C21" s="153"/>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Infernal Command]]&gt;0,demonic_pact_food_cons,0))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153"/>
      <c r="BB21" s="45">
        <f>TblProd[[#This Row],[Hour]]</f>
        <v>18</v>
      </c>
      <c r="BC21" s="158">
        <f>-TblProd[[#This Row],[Bank Lumber]] / 2 + -TblProd[[#This Row],[Bank Gems]] * 2 + -TblProd[[#This Row],[Bank Ore]] / 2</f>
        <v>0</v>
      </c>
      <c r="BD21" s="158"/>
      <c r="BE21" s="158"/>
      <c r="BF21" s="158"/>
      <c r="BG21" s="159">
        <f ca="1">TblProd[[#This Row],[Time]]</f>
        <v>46180.708333333292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x14ac:dyDescent="0.2">
      <c r="A22" s="137">
        <v>19</v>
      </c>
      <c r="B22" s="152">
        <f ca="1">TblImps[[#This Row],[Time]]</f>
        <v>46180.749999999956</v>
      </c>
      <c r="C22" s="153"/>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Infernal Command]]&gt;0,demonic_pact_food_cons,0))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153"/>
      <c r="BB22" s="45">
        <f>TblProd[[#This Row],[Hour]]</f>
        <v>19</v>
      </c>
      <c r="BC22" s="158">
        <f>-TblProd[[#This Row],[Bank Lumber]] / 2 + -TblProd[[#This Row],[Bank Gems]] * 2 + -TblProd[[#This Row],[Bank Ore]] / 2</f>
        <v>0</v>
      </c>
      <c r="BD22" s="158"/>
      <c r="BE22" s="158"/>
      <c r="BF22" s="158"/>
      <c r="BG22" s="159">
        <f ca="1">TblProd[[#This Row],[Time]]</f>
        <v>46180.749999999956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x14ac:dyDescent="0.2">
      <c r="A23" s="137">
        <v>20</v>
      </c>
      <c r="B23" s="152">
        <f ca="1">TblImps[[#This Row],[Time]]</f>
        <v>46180.791666666621</v>
      </c>
      <c r="C23" s="153"/>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Infernal Command]]&gt;0,demonic_pact_food_cons,0))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153"/>
      <c r="BB23" s="45">
        <f>TblProd[[#This Row],[Hour]]</f>
        <v>20</v>
      </c>
      <c r="BC23" s="158">
        <f>-TblProd[[#This Row],[Bank Lumber]] / 2 + -TblProd[[#This Row],[Bank Gems]] * 2 + -TblProd[[#This Row],[Bank Ore]] / 2</f>
        <v>0</v>
      </c>
      <c r="BD23" s="158"/>
      <c r="BE23" s="158"/>
      <c r="BF23" s="158"/>
      <c r="BG23" s="159">
        <f ca="1">TblProd[[#This Row],[Time]]</f>
        <v>46180.791666666621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x14ac:dyDescent="0.2">
      <c r="A24" s="137">
        <v>21</v>
      </c>
      <c r="B24" s="152">
        <f ca="1">TblImps[[#This Row],[Time]]</f>
        <v>46180.833333333285</v>
      </c>
      <c r="C24" s="153"/>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Infernal Command]]&gt;0,demonic_pact_food_cons,0))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153"/>
      <c r="BB24" s="45">
        <f>TblProd[[#This Row],[Hour]]</f>
        <v>21</v>
      </c>
      <c r="BC24" s="158">
        <f>-TblProd[[#This Row],[Bank Lumber]] / 2 + -TblProd[[#This Row],[Bank Gems]] * 2 + -TblProd[[#This Row],[Bank Ore]] / 2</f>
        <v>0</v>
      </c>
      <c r="BD24" s="158"/>
      <c r="BE24" s="158"/>
      <c r="BF24" s="158"/>
      <c r="BG24" s="159">
        <f ca="1">TblProd[[#This Row],[Time]]</f>
        <v>46180.833333333285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x14ac:dyDescent="0.2">
      <c r="A25" s="137">
        <v>22</v>
      </c>
      <c r="B25" s="152">
        <f ca="1">TblImps[[#This Row],[Time]]</f>
        <v>46180.874999999949</v>
      </c>
      <c r="C25" s="153"/>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Infernal Command]]&gt;0,demonic_pact_food_cons,0))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153"/>
      <c r="BB25" s="45">
        <f>TblProd[[#This Row],[Hour]]</f>
        <v>22</v>
      </c>
      <c r="BC25" s="158">
        <f>-TblProd[[#This Row],[Bank Lumber]] / 2 + -TblProd[[#This Row],[Bank Gems]] * 2 + -TblProd[[#This Row],[Bank Ore]] / 2</f>
        <v>0</v>
      </c>
      <c r="BD25" s="158"/>
      <c r="BE25" s="158"/>
      <c r="BF25" s="158"/>
      <c r="BG25" s="159">
        <f ca="1">TblProd[[#This Row],[Time]]</f>
        <v>46180.874999999949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x14ac:dyDescent="0.2">
      <c r="A26" s="137">
        <v>23</v>
      </c>
      <c r="B26" s="152">
        <f ca="1">TblImps[[#This Row],[Time]]</f>
        <v>46180.916666666613</v>
      </c>
      <c r="C26" s="153"/>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Infernal Command]]&gt;0,demonic_pact_food_cons,0))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153"/>
      <c r="BB26" s="45">
        <f>TblProd[[#This Row],[Hour]]</f>
        <v>23</v>
      </c>
      <c r="BC26" s="158">
        <f>-TblProd[[#This Row],[Bank Lumber]] / 2 + -TblProd[[#This Row],[Bank Gems]] * 2 + -TblProd[[#This Row],[Bank Ore]] / 2</f>
        <v>0</v>
      </c>
      <c r="BD26" s="158"/>
      <c r="BE26" s="158"/>
      <c r="BF26" s="158"/>
      <c r="BG26" s="159">
        <f ca="1">TblProd[[#This Row],[Time]]</f>
        <v>46180.916666666613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x14ac:dyDescent="0.2">
      <c r="A27" s="137">
        <v>24</v>
      </c>
      <c r="B27" s="152">
        <f ca="1">TblImps[[#This Row],[Time]]</f>
        <v>46180.958333333278</v>
      </c>
      <c r="C27" s="153"/>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Infernal Command]]&gt;0,demonic_pact_food_cons,0))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153"/>
      <c r="BB27" s="45">
        <f>TblProd[[#This Row],[Hour]]</f>
        <v>24</v>
      </c>
      <c r="BC27" s="158">
        <f>-TblProd[[#This Row],[Bank Lumber]] / 2 + -TblProd[[#This Row],[Bank Gems]] * 2 + -TblProd[[#This Row],[Bank Ore]] / 2</f>
        <v>0</v>
      </c>
      <c r="BD27" s="158"/>
      <c r="BE27" s="158"/>
      <c r="BF27" s="158"/>
      <c r="BG27" s="159">
        <f ca="1">TblProd[[#This Row],[Time]]</f>
        <v>46180.958333333278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x14ac:dyDescent="0.2">
      <c r="A28" s="137">
        <v>25</v>
      </c>
      <c r="B28" s="152">
        <f ca="1">TblImps[[#This Row],[Time]]</f>
        <v>46180.999999999942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Infernal Command]]&gt;0,demonic_pact_food_cons,0))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46180.999999999942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x14ac:dyDescent="0.2">
      <c r="A29" s="137">
        <v>26</v>
      </c>
      <c r="B29" s="152">
        <f ca="1">TblImps[[#This Row],[Time]]</f>
        <v>46181.041666666606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Infernal Command]]&gt;0,demonic_pact_food_cons,0))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46181.041666666606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x14ac:dyDescent="0.2">
      <c r="A30" s="137">
        <v>27</v>
      </c>
      <c r="B30" s="152">
        <f ca="1">TblImps[[#This Row],[Time]]</f>
        <v>46181.08333333327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Infernal Command]]&gt;0,demonic_pact_food_cons,0))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46181.08333333327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x14ac:dyDescent="0.2">
      <c r="A31" s="137">
        <v>28</v>
      </c>
      <c r="B31" s="152">
        <f ca="1">TblImps[[#This Row],[Time]]</f>
        <v>46181.124999999935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Infernal Command]]&gt;0,demonic_pact_food_cons,0))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46181.124999999935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x14ac:dyDescent="0.2">
      <c r="A32" s="137">
        <v>29</v>
      </c>
      <c r="B32" s="152">
        <f ca="1">TblImps[[#This Row],[Time]]</f>
        <v>46181.166666666599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Infernal Command]]&gt;0,demonic_pact_food_cons,0))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46181.166666666599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x14ac:dyDescent="0.2">
      <c r="A33" s="137">
        <v>30</v>
      </c>
      <c r="B33" s="152">
        <f ca="1">TblImps[[#This Row],[Time]]</f>
        <v>46181.208333333263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Infernal Command]]&gt;0,demonic_pact_food_cons,0))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46181.208333333263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x14ac:dyDescent="0.2">
      <c r="A34" s="137">
        <v>31</v>
      </c>
      <c r="B34" s="152">
        <f ca="1">TblImps[[#This Row],[Time]]</f>
        <v>46181.249999999927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Infernal Command]]&gt;0,demonic_pact_food_cons,0))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46181.249999999927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x14ac:dyDescent="0.2">
      <c r="A35" s="137">
        <v>32</v>
      </c>
      <c r="B35" s="152">
        <f ca="1">TblImps[[#This Row],[Time]]</f>
        <v>46181.291666666591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Infernal Command]]&gt;0,demonic_pact_food_cons,0))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46181.291666666591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x14ac:dyDescent="0.2">
      <c r="A36" s="137">
        <v>33</v>
      </c>
      <c r="B36" s="152">
        <f ca="1">TblImps[[#This Row],[Time]]</f>
        <v>46181.333333333256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Infernal Command]]&gt;0,demonic_pact_food_cons,0))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46181.333333333256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x14ac:dyDescent="0.2">
      <c r="A37" s="137">
        <v>34</v>
      </c>
      <c r="B37" s="152">
        <f ca="1">TblImps[[#This Row],[Time]]</f>
        <v>46181.37499999992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Infernal Command]]&gt;0,demonic_pact_food_cons,0))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46181.37499999992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x14ac:dyDescent="0.2">
      <c r="A38" s="137">
        <v>35</v>
      </c>
      <c r="B38" s="152">
        <f ca="1">TblImps[[#This Row],[Time]]</f>
        <v>46181.416666666584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Infernal Command]]&gt;0,demonic_pact_food_cons,0))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46181.416666666584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x14ac:dyDescent="0.2">
      <c r="A39" s="137">
        <v>36</v>
      </c>
      <c r="B39" s="152">
        <f ca="1">TblImps[[#This Row],[Time]]</f>
        <v>46181.458333333248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Infernal Command]]&gt;0,demonic_pact_food_cons,0))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46181.458333333248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x14ac:dyDescent="0.2">
      <c r="A40" s="137">
        <v>37</v>
      </c>
      <c r="B40" s="152">
        <f ca="1">TblImps[[#This Row],[Time]]</f>
        <v>46181.499999999913</v>
      </c>
      <c r="C40" s="153"/>
      <c r="D40" s="154"/>
      <c r="E40" s="94">
        <f ca="1">TblConstr[[#This Row],[Land]]</f>
        <v>50</v>
      </c>
      <c r="F40" s="94">
        <f ca="1">TblPop[[#This Row],[Peasants]]</f>
        <v>328</v>
      </c>
      <c r="G40" s="94">
        <f ca="1">TblMili[[#This Row],[Networth (2)]]</f>
        <v>1250</v>
      </c>
      <c r="H40" s="94">
        <f ca="1">OFFSET(TblProd[[#This Row],[Platinum]],-1,0)+OFFSET(TblProd[[#This Row],[Plat/hr]],-1,0) - TblProd[[#This Row],[Expenses Platinum]] + IF(TblProd[[#This Row],[Plat Bonus]],TblPop[[#This Row],[Peasants]]*4) + SUM(TblConstr[[#This Row],[Dest Hom]:[Dest Doc]])*TblConstr[[#This Row],[CPA Platinum -DB]]*tech_3_3_2*TblTech[[#This Row],[3-3]]</f>
        <v>158460</v>
      </c>
      <c r="I40" s="94">
        <f ca="1">OFFSET(TblProd[[#This Row],[Food]],-1,0)+OFFSET(TblProd[[#This Row],[Food/hr]],-1,0)+ROUNDUP((TblConstr[[#This Row],[Farms]]*80+TblConstr[[#This Row],[Docks]]*35)*(1+OFFSET(TblProd[[#This Row],[Bonus Food/hr]],-1,0)),0)</f>
        <v>82936</v>
      </c>
      <c r="J40" s="94">
        <f ca="1">OFFSET(TblProd[[#This Row],[Lumber]],-1,0)+OFFSET(TblProd[[#This Row],[Lumber/hr]],-1,0) - TblProd[[#This Row],[Expenses Lumber]] + SUM(TblConstr[[#This Row],[Dest Hom]:[Dest Doc]])*TblConstr[[#This Row],[CPA Lumber -DB]]*tech_3_3_2*TblTech[[#This Row],[3-3]]</f>
        <v>40804</v>
      </c>
      <c r="K40" s="94">
        <f ca="1">OFFSET(TblProd[[#This Row],[Mana]],-1,0)+OFFSET(TblProd[[#This Row],[Mana/hr]],-1,0)- TblProd[[#This Row],[Expenses Mana]]</f>
        <v>0</v>
      </c>
      <c r="L40" s="94">
        <f ca="1">OFFSET(TblProd[[#This Row],[Ore]],-1,0)+OFFSET(TblProd[[#This Row],[Ore/hr]],-1,0) -TblProd[[#This Row],[Expenses Ore]]</f>
        <v>0</v>
      </c>
      <c r="M40" s="94">
        <f ca="1">OFFSET(TblProd[[#This Row],[Gems]],-1,0)+OFFSET(TblProd[[#This Row],[Gems/hr]],-1,0) - TblProd[[#This Row],[Expenses Gems]]</f>
        <v>0</v>
      </c>
      <c r="N40" s="94">
        <f ca="1">OFFSET(TblProd[[#This Row],[Boats]],-1,0)+OFFSET(TblProd[[#This Row],[Boats/hr]],-1,0)</f>
        <v>0</v>
      </c>
      <c r="O40" s="94">
        <f ca="1">OFFSET(TblProd[[#This Row],[Prestige]],-1,0)</f>
        <v>250</v>
      </c>
      <c r="P4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4">
        <f ca="1">MAX(_xlfn.CEILING.MATH(TblProd[[#This Row],[Land]]*2.5+IFERROR(OFFSET(TblTech[[#This Row],[Sum of tech]],-1,0)*50,0)),3750)</f>
        <v>3750</v>
      </c>
      <c r="R40" s="142"/>
      <c r="S40" s="94">
        <f ca="1">ROUNDDOWN(TblProd[[#This Row],[Raw Plat/hr]]*(1+TblProd[[#This Row],[Bonus Plat/hr]]),0)</f>
        <v>885</v>
      </c>
      <c r="T40" s="94">
        <f ca="1">ROUND(TblProd[[#This Row],[Raw Food/hr]]*(1+TblProd[[#This Row],[Bonus Food/hr]])-TblProd[[#This Row],[Food decay]]-TblProd[[#This Row],[Food eaten]],0)</f>
        <v>1558</v>
      </c>
      <c r="U40" s="94">
        <f ca="1">ROUND(TblProd[[#This Row],[Raw Lumber/hr]]*(1+TblProd[[#This Row],[Bonus Lumber/hr]])-TblProd[[#This Row],[Lumber rot]],0)</f>
        <v>592</v>
      </c>
      <c r="V40" s="94">
        <f ca="1">ROUND(TblProd[[#This Row],[Raw Mana/hr]]*(1+TblProd[[#This Row],[Bonus Mana/hr]])-TblProd[[#This Row],[Mana drain]],0)</f>
        <v>0</v>
      </c>
      <c r="W40" s="94">
        <f ca="1">ROUNDDOWN(TblProd[[#This Row],[Raw Ore/hr]]*(1+TblProd[[#This Row],[Bonux Ore/hr]]),0)</f>
        <v>0</v>
      </c>
      <c r="X40" s="94">
        <f ca="1">ROUNDDOWN(TblProd[[#This Row],[Raw Gems/hr]]*(1+TblProd[[#This Row],[Bonus Gems/hr]]),0)</f>
        <v>0</v>
      </c>
      <c r="Y40" s="155">
        <f ca="1">OFFSET(TblConstr[[#This Row],[Tot Doc]],1,0)*dock_boats_hr * (1 + tech_4_1*TblTech[[#This Row],[4-1]])</f>
        <v>0</v>
      </c>
      <c r="Z40" s="154"/>
      <c r="AA40" s="94">
        <f ca="1">TblPop[[#This Row],[Peasants]]*tax*TblPop[[#This Row],[Employment]] + (Construction!AZ41+Construction!BX41)*(alch_plat+(Magic!AN40&gt;0)*alchemist_flame_bonus)</f>
        <v>885.6</v>
      </c>
      <c r="AB40" s="94">
        <f ca="1">TblConstr[[#This Row],[Tot Farm]]*farm_food + TblConstr[[#This Row],[Tot Doc]]*dock_food</f>
        <v>2400</v>
      </c>
      <c r="AC40" s="94">
        <f ca="1">TblConstr[[#This Row],[Tot Ly]]*ly_lumber + TblConstr[[#This Row],[Tot Hav]]*fh_lumber + IF(race="Wood Elf",TblMili[[#This Row],[Unit 2]]*MIN(TblMili[[#This Row],[Homeland%]]/wisp_bonus,wisp_cap),0)</f>
        <v>1000</v>
      </c>
      <c r="AD40" s="94">
        <f ca="1">OFFSET(TblConstr[[#This Row],[Tot Tow]],1,0)*(tower_mana + tech_4_5*TblTech[[#This Row],[4-5]]) + OFFSET(TblConstr[[#This Row],[Tot WG]],1,0)*wg_mana_prod</f>
        <v>0</v>
      </c>
      <c r="AE40" s="94">
        <f ca="1">OFFSET(TblConstr[[#This Row],[Tot OM]],1,0)*om_ore+IF(race="Dwarf",TblMili[[#This Row],[Unit 2]]*0.5,0)</f>
        <v>0</v>
      </c>
      <c r="AF40" s="94">
        <f ca="1">OFFSET(TblConstr[[#This Row],[Tot DM]],1,0)*dm_gems</f>
        <v>0</v>
      </c>
      <c r="AG40" s="142"/>
      <c r="AH40" s="156">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6">
        <f ca="1">race_lumber_bonus+ IF(TblMagic[[#This Row],[Active Gaia''s Blessing]]&gt;0,gaias_blessing_lumber)+ tech_1_3*TblTech[[#This Row],[1-3]] + tech_1_6*TblTech[[#This Row],[1-6]] + tech_3_3*TblTech[[#This Row],[3-3]]</f>
        <v>0</v>
      </c>
      <c r="AK40" s="156">
        <f ca="1">race_mana_bonus+ 0 + TblImps[[#This Row],[Spires]] + tech_1_2*TblTech[[#This Row],[1-2]] + tech_3_4*TblTech[[#This Row],[3-4]]</f>
        <v>0</v>
      </c>
      <c r="AL40" s="156">
        <f ca="1">race_ore_bonus + IF(TblMagic[[#This Row],[Active Miner''s Sight]]&gt;0,miners_sight_bonus,IF(TblMagic[[#This Row],[Active Mining Strength]]&gt;0,mining_strength_bonus)) +  tech_1_6*TblTech[[#This Row],[1-6]]</f>
        <v>0</v>
      </c>
      <c r="AM40" s="156">
        <f>race_gem_bonus+ tech_3_2*TblTech[[#This Row],[3-2]] + tech_4_3*TblTech[[#This Row],[4-3]] + tech_6_2*TblTech[[#This Row],[6-2]]</f>
        <v>0</v>
      </c>
      <c r="AN40" s="142"/>
      <c r="AO40" s="94">
        <f ca="1">TblProd[[#This Row],[Food]]*food_decay * (1 + tech_2_1*TblTech[[#This Row],[2-1]] + tech_2_8*TblTech[[#This Row],[2-8]] + IF(AND(TblMagic[[#This Row],[Active DnD]]&lt;12,TblMagic[[#This Row],[Active DnD]]&gt;5),1,0))</f>
        <v>829.36</v>
      </c>
      <c r="AP40" s="94">
        <f ca="1">(1+race_food_consumption)*TblPop[[#This Row],[Total]]*food_per_person*(1+tech_1_10*TblTech[[#This Row],[1-10]]+tech_7_5*TblTech[[#This Row],[7-5]] + IF(TblMagic[[#This Row],[Active Infernal Command]]&gt;0,demonic_pact_food_cons,0))</f>
        <v>192.25</v>
      </c>
      <c r="AQ40" s="94">
        <f ca="1">TblProd[[#This Row],[Lumber]]*lumber_rot * (1 + tech_2_1*TblTech[[#This Row],[2-1]] + tech_2_8*TblTech[[#This Row],[2-8]] + tech_5_2*TblTech[[#This Row],[5-2]] + IF(AND(TblMagic[[#This Row],[Active DnD]]&lt;12,TblMagic[[#This Row],[Active DnD]]&gt;5),1,0))</f>
        <v>408.04</v>
      </c>
      <c r="AR40" s="94">
        <f ca="1">TblProd[[#This Row],[Mana]]*mana_drain * (1 + tech_2_1*TblTech[[#This Row],[2-1]] + tech_2_8*TblTech[[#This Row],[2-8]])</f>
        <v>0</v>
      </c>
      <c r="AS40" s="154"/>
      <c r="AT40" s="94">
        <f ca="1">TblExplore[[#This Row],[Platinum (2)]]+TblConstr[[#This Row],[Total Plat Cost]]+TblMili[[#This Row],[Plat Cost]]+TblRezone[[#This Row],[Platinum cost]]+TblImps[[#This Row],[P1]]-TblProd[[#This Row],[Bank Plat]]</f>
        <v>0</v>
      </c>
      <c r="AU40" s="94">
        <f ca="1">TblConstr[[#This Row],[Total Lum Cost]]+TblImps[[#This Row],[L1]]-TblProd[[#This Row],[Bank Lumber]] + Military!$CO$25*TblMili[[#This Row],[Sec. rec. Cost]]</f>
        <v>0</v>
      </c>
      <c r="AV40" s="94">
        <f ca="1">TblMagic[[#This Row],[Mana cost]] + Military!$CO$26*TblMili[[#This Row],[Sec. rec. Cost]]</f>
        <v>0</v>
      </c>
      <c r="AW40" s="94">
        <f ca="1">Military!$CO$24*TblMili[[#This Row],[Sec. rec. Cost]]+TblImps[[#This Row],[O1]]-TblProd[[#This Row],[Bank Ore]]</f>
        <v>0</v>
      </c>
      <c r="AX40" s="94">
        <f>TblImps[[#This Row],[G1]]-TblProd[[#This Row],[Bank Gems]]</f>
        <v>0</v>
      </c>
      <c r="AY40" s="142"/>
      <c r="AZ40" s="61" t="b">
        <f ca="1">IF(TblProd[[#This Row],[Set Guard]]&lt;&gt;"",TblProd[[#This Row],[Set Guard]],OFFSET(TblProd[[#This Row],[Guard]],-1,0))</f>
        <v>0</v>
      </c>
      <c r="BA40" s="153"/>
      <c r="BB40" s="45">
        <f>TblProd[[#This Row],[Hour]]</f>
        <v>37</v>
      </c>
      <c r="BC40" s="158">
        <f>-TblProd[[#This Row],[Bank Lumber]] / 2 + -TblProd[[#This Row],[Bank Gems]] * 2 + -TblProd[[#This Row],[Bank Ore]] / 2</f>
        <v>0</v>
      </c>
      <c r="BD40" s="158"/>
      <c r="BE40" s="158"/>
      <c r="BF40" s="158"/>
      <c r="BG40" s="159">
        <f ca="1">TblProd[[#This Row],[Time]]</f>
        <v>46181.499999999913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4">
        <f ca="1">TblProd[[#This Row],[Platinum]]</f>
        <v>158460</v>
      </c>
      <c r="BJ40" s="94">
        <f ca="1">TblProd[[#This Row],[Food]]</f>
        <v>82936</v>
      </c>
      <c r="BK40" s="94">
        <f ca="1">TblProd[[#This Row],[Lumber]]</f>
        <v>40804</v>
      </c>
      <c r="BL40" s="94">
        <f ca="1">TblProd[[#This Row],[Mana]]</f>
        <v>0</v>
      </c>
      <c r="BM40" s="94">
        <f ca="1">TblProd[[#This Row],[Ore]]</f>
        <v>0</v>
      </c>
    </row>
    <row r="41" spans="1:65" x14ac:dyDescent="0.2">
      <c r="A41" s="137">
        <v>38</v>
      </c>
      <c r="B41" s="152">
        <f ca="1">TblImps[[#This Row],[Time]]</f>
        <v>46181.541666666577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Infernal Command]]&gt;0,demonic_pact_food_cons,0))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38</v>
      </c>
      <c r="BC41" s="158">
        <f>-TblProd[[#This Row],[Bank Lumber]] / 2 + -TblProd[[#This Row],[Bank Gems]] * 2 + -TblProd[[#This Row],[Bank Ore]] / 2</f>
        <v>0</v>
      </c>
      <c r="BD41" s="158"/>
      <c r="BE41" s="158"/>
      <c r="BF41" s="158"/>
      <c r="BG41" s="159">
        <f ca="1">TblProd[[#This Row],[Time]]</f>
        <v>46181.541666666577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x14ac:dyDescent="0.2">
      <c r="A42" s="137">
        <v>39</v>
      </c>
      <c r="B42" s="152">
        <f ca="1">TblImps[[#This Row],[Time]]</f>
        <v>46181.583333333241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Infernal Command]]&gt;0,demonic_pact_food_cons,0))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39</v>
      </c>
      <c r="BC42" s="158">
        <f>-TblProd[[#This Row],[Bank Lumber]] / 2 + -TblProd[[#This Row],[Bank Gems]] * 2 + -TblProd[[#This Row],[Bank Ore]] / 2</f>
        <v>0</v>
      </c>
      <c r="BD42" s="158"/>
      <c r="BE42" s="158"/>
      <c r="BF42" s="158"/>
      <c r="BG42" s="159">
        <f ca="1">TblProd[[#This Row],[Time]]</f>
        <v>46181.583333333241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x14ac:dyDescent="0.2">
      <c r="A43" s="137">
        <v>40</v>
      </c>
      <c r="B43" s="152">
        <f ca="1">TblImps[[#This Row],[Time]]</f>
        <v>46181.624999999905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Infernal Command]]&gt;0,demonic_pact_food_cons,0))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40</v>
      </c>
      <c r="BC43" s="158">
        <f>-TblProd[[#This Row],[Bank Lumber]] / 2 + -TblProd[[#This Row],[Bank Gems]] * 2 + -TblProd[[#This Row],[Bank Ore]] / 2</f>
        <v>0</v>
      </c>
      <c r="BD43" s="158"/>
      <c r="BE43" s="158"/>
      <c r="BF43" s="158"/>
      <c r="BG43" s="159">
        <f ca="1">TblProd[[#This Row],[Time]]</f>
        <v>46181.624999999905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x14ac:dyDescent="0.2">
      <c r="A44" s="137">
        <v>41</v>
      </c>
      <c r="B44" s="152">
        <f ca="1">TblImps[[#This Row],[Time]]</f>
        <v>46181.66666666657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Infernal Command]]&gt;0,demonic_pact_food_cons,0))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41</v>
      </c>
      <c r="BC44" s="158">
        <f>-TblProd[[#This Row],[Bank Lumber]] / 2 + -TblProd[[#This Row],[Bank Gems]] * 2 + -TblProd[[#This Row],[Bank Ore]] / 2</f>
        <v>0</v>
      </c>
      <c r="BD44" s="158"/>
      <c r="BE44" s="158"/>
      <c r="BF44" s="158"/>
      <c r="BG44" s="159">
        <f ca="1">TblProd[[#This Row],[Time]]</f>
        <v>46181.66666666657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x14ac:dyDescent="0.2">
      <c r="A45" s="137">
        <v>42</v>
      </c>
      <c r="B45" s="152">
        <f ca="1">TblImps[[#This Row],[Time]]</f>
        <v>46181.708333333234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Infernal Command]]&gt;0,demonic_pact_food_cons,0))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42</v>
      </c>
      <c r="BC45" s="158">
        <f>-TblProd[[#This Row],[Bank Lumber]] / 2 + -TblProd[[#This Row],[Bank Gems]] * 2 + -TblProd[[#This Row],[Bank Ore]] / 2</f>
        <v>0</v>
      </c>
      <c r="BD45" s="158"/>
      <c r="BE45" s="158"/>
      <c r="BF45" s="158"/>
      <c r="BG45" s="159">
        <f ca="1">TblProd[[#This Row],[Time]]</f>
        <v>46181.708333333234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x14ac:dyDescent="0.2">
      <c r="A46" s="137">
        <v>43</v>
      </c>
      <c r="B46" s="152">
        <f ca="1">TblImps[[#This Row],[Time]]</f>
        <v>46181.749999999898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Infernal Command]]&gt;0,demonic_pact_food_cons,0))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43</v>
      </c>
      <c r="BC46" s="158">
        <f>-TblProd[[#This Row],[Bank Lumber]] / 2 + -TblProd[[#This Row],[Bank Gems]] * 2 + -TblProd[[#This Row],[Bank Ore]] / 2</f>
        <v>0</v>
      </c>
      <c r="BD46" s="158"/>
      <c r="BE46" s="158"/>
      <c r="BF46" s="158"/>
      <c r="BG46" s="159">
        <f ca="1">TblProd[[#This Row],[Time]]</f>
        <v>46181.749999999898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x14ac:dyDescent="0.2">
      <c r="A47" s="137">
        <v>44</v>
      </c>
      <c r="B47" s="152">
        <f ca="1">TblImps[[#This Row],[Time]]</f>
        <v>46181.791666666562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Infernal Command]]&gt;0,demonic_pact_food_cons,0))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44</v>
      </c>
      <c r="BC47" s="158">
        <f>-TblProd[[#This Row],[Bank Lumber]] / 2 + -TblProd[[#This Row],[Bank Gems]] * 2 + -TblProd[[#This Row],[Bank Ore]] / 2</f>
        <v>0</v>
      </c>
      <c r="BD47" s="158"/>
      <c r="BE47" s="158"/>
      <c r="BF47" s="158"/>
      <c r="BG47" s="159">
        <f ca="1">TblProd[[#This Row],[Time]]</f>
        <v>46181.791666666562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x14ac:dyDescent="0.2">
      <c r="A48" s="137">
        <v>45</v>
      </c>
      <c r="B48" s="152">
        <f ca="1">TblImps[[#This Row],[Time]]</f>
        <v>46181.833333333227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Infernal Command]]&gt;0,demonic_pact_food_cons,0))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45</v>
      </c>
      <c r="BC48" s="158">
        <f>-TblProd[[#This Row],[Bank Lumber]] / 2 + -TblProd[[#This Row],[Bank Gems]] * 2 + -TblProd[[#This Row],[Bank Ore]] / 2</f>
        <v>0</v>
      </c>
      <c r="BD48" s="158"/>
      <c r="BE48" s="158"/>
      <c r="BF48" s="158"/>
      <c r="BG48" s="159">
        <f ca="1">TblProd[[#This Row],[Time]]</f>
        <v>46181.833333333227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x14ac:dyDescent="0.2">
      <c r="A49" s="137">
        <v>46</v>
      </c>
      <c r="B49" s="152">
        <f ca="1">TblImps[[#This Row],[Time]]</f>
        <v>46181.874999999891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Infernal Command]]&gt;0,demonic_pact_food_cons,0))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46</v>
      </c>
      <c r="BC49" s="158">
        <f>-TblProd[[#This Row],[Bank Lumber]] / 2 + -TblProd[[#This Row],[Bank Gems]] * 2 + -TblProd[[#This Row],[Bank Ore]] / 2</f>
        <v>0</v>
      </c>
      <c r="BD49" s="158"/>
      <c r="BE49" s="158"/>
      <c r="BF49" s="158"/>
      <c r="BG49" s="159">
        <f ca="1">TblProd[[#This Row],[Time]]</f>
        <v>46181.874999999891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x14ac:dyDescent="0.2">
      <c r="A50" s="137">
        <v>47</v>
      </c>
      <c r="B50" s="152">
        <f ca="1">TblImps[[#This Row],[Time]]</f>
        <v>46181.916666666555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Infernal Command]]&gt;0,demonic_pact_food_cons,0))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47</v>
      </c>
      <c r="BC50" s="158">
        <f>-TblProd[[#This Row],[Bank Lumber]] / 2 + -TblProd[[#This Row],[Bank Gems]] * 2 + -TblProd[[#This Row],[Bank Ore]] / 2</f>
        <v>0</v>
      </c>
      <c r="BD50" s="158"/>
      <c r="BE50" s="158"/>
      <c r="BF50" s="158"/>
      <c r="BG50" s="159">
        <f ca="1">TblProd[[#This Row],[Time]]</f>
        <v>46181.916666666555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x14ac:dyDescent="0.2">
      <c r="A51" s="137">
        <v>48</v>
      </c>
      <c r="B51" s="152">
        <f ca="1">TblImps[[#This Row],[Time]]</f>
        <v>46181.958333333219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Infernal Command]]&gt;0,demonic_pact_food_cons,0))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48</v>
      </c>
      <c r="BC51" s="158">
        <f>-TblProd[[#This Row],[Bank Lumber]] / 2 + -TblProd[[#This Row],[Bank Gems]] * 2 + -TblProd[[#This Row],[Bank Ore]] / 2</f>
        <v>0</v>
      </c>
      <c r="BD51" s="158"/>
      <c r="BE51" s="158"/>
      <c r="BF51" s="158"/>
      <c r="BG51" s="159">
        <f ca="1">TblProd[[#This Row],[Time]]</f>
        <v>46181.958333333219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s="5" customFormat="1" x14ac:dyDescent="0.2">
      <c r="A52" s="144" t="s">
        <v>229</v>
      </c>
      <c r="B52" s="160">
        <f ca="1">TblImps[[#This Row],[Time]]</f>
        <v>46181.999999999884</v>
      </c>
      <c r="C52" s="161"/>
      <c r="D52" s="162"/>
      <c r="E52" s="35">
        <f ca="1">TblConstr[[#This Row],[Land]]</f>
        <v>50</v>
      </c>
      <c r="F52" s="35">
        <f ca="1">TblPop[[#This Row],[Peasants]]</f>
        <v>292</v>
      </c>
      <c r="G52" s="35">
        <f ca="1">TblMili[[#This Row],[Networth (2)]]</f>
        <v>1250</v>
      </c>
      <c r="H52" s="35">
        <f ca="1">OFFSET(TblProd[[#This Row],[Platinum]],-1,0)+OFFSET(TblProd[[#This Row],[Plat/hr]],-1,0) - TblProd[[#This Row],[Expenses Platinum]] + IF(TblProd[[#This Row],[Plat Bonus]],TblPop[[#This Row],[Peasants]]*4) + SUM(TblConstr[[#This Row],[Dest Hom]:[Dest Doc]])*TblConstr[[#This Row],[CPA Platinum -DB]]*tech_3_3_2*TblTech[[#This Row],[3-3]]</f>
        <v>168547</v>
      </c>
      <c r="I52" s="35">
        <f ca="1">OFFSET(TblProd[[#This Row],[Food]],-1,0)+OFFSET(TblProd[[#This Row],[Food/hr]],-1,0)+ROUNDUP((TblConstr[[#This Row],[Farms]]*80+TblConstr[[#This Row],[Docks]]*35)*(1+OFFSET(TblProd[[#This Row],[Bonus Food/hr]],-1,0)),0)</f>
        <v>100641</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MAX(_xlfn.CEILING.MATH(TblProd[[#This Row],[Land]]*2.5+IFERROR(OFFSET(TblTech[[#This Row],[Sum of tech]],-1,0)*50,0)),3750)</f>
        <v>3750</v>
      </c>
      <c r="R52" s="149"/>
      <c r="S52" s="35">
        <f ca="1">ROUNDDOWN(TblProd[[#This Row],[Raw Plat/hr]]*(1+TblProd[[#This Row],[Bonus Plat/hr]]),0)</f>
        <v>788</v>
      </c>
      <c r="T52" s="35">
        <f ca="1">ROUND(TblProd[[#This Row],[Raw Food/hr]]*(1+TblProd[[#This Row],[Bonus Food/hr]])-TblProd[[#This Row],[Food decay]]-TblProd[[#This Row],[Food eaten]],0)</f>
        <v>1381</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3">
        <f ca="1">OFFSET(TblConstr[[#This Row],[Tot Doc]],1,0)*dock_boats_hr * (1 + tech_4_1*TblTech[[#This Row],[4-1]])</f>
        <v>0</v>
      </c>
      <c r="Z52" s="162"/>
      <c r="AA52" s="35">
        <f ca="1">TblPop[[#This Row],[Peasants]]*tax*TblPop[[#This Row],[Employment]] + (Construction!AZ53+Construction!BX53)*(alch_plat+(Magic!AN52&gt;0)*alchemist_flame_bonus)</f>
        <v>788.40000000000009</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49"/>
      <c r="AH52" s="164">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Row],[Spires]]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49"/>
      <c r="AO52" s="35">
        <f ca="1">TblProd[[#This Row],[Food]]*food_decay * (1 + tech_2_1*TblTech[[#This Row],[2-1]] + tech_2_8*TblTech[[#This Row],[2-8]] + IF(AND(TblMagic[[#This Row],[Active DnD]]&lt;12,TblMagic[[#This Row],[Active DnD]]&gt;5),1,0))</f>
        <v>1006.41</v>
      </c>
      <c r="AP52" s="35">
        <f ca="1">(1+race_food_consumption)*TblPop[[#This Row],[Total]]*food_per_person*(1+tech_1_10*TblTech[[#This Row],[1-10]]+tech_7_5*TblTech[[#This Row],[7-5]] + IF(TblMagic[[#This Row],[Active Infernal Command]]&gt;0,demonic_pact_food_cons,0))</f>
        <v>192.25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2"/>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49"/>
      <c r="AZ52" s="148" t="b">
        <f ca="1">IF(TblProd[[#This Row],[Set Guard]]&lt;&gt;"",TblProd[[#This Row],[Set Guard]],OFFSET(TblProd[[#This Row],[Guard]],-1,0))</f>
        <v>0</v>
      </c>
      <c r="BA52" s="161"/>
      <c r="BB52" s="5" t="str">
        <f>TblProd[[#This Row],[Hour]]</f>
        <v>OOP</v>
      </c>
      <c r="BC52" s="166">
        <f>-TblProd[[#This Row],[Bank Lumber]] / 2 + -TblProd[[#This Row],[Bank Gems]] * 2 + -TblProd[[#This Row],[Bank Ore]] / 2</f>
        <v>0</v>
      </c>
      <c r="BD52" s="166"/>
      <c r="BE52" s="166"/>
      <c r="BF52" s="166"/>
      <c r="BG52" s="167">
        <f ca="1">TblProd[[#This Row],[Time]]</f>
        <v>46181.999999999884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168547</v>
      </c>
      <c r="BJ52" s="35">
        <f ca="1">TblProd[[#This Row],[Food]]</f>
        <v>100641</v>
      </c>
      <c r="BK52" s="35">
        <f ca="1">TblProd[[#This Row],[Lumber]]</f>
        <v>47529</v>
      </c>
      <c r="BL52" s="35">
        <f ca="1">TblProd[[#This Row],[Mana]]</f>
        <v>0</v>
      </c>
      <c r="BM52" s="35">
        <f ca="1">TblProd[[#This Row],[Ore]]</f>
        <v>0</v>
      </c>
    </row>
    <row r="53" spans="1:65" x14ac:dyDescent="0.2">
      <c r="A53" s="137">
        <v>2</v>
      </c>
      <c r="B53" s="152">
        <f ca="1">TblImps[[#This Row],[Time]]</f>
        <v>46182.041666666548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Infernal Command]]&gt;0,demonic_pact_food_cons,0))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2</v>
      </c>
      <c r="BC53" s="158">
        <f>-TblProd[[#This Row],[Bank Lumber]] / 2 + -TblProd[[#This Row],[Bank Gems]] * 2 + -TblProd[[#This Row],[Bank Ore]] / 2</f>
        <v>0</v>
      </c>
      <c r="BD53" s="158"/>
      <c r="BE53" s="158"/>
      <c r="BF53" s="158"/>
      <c r="BG53" s="159">
        <f ca="1">TblProd[[#This Row],[Time]]</f>
        <v>46182.041666666548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x14ac:dyDescent="0.2">
      <c r="A54" s="137">
        <f>A53+1</f>
        <v>3</v>
      </c>
      <c r="B54" s="152">
        <f ca="1">TblImps[[#This Row],[Time]]</f>
        <v>46182.083333333212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Infernal Command]]&gt;0,demonic_pact_food_cons,0))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3</v>
      </c>
      <c r="BC54" s="158">
        <f>-TblProd[[#This Row],[Bank Lumber]] / 2 + -TblProd[[#This Row],[Bank Gems]] * 2 + -TblProd[[#This Row],[Bank Ore]] / 2</f>
        <v>0</v>
      </c>
      <c r="BD54" s="158"/>
      <c r="BE54" s="158"/>
      <c r="BF54" s="158"/>
      <c r="BG54" s="159">
        <f ca="1">TblProd[[#This Row],[Time]]</f>
        <v>46182.083333333212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x14ac:dyDescent="0.2">
      <c r="A55" s="137">
        <f t="shared" ref="A55:A118" si="0">A54+1</f>
        <v>4</v>
      </c>
      <c r="B55" s="152">
        <f ca="1">TblImps[[#This Row],[Time]]</f>
        <v>46182.124999999876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Infernal Command]]&gt;0,demonic_pact_food_cons,0))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4</v>
      </c>
      <c r="BC55" s="158">
        <f>-TblProd[[#This Row],[Bank Lumber]] / 2 + -TblProd[[#This Row],[Bank Gems]] * 2 + -TblProd[[#This Row],[Bank Ore]] / 2</f>
        <v>0</v>
      </c>
      <c r="BD55" s="158"/>
      <c r="BE55" s="158"/>
      <c r="BF55" s="158"/>
      <c r="BG55" s="159">
        <f ca="1">TblProd[[#This Row],[Time]]</f>
        <v>46182.124999999876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x14ac:dyDescent="0.2">
      <c r="A56" s="137">
        <f t="shared" si="0"/>
        <v>5</v>
      </c>
      <c r="B56" s="152">
        <f ca="1">TblImps[[#This Row],[Time]]</f>
        <v>46182.166666666541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Infernal Command]]&gt;0,demonic_pact_food_cons,0))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5</v>
      </c>
      <c r="BC56" s="158">
        <f>-TblProd[[#This Row],[Bank Lumber]] / 2 + -TblProd[[#This Row],[Bank Gems]] * 2 + -TblProd[[#This Row],[Bank Ore]] / 2</f>
        <v>0</v>
      </c>
      <c r="BD56" s="158"/>
      <c r="BE56" s="158"/>
      <c r="BF56" s="158"/>
      <c r="BG56" s="159">
        <f ca="1">TblProd[[#This Row],[Time]]</f>
        <v>46182.166666666541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x14ac:dyDescent="0.2">
      <c r="A57" s="137">
        <f t="shared" si="0"/>
        <v>6</v>
      </c>
      <c r="B57" s="152">
        <f ca="1">TblImps[[#This Row],[Time]]</f>
        <v>46182.208333333205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Infernal Command]]&gt;0,demonic_pact_food_cons,0))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6</v>
      </c>
      <c r="BC57" s="158">
        <f>-TblProd[[#This Row],[Bank Lumber]] / 2 + -TblProd[[#This Row],[Bank Gems]] * 2 + -TblProd[[#This Row],[Bank Ore]] / 2</f>
        <v>0</v>
      </c>
      <c r="BD57" s="158"/>
      <c r="BE57" s="158"/>
      <c r="BF57" s="158"/>
      <c r="BG57" s="159">
        <f ca="1">TblProd[[#This Row],[Time]]</f>
        <v>46182.208333333205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x14ac:dyDescent="0.2">
      <c r="A58" s="137">
        <f t="shared" si="0"/>
        <v>7</v>
      </c>
      <c r="B58" s="152">
        <f ca="1">TblImps[[#This Row],[Time]]</f>
        <v>46182.249999999869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Infernal Command]]&gt;0,demonic_pact_food_cons,0))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7</v>
      </c>
      <c r="BC58" s="158">
        <f>-TblProd[[#This Row],[Bank Lumber]] / 2 + -TblProd[[#This Row],[Bank Gems]] * 2 + -TblProd[[#This Row],[Bank Ore]] / 2</f>
        <v>0</v>
      </c>
      <c r="BD58" s="158"/>
      <c r="BE58" s="158"/>
      <c r="BF58" s="158"/>
      <c r="BG58" s="159">
        <f ca="1">TblProd[[#This Row],[Time]]</f>
        <v>46182.249999999869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x14ac:dyDescent="0.2">
      <c r="A59" s="137">
        <f t="shared" si="0"/>
        <v>8</v>
      </c>
      <c r="B59" s="152">
        <f ca="1">TblImps[[#This Row],[Time]]</f>
        <v>46182.291666666533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Infernal Command]]&gt;0,demonic_pact_food_cons,0))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8</v>
      </c>
      <c r="BC59" s="158">
        <f>-TblProd[[#This Row],[Bank Lumber]] / 2 + -TblProd[[#This Row],[Bank Gems]] * 2 + -TblProd[[#This Row],[Bank Ore]] / 2</f>
        <v>0</v>
      </c>
      <c r="BD59" s="158"/>
      <c r="BE59" s="158"/>
      <c r="BF59" s="158"/>
      <c r="BG59" s="159">
        <f ca="1">TblProd[[#This Row],[Time]]</f>
        <v>46182.291666666533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x14ac:dyDescent="0.2">
      <c r="A60" s="137">
        <f t="shared" si="0"/>
        <v>9</v>
      </c>
      <c r="B60" s="152">
        <f ca="1">TblImps[[#This Row],[Time]]</f>
        <v>46182.333333333198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Infernal Command]]&gt;0,demonic_pact_food_cons,0))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9</v>
      </c>
      <c r="BC60" s="158">
        <f>-TblProd[[#This Row],[Bank Lumber]] / 2 + -TblProd[[#This Row],[Bank Gems]] * 2 + -TblProd[[#This Row],[Bank Ore]] / 2</f>
        <v>0</v>
      </c>
      <c r="BD60" s="158"/>
      <c r="BE60" s="158"/>
      <c r="BF60" s="158"/>
      <c r="BG60" s="159">
        <f ca="1">TblProd[[#This Row],[Time]]</f>
        <v>46182.333333333198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x14ac:dyDescent="0.2">
      <c r="A61" s="137">
        <f t="shared" si="0"/>
        <v>10</v>
      </c>
      <c r="B61" s="152">
        <f ca="1">TblImps[[#This Row],[Time]]</f>
        <v>46182.374999999862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Infernal Command]]&gt;0,demonic_pact_food_cons,0))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10</v>
      </c>
      <c r="BC61" s="158">
        <f>-TblProd[[#This Row],[Bank Lumber]] / 2 + -TblProd[[#This Row],[Bank Gems]] * 2 + -TblProd[[#This Row],[Bank Ore]] / 2</f>
        <v>0</v>
      </c>
      <c r="BD61" s="158"/>
      <c r="BE61" s="158"/>
      <c r="BF61" s="158"/>
      <c r="BG61" s="159">
        <f ca="1">TblProd[[#This Row],[Time]]</f>
        <v>46182.374999999862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x14ac:dyDescent="0.2">
      <c r="A62" s="137">
        <f t="shared" si="0"/>
        <v>11</v>
      </c>
      <c r="B62" s="152">
        <f ca="1">TblImps[[#This Row],[Time]]</f>
        <v>46182.416666666526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Infernal Command]]&gt;0,demonic_pact_food_cons,0))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11</v>
      </c>
      <c r="BC62" s="158">
        <f>-TblProd[[#This Row],[Bank Lumber]] / 2 + -TblProd[[#This Row],[Bank Gems]] * 2 + -TblProd[[#This Row],[Bank Ore]] / 2</f>
        <v>0</v>
      </c>
      <c r="BD62" s="158"/>
      <c r="BE62" s="158"/>
      <c r="BF62" s="158"/>
      <c r="BG62" s="159">
        <f ca="1">TblProd[[#This Row],[Time]]</f>
        <v>46182.416666666526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x14ac:dyDescent="0.2">
      <c r="A63" s="137">
        <f t="shared" si="0"/>
        <v>12</v>
      </c>
      <c r="B63" s="152">
        <f ca="1">TblImps[[#This Row],[Time]]</f>
        <v>46182.45833333319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Infernal Command]]&gt;0,demonic_pact_food_cons,0))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12</v>
      </c>
      <c r="BC63" s="158">
        <f>-TblProd[[#This Row],[Bank Lumber]] / 2 + -TblProd[[#This Row],[Bank Gems]] * 2 + -TblProd[[#This Row],[Bank Ore]] / 2</f>
        <v>0</v>
      </c>
      <c r="BD63" s="158"/>
      <c r="BE63" s="158"/>
      <c r="BF63" s="158"/>
      <c r="BG63" s="159">
        <f ca="1">TblProd[[#This Row],[Time]]</f>
        <v>46182.45833333319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x14ac:dyDescent="0.2">
      <c r="A64" s="137">
        <f t="shared" si="0"/>
        <v>13</v>
      </c>
      <c r="B64" s="152">
        <f ca="1">TblImps[[#This Row],[Time]]</f>
        <v>46182.499999999854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Infernal Command]]&gt;0,demonic_pact_food_cons,0))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13</v>
      </c>
      <c r="BC64" s="158">
        <f>-TblProd[[#This Row],[Bank Lumber]] / 2 + -TblProd[[#This Row],[Bank Gems]] * 2 + -TblProd[[#This Row],[Bank Ore]] / 2</f>
        <v>0</v>
      </c>
      <c r="BD64" s="158"/>
      <c r="BE64" s="158"/>
      <c r="BF64" s="158"/>
      <c r="BG64" s="159">
        <f ca="1">TblProd[[#This Row],[Time]]</f>
        <v>46182.499999999854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x14ac:dyDescent="0.2">
      <c r="A65" s="137">
        <f t="shared" si="0"/>
        <v>14</v>
      </c>
      <c r="B65" s="152">
        <f ca="1">TblImps[[#This Row],[Time]]</f>
        <v>46182.541666666519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Infernal Command]]&gt;0,demonic_pact_food_cons,0))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14</v>
      </c>
      <c r="BC65" s="158">
        <f>-TblProd[[#This Row],[Bank Lumber]] / 2 + -TblProd[[#This Row],[Bank Gems]] * 2 + -TblProd[[#This Row],[Bank Ore]] / 2</f>
        <v>0</v>
      </c>
      <c r="BD65" s="158"/>
      <c r="BE65" s="158"/>
      <c r="BF65" s="158"/>
      <c r="BG65" s="159">
        <f ca="1">TblProd[[#This Row],[Time]]</f>
        <v>46182.541666666519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x14ac:dyDescent="0.2">
      <c r="A66" s="137">
        <f t="shared" si="0"/>
        <v>15</v>
      </c>
      <c r="B66" s="152">
        <f ca="1">TblImps[[#This Row],[Time]]</f>
        <v>46182.583333333183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Infernal Command]]&gt;0,demonic_pact_food_cons,0))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15</v>
      </c>
      <c r="BC66" s="158">
        <f>-TblProd[[#This Row],[Bank Lumber]] / 2 + -TblProd[[#This Row],[Bank Gems]] * 2 + -TblProd[[#This Row],[Bank Ore]] / 2</f>
        <v>0</v>
      </c>
      <c r="BD66" s="158"/>
      <c r="BE66" s="158"/>
      <c r="BF66" s="158"/>
      <c r="BG66" s="159">
        <f ca="1">TblProd[[#This Row],[Time]]</f>
        <v>46182.583333333183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x14ac:dyDescent="0.2">
      <c r="A67" s="137">
        <f t="shared" si="0"/>
        <v>16</v>
      </c>
      <c r="B67" s="152">
        <f ca="1">TblImps[[#This Row],[Time]]</f>
        <v>46182.624999999847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Infernal Command]]&gt;0,demonic_pact_food_cons,0))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16</v>
      </c>
      <c r="BC67" s="158">
        <f>-TblProd[[#This Row],[Bank Lumber]] / 2 + -TblProd[[#This Row],[Bank Gems]] * 2 + -TblProd[[#This Row],[Bank Ore]] / 2</f>
        <v>0</v>
      </c>
      <c r="BD67" s="158"/>
      <c r="BE67" s="158"/>
      <c r="BF67" s="158"/>
      <c r="BG67" s="159">
        <f ca="1">TblProd[[#This Row],[Time]]</f>
        <v>46182.624999999847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x14ac:dyDescent="0.2">
      <c r="A68" s="137">
        <f t="shared" si="0"/>
        <v>17</v>
      </c>
      <c r="B68" s="152">
        <f ca="1">TblImps[[#This Row],[Time]]</f>
        <v>46182.666666666511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Infernal Command]]&gt;0,demonic_pact_food_cons,0))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17</v>
      </c>
      <c r="BC68" s="158">
        <f>-TblProd[[#This Row],[Bank Lumber]] / 2 + -TblProd[[#This Row],[Bank Gems]] * 2 + -TblProd[[#This Row],[Bank Ore]] / 2</f>
        <v>0</v>
      </c>
      <c r="BD68" s="158"/>
      <c r="BE68" s="158"/>
      <c r="BF68" s="158"/>
      <c r="BG68" s="159">
        <f ca="1">TblProd[[#This Row],[Time]]</f>
        <v>46182.666666666511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x14ac:dyDescent="0.2">
      <c r="A69" s="137">
        <f t="shared" si="0"/>
        <v>18</v>
      </c>
      <c r="B69" s="152">
        <f ca="1">TblImps[[#This Row],[Time]]</f>
        <v>46182.708333333176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Infernal Command]]&gt;0,demonic_pact_food_cons,0))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18</v>
      </c>
      <c r="BC69" s="158">
        <f>-TblProd[[#This Row],[Bank Lumber]] / 2 + -TblProd[[#This Row],[Bank Gems]] * 2 + -TblProd[[#This Row],[Bank Ore]] / 2</f>
        <v>0</v>
      </c>
      <c r="BD69" s="158"/>
      <c r="BE69" s="158"/>
      <c r="BF69" s="158"/>
      <c r="BG69" s="159">
        <f ca="1">TblProd[[#This Row],[Time]]</f>
        <v>46182.708333333176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x14ac:dyDescent="0.2">
      <c r="A70" s="137">
        <f t="shared" si="0"/>
        <v>19</v>
      </c>
      <c r="B70" s="152">
        <f ca="1">TblImps[[#This Row],[Time]]</f>
        <v>46182.74999999984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Infernal Command]]&gt;0,demonic_pact_food_cons,0))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19</v>
      </c>
      <c r="BC70" s="158">
        <f>-TblProd[[#This Row],[Bank Lumber]] / 2 + -TblProd[[#This Row],[Bank Gems]] * 2 + -TblProd[[#This Row],[Bank Ore]] / 2</f>
        <v>0</v>
      </c>
      <c r="BD70" s="158"/>
      <c r="BE70" s="158"/>
      <c r="BF70" s="158"/>
      <c r="BG70" s="159">
        <f ca="1">TblProd[[#This Row],[Time]]</f>
        <v>46182.74999999984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x14ac:dyDescent="0.2">
      <c r="A71" s="137">
        <f t="shared" si="0"/>
        <v>20</v>
      </c>
      <c r="B71" s="152">
        <f ca="1">TblImps[[#This Row],[Time]]</f>
        <v>46182.791666666504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Infernal Command]]&gt;0,demonic_pact_food_cons,0))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20</v>
      </c>
      <c r="BC71" s="158">
        <f>-TblProd[[#This Row],[Bank Lumber]] / 2 + -TblProd[[#This Row],[Bank Gems]] * 2 + -TblProd[[#This Row],[Bank Ore]] / 2</f>
        <v>0</v>
      </c>
      <c r="BD71" s="158"/>
      <c r="BE71" s="158"/>
      <c r="BF71" s="158"/>
      <c r="BG71" s="159">
        <f ca="1">TblProd[[#This Row],[Time]]</f>
        <v>46182.791666666504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x14ac:dyDescent="0.2">
      <c r="A72" s="137">
        <f t="shared" si="0"/>
        <v>21</v>
      </c>
      <c r="B72" s="152">
        <f ca="1">TblImps[[#This Row],[Time]]</f>
        <v>46182.833333333168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Infernal Command]]&gt;0,demonic_pact_food_cons,0))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21</v>
      </c>
      <c r="BC72" s="158">
        <f>-TblProd[[#This Row],[Bank Lumber]] / 2 + -TblProd[[#This Row],[Bank Gems]] * 2 + -TblProd[[#This Row],[Bank Ore]] / 2</f>
        <v>0</v>
      </c>
      <c r="BD72" s="158"/>
      <c r="BE72" s="158"/>
      <c r="BF72" s="158"/>
      <c r="BG72" s="159">
        <f ca="1">TblProd[[#This Row],[Time]]</f>
        <v>46182.833333333168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x14ac:dyDescent="0.2">
      <c r="A73" s="137">
        <f t="shared" si="0"/>
        <v>22</v>
      </c>
      <c r="B73" s="152">
        <f ca="1">TblImps[[#This Row],[Time]]</f>
        <v>46182.874999999833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Infernal Command]]&gt;0,demonic_pact_food_cons,0))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22</v>
      </c>
      <c r="BC73" s="158">
        <f>-TblProd[[#This Row],[Bank Lumber]] / 2 + -TblProd[[#This Row],[Bank Gems]] * 2 + -TblProd[[#This Row],[Bank Ore]] / 2</f>
        <v>0</v>
      </c>
      <c r="BD73" s="158"/>
      <c r="BE73" s="158"/>
      <c r="BF73" s="158"/>
      <c r="BG73" s="159">
        <f ca="1">TblProd[[#This Row],[Time]]</f>
        <v>46182.874999999833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x14ac:dyDescent="0.2">
      <c r="A74" s="137">
        <f t="shared" si="0"/>
        <v>23</v>
      </c>
      <c r="B74" s="152">
        <f ca="1">TblImps[[#This Row],[Time]]</f>
        <v>46182.916666666497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Infernal Command]]&gt;0,demonic_pact_food_cons,0))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23</v>
      </c>
      <c r="BC74" s="158">
        <f>-TblProd[[#This Row],[Bank Lumber]] / 2 + -TblProd[[#This Row],[Bank Gems]] * 2 + -TblProd[[#This Row],[Bank Ore]] / 2</f>
        <v>0</v>
      </c>
      <c r="BD74" s="158"/>
      <c r="BE74" s="158"/>
      <c r="BF74" s="158"/>
      <c r="BG74" s="159">
        <f ca="1">TblProd[[#This Row],[Time]]</f>
        <v>46182.916666666497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x14ac:dyDescent="0.2">
      <c r="A75" s="137">
        <f t="shared" si="0"/>
        <v>24</v>
      </c>
      <c r="B75" s="152">
        <f ca="1">TblImps[[#This Row],[Time]]</f>
        <v>46182.958333333161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Infernal Command]]&gt;0,demonic_pact_food_cons,0))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24</v>
      </c>
      <c r="BC75" s="158">
        <f>-TblProd[[#This Row],[Bank Lumber]] / 2 + -TblProd[[#This Row],[Bank Gems]] * 2 + -TblProd[[#This Row],[Bank Ore]] / 2</f>
        <v>0</v>
      </c>
      <c r="BD75" s="158"/>
      <c r="BE75" s="158"/>
      <c r="BF75" s="158"/>
      <c r="BG75" s="159">
        <f ca="1">TblProd[[#This Row],[Time]]</f>
        <v>46182.958333333161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x14ac:dyDescent="0.2">
      <c r="A76" s="137">
        <f t="shared" si="0"/>
        <v>25</v>
      </c>
      <c r="B76" s="152">
        <f ca="1">TblImps[[#This Row],[Time]]</f>
        <v>46182.999999999825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Infernal Command]]&gt;0,demonic_pact_food_cons,0))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25</v>
      </c>
      <c r="BC76" s="158">
        <f>-TblProd[[#This Row],[Bank Lumber]] / 2 + -TblProd[[#This Row],[Bank Gems]] * 2 + -TblProd[[#This Row],[Bank Ore]] / 2</f>
        <v>0</v>
      </c>
      <c r="BD76" s="158"/>
      <c r="BE76" s="158"/>
      <c r="BF76" s="158"/>
      <c r="BG76" s="159">
        <f ca="1">TblProd[[#This Row],[Time]]</f>
        <v>46182.999999999825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x14ac:dyDescent="0.2">
      <c r="A77" s="137">
        <f t="shared" si="0"/>
        <v>26</v>
      </c>
      <c r="B77" s="152">
        <f ca="1">TblImps[[#This Row],[Time]]</f>
        <v>46183.04166666649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Infernal Command]]&gt;0,demonic_pact_food_cons,0))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26</v>
      </c>
      <c r="BC77" s="158">
        <f>-TblProd[[#This Row],[Bank Lumber]] / 2 + -TblProd[[#This Row],[Bank Gems]] * 2 + -TblProd[[#This Row],[Bank Ore]] / 2</f>
        <v>0</v>
      </c>
      <c r="BD77" s="158"/>
      <c r="BE77" s="158"/>
      <c r="BF77" s="158"/>
      <c r="BG77" s="159">
        <f ca="1">TblProd[[#This Row],[Time]]</f>
        <v>46183.04166666649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x14ac:dyDescent="0.2">
      <c r="A78" s="137">
        <f t="shared" si="0"/>
        <v>27</v>
      </c>
      <c r="B78" s="152">
        <f ca="1">TblImps[[#This Row],[Time]]</f>
        <v>46183.083333333154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Infernal Command]]&gt;0,demonic_pact_food_cons,0))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27</v>
      </c>
      <c r="BC78" s="158">
        <f>-TblProd[[#This Row],[Bank Lumber]] / 2 + -TblProd[[#This Row],[Bank Gems]] * 2 + -TblProd[[#This Row],[Bank Ore]] / 2</f>
        <v>0</v>
      </c>
      <c r="BD78" s="158"/>
      <c r="BE78" s="158"/>
      <c r="BF78" s="158"/>
      <c r="BG78" s="159">
        <f ca="1">TblProd[[#This Row],[Time]]</f>
        <v>46183.083333333154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x14ac:dyDescent="0.2">
      <c r="A79" s="137">
        <f t="shared" si="0"/>
        <v>28</v>
      </c>
      <c r="B79" s="152">
        <f ca="1">TblImps[[#This Row],[Time]]</f>
        <v>46183.124999999818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Infernal Command]]&gt;0,demonic_pact_food_cons,0))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28</v>
      </c>
      <c r="BC79" s="158">
        <f>-TblProd[[#This Row],[Bank Lumber]] / 2 + -TblProd[[#This Row],[Bank Gems]] * 2 + -TblProd[[#This Row],[Bank Ore]] / 2</f>
        <v>0</v>
      </c>
      <c r="BD79" s="158"/>
      <c r="BE79" s="158"/>
      <c r="BF79" s="158"/>
      <c r="BG79" s="159">
        <f ca="1">TblProd[[#This Row],[Time]]</f>
        <v>46183.124999999818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x14ac:dyDescent="0.2">
      <c r="A80" s="137">
        <f t="shared" si="0"/>
        <v>29</v>
      </c>
      <c r="B80" s="152">
        <f ca="1">TblImps[[#This Row],[Time]]</f>
        <v>46183.166666666482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Infernal Command]]&gt;0,demonic_pact_food_cons,0))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29</v>
      </c>
      <c r="BC80" s="158">
        <f>-TblProd[[#This Row],[Bank Lumber]] / 2 + -TblProd[[#This Row],[Bank Gems]] * 2 + -TblProd[[#This Row],[Bank Ore]] / 2</f>
        <v>0</v>
      </c>
      <c r="BD80" s="158"/>
      <c r="BE80" s="158"/>
      <c r="BF80" s="158"/>
      <c r="BG80" s="159">
        <f ca="1">TblProd[[#This Row],[Time]]</f>
        <v>46183.166666666482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x14ac:dyDescent="0.2">
      <c r="A81" s="137">
        <f t="shared" si="0"/>
        <v>30</v>
      </c>
      <c r="B81" s="152">
        <f ca="1">TblImps[[#This Row],[Time]]</f>
        <v>46183.208333333147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Infernal Command]]&gt;0,demonic_pact_food_cons,0))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30</v>
      </c>
      <c r="BC81" s="158">
        <f>-TblProd[[#This Row],[Bank Lumber]] / 2 + -TblProd[[#This Row],[Bank Gems]] * 2 + -TblProd[[#This Row],[Bank Ore]] / 2</f>
        <v>0</v>
      </c>
      <c r="BD81" s="158"/>
      <c r="BE81" s="158"/>
      <c r="BF81" s="158"/>
      <c r="BG81" s="159">
        <f ca="1">TblProd[[#This Row],[Time]]</f>
        <v>46183.208333333147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x14ac:dyDescent="0.2">
      <c r="A82" s="137">
        <f t="shared" si="0"/>
        <v>31</v>
      </c>
      <c r="B82" s="152">
        <f ca="1">TblImps[[#This Row],[Time]]</f>
        <v>46183.249999999811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Infernal Command]]&gt;0,demonic_pact_food_cons,0))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31</v>
      </c>
      <c r="BC82" s="158">
        <f>-TblProd[[#This Row],[Bank Lumber]] / 2 + -TblProd[[#This Row],[Bank Gems]] * 2 + -TblProd[[#This Row],[Bank Ore]] / 2</f>
        <v>0</v>
      </c>
      <c r="BD82" s="158"/>
      <c r="BE82" s="158"/>
      <c r="BF82" s="158"/>
      <c r="BG82" s="159">
        <f ca="1">TblProd[[#This Row],[Time]]</f>
        <v>46183.249999999811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x14ac:dyDescent="0.2">
      <c r="A83" s="137">
        <f t="shared" si="0"/>
        <v>32</v>
      </c>
      <c r="B83" s="152">
        <f ca="1">TblImps[[#This Row],[Time]]</f>
        <v>46183.291666666475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Infernal Command]]&gt;0,demonic_pact_food_cons,0))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32</v>
      </c>
      <c r="BC83" s="158">
        <f>-TblProd[[#This Row],[Bank Lumber]] / 2 + -TblProd[[#This Row],[Bank Gems]] * 2 + -TblProd[[#This Row],[Bank Ore]] / 2</f>
        <v>0</v>
      </c>
      <c r="BD83" s="158"/>
      <c r="BE83" s="158"/>
      <c r="BF83" s="158"/>
      <c r="BG83" s="159">
        <f ca="1">TblProd[[#This Row],[Time]]</f>
        <v>46183.291666666475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x14ac:dyDescent="0.2">
      <c r="A84" s="137">
        <f t="shared" si="0"/>
        <v>33</v>
      </c>
      <c r="B84" s="152">
        <f ca="1">TblImps[[#This Row],[Time]]</f>
        <v>46183.333333333139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Infernal Command]]&gt;0,demonic_pact_food_cons,0))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33</v>
      </c>
      <c r="BC84" s="158">
        <f>-TblProd[[#This Row],[Bank Lumber]] / 2 + -TblProd[[#This Row],[Bank Gems]] * 2 + -TblProd[[#This Row],[Bank Ore]] / 2</f>
        <v>0</v>
      </c>
      <c r="BD84" s="158"/>
      <c r="BE84" s="158"/>
      <c r="BF84" s="158"/>
      <c r="BG84" s="159">
        <f ca="1">TblProd[[#This Row],[Time]]</f>
        <v>46183.333333333139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x14ac:dyDescent="0.2">
      <c r="A85" s="137">
        <f t="shared" si="0"/>
        <v>34</v>
      </c>
      <c r="B85" s="152">
        <f ca="1">TblImps[[#This Row],[Time]]</f>
        <v>46183.374999999804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Infernal Command]]&gt;0,demonic_pact_food_cons,0))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34</v>
      </c>
      <c r="BC85" s="158">
        <f>-TblProd[[#This Row],[Bank Lumber]] / 2 + -TblProd[[#This Row],[Bank Gems]] * 2 + -TblProd[[#This Row],[Bank Ore]] / 2</f>
        <v>0</v>
      </c>
      <c r="BD85" s="158"/>
      <c r="BE85" s="158"/>
      <c r="BF85" s="158"/>
      <c r="BG85" s="159">
        <f ca="1">TblProd[[#This Row],[Time]]</f>
        <v>46183.374999999804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x14ac:dyDescent="0.2">
      <c r="A86" s="137">
        <f t="shared" si="0"/>
        <v>35</v>
      </c>
      <c r="B86" s="152">
        <f ca="1">TblImps[[#This Row],[Time]]</f>
        <v>46183.416666666468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Infernal Command]]&gt;0,demonic_pact_food_cons,0))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35</v>
      </c>
      <c r="BC86" s="158">
        <f>-TblProd[[#This Row],[Bank Lumber]] / 2 + -TblProd[[#This Row],[Bank Gems]] * 2 + -TblProd[[#This Row],[Bank Ore]] / 2</f>
        <v>0</v>
      </c>
      <c r="BD86" s="158"/>
      <c r="BE86" s="158"/>
      <c r="BF86" s="158"/>
      <c r="BG86" s="159">
        <f ca="1">TblProd[[#This Row],[Time]]</f>
        <v>46183.416666666468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x14ac:dyDescent="0.2">
      <c r="A87" s="137">
        <f t="shared" si="0"/>
        <v>36</v>
      </c>
      <c r="B87" s="152">
        <f ca="1">TblImps[[#This Row],[Time]]</f>
        <v>46183.458333333132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Infernal Command]]&gt;0,demonic_pact_food_cons,0))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36</v>
      </c>
      <c r="BC87" s="158">
        <f>-TblProd[[#This Row],[Bank Lumber]] / 2 + -TblProd[[#This Row],[Bank Gems]] * 2 + -TblProd[[#This Row],[Bank Ore]] / 2</f>
        <v>0</v>
      </c>
      <c r="BD87" s="158"/>
      <c r="BE87" s="158"/>
      <c r="BF87" s="158"/>
      <c r="BG87" s="159">
        <f ca="1">TblProd[[#This Row],[Time]]</f>
        <v>46183.458333333132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x14ac:dyDescent="0.2">
      <c r="A88" s="137">
        <f t="shared" si="0"/>
        <v>37</v>
      </c>
      <c r="B88" s="152">
        <f ca="1">TblImps[[#This Row],[Time]]</f>
        <v>46183.499999999796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Infernal Command]]&gt;0,demonic_pact_food_cons,0))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37</v>
      </c>
      <c r="BC88" s="158">
        <f>-TblProd[[#This Row],[Bank Lumber]] / 2 + -TblProd[[#This Row],[Bank Gems]] * 2 + -TblProd[[#This Row],[Bank Ore]] / 2</f>
        <v>0</v>
      </c>
      <c r="BD88" s="158"/>
      <c r="BE88" s="158"/>
      <c r="BF88" s="158"/>
      <c r="BG88" s="159">
        <f ca="1">TblProd[[#This Row],[Time]]</f>
        <v>46183.499999999796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x14ac:dyDescent="0.2">
      <c r="A89" s="137">
        <f t="shared" si="0"/>
        <v>38</v>
      </c>
      <c r="B89" s="152">
        <f ca="1">TblImps[[#This Row],[Time]]</f>
        <v>46183.541666666461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Infernal Command]]&gt;0,demonic_pact_food_cons,0))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38</v>
      </c>
      <c r="BC89" s="158">
        <f>-TblProd[[#This Row],[Bank Lumber]] / 2 + -TblProd[[#This Row],[Bank Gems]] * 2 + -TblProd[[#This Row],[Bank Ore]] / 2</f>
        <v>0</v>
      </c>
      <c r="BD89" s="158"/>
      <c r="BE89" s="158"/>
      <c r="BF89" s="158"/>
      <c r="BG89" s="159">
        <f ca="1">TblProd[[#This Row],[Time]]</f>
        <v>46183.541666666461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x14ac:dyDescent="0.2">
      <c r="A90" s="137">
        <f t="shared" si="0"/>
        <v>39</v>
      </c>
      <c r="B90" s="152">
        <f ca="1">TblImps[[#This Row],[Time]]</f>
        <v>46183.583333333125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Infernal Command]]&gt;0,demonic_pact_food_cons,0))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39</v>
      </c>
      <c r="BC90" s="158">
        <f>-TblProd[[#This Row],[Bank Lumber]] / 2 + -TblProd[[#This Row],[Bank Gems]] * 2 + -TblProd[[#This Row],[Bank Ore]] / 2</f>
        <v>0</v>
      </c>
      <c r="BD90" s="158"/>
      <c r="BE90" s="158"/>
      <c r="BF90" s="158"/>
      <c r="BG90" s="159">
        <f ca="1">TblProd[[#This Row],[Time]]</f>
        <v>46183.583333333125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x14ac:dyDescent="0.2">
      <c r="A91" s="137">
        <f t="shared" si="0"/>
        <v>40</v>
      </c>
      <c r="B91" s="152">
        <f ca="1">TblImps[[#This Row],[Time]]</f>
        <v>46183.624999999789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Infernal Command]]&gt;0,demonic_pact_food_cons,0))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40</v>
      </c>
      <c r="BC91" s="158">
        <f>-TblProd[[#This Row],[Bank Lumber]] / 2 + -TblProd[[#This Row],[Bank Gems]] * 2 + -TblProd[[#This Row],[Bank Ore]] / 2</f>
        <v>0</v>
      </c>
      <c r="BD91" s="158"/>
      <c r="BE91" s="158"/>
      <c r="BF91" s="158"/>
      <c r="BG91" s="159">
        <f ca="1">TblProd[[#This Row],[Time]]</f>
        <v>46183.624999999789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x14ac:dyDescent="0.2">
      <c r="A92" s="137">
        <f t="shared" si="0"/>
        <v>41</v>
      </c>
      <c r="B92" s="152">
        <f ca="1">TblImps[[#This Row],[Time]]</f>
        <v>46183.666666666453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Infernal Command]]&gt;0,demonic_pact_food_cons,0))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41</v>
      </c>
      <c r="BC92" s="158">
        <f>-TblProd[[#This Row],[Bank Lumber]] / 2 + -TblProd[[#This Row],[Bank Gems]] * 2 + -TblProd[[#This Row],[Bank Ore]] / 2</f>
        <v>0</v>
      </c>
      <c r="BD92" s="158"/>
      <c r="BE92" s="158"/>
      <c r="BF92" s="158"/>
      <c r="BG92" s="159">
        <f ca="1">TblProd[[#This Row],[Time]]</f>
        <v>46183.666666666453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x14ac:dyDescent="0.2">
      <c r="A93" s="137">
        <f t="shared" si="0"/>
        <v>42</v>
      </c>
      <c r="B93" s="152">
        <f ca="1">TblImps[[#This Row],[Time]]</f>
        <v>46183.708333333117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Infernal Command]]&gt;0,demonic_pact_food_cons,0))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42</v>
      </c>
      <c r="BC93" s="158">
        <f>-TblProd[[#This Row],[Bank Lumber]] / 2 + -TblProd[[#This Row],[Bank Gems]] * 2 + -TblProd[[#This Row],[Bank Ore]] / 2</f>
        <v>0</v>
      </c>
      <c r="BD93" s="158"/>
      <c r="BE93" s="158"/>
      <c r="BF93" s="158"/>
      <c r="BG93" s="159">
        <f ca="1">TblProd[[#This Row],[Time]]</f>
        <v>46183.708333333117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x14ac:dyDescent="0.2">
      <c r="A94" s="137">
        <f t="shared" si="0"/>
        <v>43</v>
      </c>
      <c r="B94" s="152">
        <f ca="1">TblImps[[#This Row],[Time]]</f>
        <v>46183.749999999782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Infernal Command]]&gt;0,demonic_pact_food_cons,0))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43</v>
      </c>
      <c r="BC94" s="158">
        <f>-TblProd[[#This Row],[Bank Lumber]] / 2 + -TblProd[[#This Row],[Bank Gems]] * 2 + -TblProd[[#This Row],[Bank Ore]] / 2</f>
        <v>0</v>
      </c>
      <c r="BD94" s="158"/>
      <c r="BE94" s="158"/>
      <c r="BF94" s="158"/>
      <c r="BG94" s="159">
        <f ca="1">TblProd[[#This Row],[Time]]</f>
        <v>46183.749999999782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x14ac:dyDescent="0.2">
      <c r="A95" s="137">
        <f t="shared" si="0"/>
        <v>44</v>
      </c>
      <c r="B95" s="152">
        <f ca="1">TblImps[[#This Row],[Time]]</f>
        <v>46183.791666666446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Infernal Command]]&gt;0,demonic_pact_food_cons,0))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44</v>
      </c>
      <c r="BC95" s="158">
        <f>-TblProd[[#This Row],[Bank Lumber]] / 2 + -TblProd[[#This Row],[Bank Gems]] * 2 + -TblProd[[#This Row],[Bank Ore]] / 2</f>
        <v>0</v>
      </c>
      <c r="BD95" s="158"/>
      <c r="BE95" s="158"/>
      <c r="BF95" s="158"/>
      <c r="BG95" s="159">
        <f ca="1">TblProd[[#This Row],[Time]]</f>
        <v>46183.791666666446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x14ac:dyDescent="0.2">
      <c r="A96" s="137">
        <f t="shared" si="0"/>
        <v>45</v>
      </c>
      <c r="B96" s="152">
        <f ca="1">TblImps[[#This Row],[Time]]</f>
        <v>46183.83333333311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Infernal Command]]&gt;0,demonic_pact_food_cons,0))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45</v>
      </c>
      <c r="BC96" s="158">
        <f>-TblProd[[#This Row],[Bank Lumber]] / 2 + -TblProd[[#This Row],[Bank Gems]] * 2 + -TblProd[[#This Row],[Bank Ore]] / 2</f>
        <v>0</v>
      </c>
      <c r="BD96" s="158"/>
      <c r="BE96" s="158"/>
      <c r="BF96" s="158"/>
      <c r="BG96" s="159">
        <f ca="1">TblProd[[#This Row],[Time]]</f>
        <v>46183.83333333311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x14ac:dyDescent="0.2">
      <c r="A97" s="137">
        <f t="shared" si="0"/>
        <v>46</v>
      </c>
      <c r="B97" s="152">
        <f ca="1">TblImps[[#This Row],[Time]]</f>
        <v>46183.874999999774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Infernal Command]]&gt;0,demonic_pact_food_cons,0))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46</v>
      </c>
      <c r="BC97" s="158">
        <f>-TblProd[[#This Row],[Bank Lumber]] / 2 + -TblProd[[#This Row],[Bank Gems]] * 2 + -TblProd[[#This Row],[Bank Ore]] / 2</f>
        <v>0</v>
      </c>
      <c r="BD97" s="158"/>
      <c r="BE97" s="158"/>
      <c r="BF97" s="158"/>
      <c r="BG97" s="159">
        <f ca="1">TblProd[[#This Row],[Time]]</f>
        <v>46183.874999999774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x14ac:dyDescent="0.2">
      <c r="A98" s="137">
        <f t="shared" si="0"/>
        <v>47</v>
      </c>
      <c r="B98" s="152">
        <f ca="1">TblImps[[#This Row],[Time]]</f>
        <v>46183.916666666439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Infernal Command]]&gt;0,demonic_pact_food_cons,0))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47</v>
      </c>
      <c r="BC98" s="158">
        <f>-TblProd[[#This Row],[Bank Lumber]] / 2 + -TblProd[[#This Row],[Bank Gems]] * 2 + -TblProd[[#This Row],[Bank Ore]] / 2</f>
        <v>0</v>
      </c>
      <c r="BD98" s="158"/>
      <c r="BE98" s="158"/>
      <c r="BF98" s="158"/>
      <c r="BG98" s="159">
        <f ca="1">TblProd[[#This Row],[Time]]</f>
        <v>46183.916666666439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x14ac:dyDescent="0.2">
      <c r="A99" s="137">
        <f t="shared" si="0"/>
        <v>48</v>
      </c>
      <c r="B99" s="152">
        <f ca="1">TblImps[[#This Row],[Time]]</f>
        <v>46183.958333333103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Infernal Command]]&gt;0,demonic_pact_food_cons,0))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48</v>
      </c>
      <c r="BC99" s="158">
        <f>-TblProd[[#This Row],[Bank Lumber]] / 2 + -TblProd[[#This Row],[Bank Gems]] * 2 + -TblProd[[#This Row],[Bank Ore]] / 2</f>
        <v>0</v>
      </c>
      <c r="BD99" s="158"/>
      <c r="BE99" s="158"/>
      <c r="BF99" s="158"/>
      <c r="BG99" s="159">
        <f ca="1">TblProd[[#This Row],[Time]]</f>
        <v>46183.958333333103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x14ac:dyDescent="0.2">
      <c r="A100" s="137">
        <f t="shared" si="0"/>
        <v>49</v>
      </c>
      <c r="B100" s="152">
        <f ca="1">TblImps[[#This Row],[Time]]</f>
        <v>46183.999999999767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Infernal Command]]&gt;0,demonic_pact_food_cons,0))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49</v>
      </c>
      <c r="BC100" s="158">
        <f>-TblProd[[#This Row],[Bank Lumber]] / 2 + -TblProd[[#This Row],[Bank Gems]] * 2 + -TblProd[[#This Row],[Bank Ore]] / 2</f>
        <v>0</v>
      </c>
      <c r="BD100" s="158"/>
      <c r="BE100" s="158"/>
      <c r="BF100" s="158"/>
      <c r="BG100" s="159">
        <f ca="1">TblProd[[#This Row],[Time]]</f>
        <v>46183.999999999767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x14ac:dyDescent="0.2">
      <c r="A101" s="137">
        <f t="shared" si="0"/>
        <v>50</v>
      </c>
      <c r="B101" s="152">
        <f ca="1">TblImps[[#This Row],[Time]]</f>
        <v>46184.041666666431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Infernal Command]]&gt;0,demonic_pact_food_cons,0))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50</v>
      </c>
      <c r="BC101" s="158">
        <f>-TblProd[[#This Row],[Bank Lumber]] / 2 + -TblProd[[#This Row],[Bank Gems]] * 2 + -TblProd[[#This Row],[Bank Ore]] / 2</f>
        <v>0</v>
      </c>
      <c r="BD101" s="158"/>
      <c r="BE101" s="158"/>
      <c r="BF101" s="158"/>
      <c r="BG101" s="159">
        <f ca="1">TblProd[[#This Row],[Time]]</f>
        <v>46184.041666666431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x14ac:dyDescent="0.2">
      <c r="A102" s="137">
        <f t="shared" si="0"/>
        <v>51</v>
      </c>
      <c r="B102" s="152">
        <f ca="1">TblImps[[#This Row],[Time]]</f>
        <v>46184.083333333096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Infernal Command]]&gt;0,demonic_pact_food_cons,0))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51</v>
      </c>
      <c r="BC102" s="158">
        <f>-TblProd[[#This Row],[Bank Lumber]] / 2 + -TblProd[[#This Row],[Bank Gems]] * 2 + -TblProd[[#This Row],[Bank Ore]] / 2</f>
        <v>0</v>
      </c>
      <c r="BD102" s="158"/>
      <c r="BE102" s="158"/>
      <c r="BF102" s="158"/>
      <c r="BG102" s="159">
        <f ca="1">TblProd[[#This Row],[Time]]</f>
        <v>46184.083333333096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x14ac:dyDescent="0.2">
      <c r="A103" s="137">
        <f t="shared" si="0"/>
        <v>52</v>
      </c>
      <c r="B103" s="152">
        <f ca="1">TblImps[[#This Row],[Time]]</f>
        <v>46184.12499999976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Infernal Command]]&gt;0,demonic_pact_food_cons,0))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52</v>
      </c>
      <c r="BC103" s="158">
        <f>-TblProd[[#This Row],[Bank Lumber]] / 2 + -TblProd[[#This Row],[Bank Gems]] * 2 + -TblProd[[#This Row],[Bank Ore]] / 2</f>
        <v>0</v>
      </c>
      <c r="BD103" s="158"/>
      <c r="BE103" s="158"/>
      <c r="BF103" s="158"/>
      <c r="BG103" s="159">
        <f ca="1">TblProd[[#This Row],[Time]]</f>
        <v>46184.12499999976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x14ac:dyDescent="0.2">
      <c r="A104" s="137">
        <f t="shared" si="0"/>
        <v>53</v>
      </c>
      <c r="B104" s="152">
        <f ca="1">TblImps[[#This Row],[Time]]</f>
        <v>46184.166666666424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Infernal Command]]&gt;0,demonic_pact_food_cons,0))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53</v>
      </c>
      <c r="BC104" s="158">
        <f>-TblProd[[#This Row],[Bank Lumber]] / 2 + -TblProd[[#This Row],[Bank Gems]] * 2 + -TblProd[[#This Row],[Bank Ore]] / 2</f>
        <v>0</v>
      </c>
      <c r="BD104" s="158"/>
      <c r="BE104" s="158"/>
      <c r="BF104" s="158"/>
      <c r="BG104" s="159">
        <f ca="1">TblProd[[#This Row],[Time]]</f>
        <v>46184.166666666424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x14ac:dyDescent="0.2">
      <c r="A105" s="137">
        <f t="shared" si="0"/>
        <v>54</v>
      </c>
      <c r="B105" s="152">
        <f ca="1">TblImps[[#This Row],[Time]]</f>
        <v>46184.208333333088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Infernal Command]]&gt;0,demonic_pact_food_cons,0))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54</v>
      </c>
      <c r="BC105" s="158">
        <f>-TblProd[[#This Row],[Bank Lumber]] / 2 + -TblProd[[#This Row],[Bank Gems]] * 2 + -TblProd[[#This Row],[Bank Ore]] / 2</f>
        <v>0</v>
      </c>
      <c r="BD105" s="158"/>
      <c r="BE105" s="158"/>
      <c r="BF105" s="158"/>
      <c r="BG105" s="159">
        <f ca="1">TblProd[[#This Row],[Time]]</f>
        <v>46184.208333333088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x14ac:dyDescent="0.2">
      <c r="A106" s="137">
        <f t="shared" si="0"/>
        <v>55</v>
      </c>
      <c r="B106" s="152">
        <f ca="1">TblImps[[#This Row],[Time]]</f>
        <v>46184.249999999753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Infernal Command]]&gt;0,demonic_pact_food_cons,0))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55</v>
      </c>
      <c r="BC106" s="158">
        <f>-TblProd[[#This Row],[Bank Lumber]] / 2 + -TblProd[[#This Row],[Bank Gems]] * 2 + -TblProd[[#This Row],[Bank Ore]] / 2</f>
        <v>0</v>
      </c>
      <c r="BD106" s="158"/>
      <c r="BE106" s="158"/>
      <c r="BF106" s="158"/>
      <c r="BG106" s="159">
        <f ca="1">TblProd[[#This Row],[Time]]</f>
        <v>46184.249999999753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x14ac:dyDescent="0.2">
      <c r="A107" s="137">
        <f t="shared" si="0"/>
        <v>56</v>
      </c>
      <c r="B107" s="152">
        <f ca="1">TblImps[[#This Row],[Time]]</f>
        <v>46184.291666666417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Infernal Command]]&gt;0,demonic_pact_food_cons,0))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56</v>
      </c>
      <c r="BC107" s="158">
        <f>-TblProd[[#This Row],[Bank Lumber]] / 2 + -TblProd[[#This Row],[Bank Gems]] * 2 + -TblProd[[#This Row],[Bank Ore]] / 2</f>
        <v>0</v>
      </c>
      <c r="BD107" s="158"/>
      <c r="BE107" s="158"/>
      <c r="BF107" s="158"/>
      <c r="BG107" s="159">
        <f ca="1">TblProd[[#This Row],[Time]]</f>
        <v>46184.291666666417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x14ac:dyDescent="0.2">
      <c r="A108" s="137">
        <f t="shared" si="0"/>
        <v>57</v>
      </c>
      <c r="B108" s="152">
        <f ca="1">TblImps[[#This Row],[Time]]</f>
        <v>46184.333333333081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Infernal Command]]&gt;0,demonic_pact_food_cons,0))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57</v>
      </c>
      <c r="BC108" s="158">
        <f>-TblProd[[#This Row],[Bank Lumber]] / 2 + -TblProd[[#This Row],[Bank Gems]] * 2 + -TblProd[[#This Row],[Bank Ore]] / 2</f>
        <v>0</v>
      </c>
      <c r="BD108" s="158"/>
      <c r="BE108" s="158"/>
      <c r="BF108" s="158"/>
      <c r="BG108" s="159">
        <f ca="1">TblProd[[#This Row],[Time]]</f>
        <v>46184.333333333081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x14ac:dyDescent="0.2">
      <c r="A109" s="137">
        <f t="shared" si="0"/>
        <v>58</v>
      </c>
      <c r="B109" s="152">
        <f ca="1">TblImps[[#This Row],[Time]]</f>
        <v>46184.374999999745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Infernal Command]]&gt;0,demonic_pact_food_cons,0))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58</v>
      </c>
      <c r="BC109" s="158">
        <f>-TblProd[[#This Row],[Bank Lumber]] / 2 + -TblProd[[#This Row],[Bank Gems]] * 2 + -TblProd[[#This Row],[Bank Ore]] / 2</f>
        <v>0</v>
      </c>
      <c r="BD109" s="158"/>
      <c r="BE109" s="158"/>
      <c r="BF109" s="158"/>
      <c r="BG109" s="159">
        <f ca="1">TblProd[[#This Row],[Time]]</f>
        <v>46184.374999999745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x14ac:dyDescent="0.2">
      <c r="A110" s="137">
        <f t="shared" si="0"/>
        <v>59</v>
      </c>
      <c r="B110" s="152">
        <f ca="1">TblImps[[#This Row],[Time]]</f>
        <v>46184.41666666641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Infernal Command]]&gt;0,demonic_pact_food_cons,0))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59</v>
      </c>
      <c r="BC110" s="158">
        <f>-TblProd[[#This Row],[Bank Lumber]] / 2 + -TblProd[[#This Row],[Bank Gems]] * 2 + -TblProd[[#This Row],[Bank Ore]] / 2</f>
        <v>0</v>
      </c>
      <c r="BD110" s="158"/>
      <c r="BE110" s="158"/>
      <c r="BF110" s="158"/>
      <c r="BG110" s="159">
        <f ca="1">TblProd[[#This Row],[Time]]</f>
        <v>46184.41666666641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x14ac:dyDescent="0.2">
      <c r="A111" s="137">
        <f t="shared" si="0"/>
        <v>60</v>
      </c>
      <c r="B111" s="152">
        <f ca="1">TblImps[[#This Row],[Time]]</f>
        <v>46184.458333333074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Infernal Command]]&gt;0,demonic_pact_food_cons,0))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60</v>
      </c>
      <c r="BC111" s="158">
        <f>-TblProd[[#This Row],[Bank Lumber]] / 2 + -TblProd[[#This Row],[Bank Gems]] * 2 + -TblProd[[#This Row],[Bank Ore]] / 2</f>
        <v>0</v>
      </c>
      <c r="BD111" s="158"/>
      <c r="BE111" s="158"/>
      <c r="BF111" s="158"/>
      <c r="BG111" s="159">
        <f ca="1">TblProd[[#This Row],[Time]]</f>
        <v>46184.458333333074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x14ac:dyDescent="0.2">
      <c r="A112" s="137">
        <f t="shared" si="0"/>
        <v>61</v>
      </c>
      <c r="B112" s="152">
        <f ca="1">TblImps[[#This Row],[Time]]</f>
        <v>46184.499999999738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Infernal Command]]&gt;0,demonic_pact_food_cons,0))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61</v>
      </c>
      <c r="BC112" s="158">
        <f>-TblProd[[#This Row],[Bank Lumber]] / 2 + -TblProd[[#This Row],[Bank Gems]] * 2 + -TblProd[[#This Row],[Bank Ore]] / 2</f>
        <v>0</v>
      </c>
      <c r="BD112" s="158"/>
      <c r="BE112" s="158"/>
      <c r="BF112" s="158"/>
      <c r="BG112" s="159">
        <f ca="1">TblProd[[#This Row],[Time]]</f>
        <v>46184.499999999738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x14ac:dyDescent="0.2">
      <c r="A113" s="137">
        <f t="shared" si="0"/>
        <v>62</v>
      </c>
      <c r="B113" s="152">
        <f ca="1">TblImps[[#This Row],[Time]]</f>
        <v>46184.541666666402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Infernal Command]]&gt;0,demonic_pact_food_cons,0))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62</v>
      </c>
      <c r="BC113" s="158">
        <f>-TblProd[[#This Row],[Bank Lumber]] / 2 + -TblProd[[#This Row],[Bank Gems]] * 2 + -TblProd[[#This Row],[Bank Ore]] / 2</f>
        <v>0</v>
      </c>
      <c r="BD113" s="158"/>
      <c r="BE113" s="158"/>
      <c r="BF113" s="158"/>
      <c r="BG113" s="159">
        <f ca="1">TblProd[[#This Row],[Time]]</f>
        <v>46184.541666666402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x14ac:dyDescent="0.2">
      <c r="A114" s="137">
        <f t="shared" si="0"/>
        <v>63</v>
      </c>
      <c r="B114" s="152">
        <f ca="1">TblImps[[#This Row],[Time]]</f>
        <v>46184.583333333067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Infernal Command]]&gt;0,demonic_pact_food_cons,0))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63</v>
      </c>
      <c r="BC114" s="158">
        <f>-TblProd[[#This Row],[Bank Lumber]] / 2 + -TblProd[[#This Row],[Bank Gems]] * 2 + -TblProd[[#This Row],[Bank Ore]] / 2</f>
        <v>0</v>
      </c>
      <c r="BD114" s="158"/>
      <c r="BE114" s="158"/>
      <c r="BF114" s="158"/>
      <c r="BG114" s="159">
        <f ca="1">TblProd[[#This Row],[Time]]</f>
        <v>46184.583333333067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x14ac:dyDescent="0.2">
      <c r="A115" s="137">
        <f t="shared" si="0"/>
        <v>64</v>
      </c>
      <c r="B115" s="152">
        <f ca="1">TblImps[[#This Row],[Time]]</f>
        <v>46184.624999999731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Infernal Command]]&gt;0,demonic_pact_food_cons,0))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64</v>
      </c>
      <c r="BC115" s="158">
        <f>-TblProd[[#This Row],[Bank Lumber]] / 2 + -TblProd[[#This Row],[Bank Gems]] * 2 + -TblProd[[#This Row],[Bank Ore]] / 2</f>
        <v>0</v>
      </c>
      <c r="BD115" s="158"/>
      <c r="BE115" s="158"/>
      <c r="BF115" s="158"/>
      <c r="BG115" s="159">
        <f ca="1">TblProd[[#This Row],[Time]]</f>
        <v>46184.624999999731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x14ac:dyDescent="0.2">
      <c r="A116" s="137">
        <f t="shared" si="0"/>
        <v>65</v>
      </c>
      <c r="B116" s="152">
        <f ca="1">TblImps[[#This Row],[Time]]</f>
        <v>46184.666666666395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Infernal Command]]&gt;0,demonic_pact_food_cons,0))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65</v>
      </c>
      <c r="BC116" s="158">
        <f>-TblProd[[#This Row],[Bank Lumber]] / 2 + -TblProd[[#This Row],[Bank Gems]] * 2 + -TblProd[[#This Row],[Bank Ore]] / 2</f>
        <v>0</v>
      </c>
      <c r="BD116" s="158"/>
      <c r="BE116" s="158"/>
      <c r="BF116" s="158"/>
      <c r="BG116" s="159">
        <f ca="1">TblProd[[#This Row],[Time]]</f>
        <v>46184.666666666395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x14ac:dyDescent="0.2">
      <c r="A117" s="137">
        <f t="shared" si="0"/>
        <v>66</v>
      </c>
      <c r="B117" s="152">
        <f ca="1">TblImps[[#This Row],[Time]]</f>
        <v>46184.708333333059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Infernal Command]]&gt;0,demonic_pact_food_cons,0))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66</v>
      </c>
      <c r="BC117" s="158">
        <f>-TblProd[[#This Row],[Bank Lumber]] / 2 + -TblProd[[#This Row],[Bank Gems]] * 2 + -TblProd[[#This Row],[Bank Ore]] / 2</f>
        <v>0</v>
      </c>
      <c r="BD117" s="158"/>
      <c r="BE117" s="158"/>
      <c r="BF117" s="158"/>
      <c r="BG117" s="159">
        <f ca="1">TblProd[[#This Row],[Time]]</f>
        <v>46184.708333333059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x14ac:dyDescent="0.2">
      <c r="A118" s="137">
        <f t="shared" si="0"/>
        <v>67</v>
      </c>
      <c r="B118" s="152">
        <f ca="1">TblImps[[#This Row],[Time]]</f>
        <v>46184.749999999724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Infernal Command]]&gt;0,demonic_pact_food_cons,0))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67</v>
      </c>
      <c r="BC118" s="158">
        <f>-TblProd[[#This Row],[Bank Lumber]] / 2 + -TblProd[[#This Row],[Bank Gems]] * 2 + -TblProd[[#This Row],[Bank Ore]] / 2</f>
        <v>0</v>
      </c>
      <c r="BD118" s="158"/>
      <c r="BE118" s="158"/>
      <c r="BF118" s="158"/>
      <c r="BG118" s="159">
        <f ca="1">TblProd[[#This Row],[Time]]</f>
        <v>46184.749999999724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x14ac:dyDescent="0.2">
      <c r="A119" s="137">
        <f t="shared" ref="A119:A136" si="1">A118+1</f>
        <v>68</v>
      </c>
      <c r="B119" s="152">
        <f ca="1">TblImps[[#This Row],[Time]]</f>
        <v>46184.791666666388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Infernal Command]]&gt;0,demonic_pact_food_cons,0))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68</v>
      </c>
      <c r="BC119" s="158">
        <f>-TblProd[[#This Row],[Bank Lumber]] / 2 + -TblProd[[#This Row],[Bank Gems]] * 2 + -TblProd[[#This Row],[Bank Ore]] / 2</f>
        <v>0</v>
      </c>
      <c r="BD119" s="158"/>
      <c r="BE119" s="158"/>
      <c r="BF119" s="158"/>
      <c r="BG119" s="159">
        <f ca="1">TblProd[[#This Row],[Time]]</f>
        <v>46184.791666666388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x14ac:dyDescent="0.2">
      <c r="A120" s="137">
        <f t="shared" si="1"/>
        <v>69</v>
      </c>
      <c r="B120" s="152">
        <f ca="1">TblImps[[#This Row],[Time]]</f>
        <v>46184.833333333052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Infernal Command]]&gt;0,demonic_pact_food_cons,0))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69</v>
      </c>
      <c r="BC120" s="158">
        <f>-TblProd[[#This Row],[Bank Lumber]] / 2 + -TblProd[[#This Row],[Bank Gems]] * 2 + -TblProd[[#This Row],[Bank Ore]] / 2</f>
        <v>0</v>
      </c>
      <c r="BD120" s="158"/>
      <c r="BE120" s="158"/>
      <c r="BF120" s="158"/>
      <c r="BG120" s="159">
        <f ca="1">TblProd[[#This Row],[Time]]</f>
        <v>46184.833333333052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x14ac:dyDescent="0.2">
      <c r="A121" s="137">
        <f t="shared" si="1"/>
        <v>70</v>
      </c>
      <c r="B121" s="152">
        <f ca="1">TblImps[[#This Row],[Time]]</f>
        <v>46184.874999999716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Infernal Command]]&gt;0,demonic_pact_food_cons,0))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70</v>
      </c>
      <c r="BC121" s="158">
        <f>-TblProd[[#This Row],[Bank Lumber]] / 2 + -TblProd[[#This Row],[Bank Gems]] * 2 + -TblProd[[#This Row],[Bank Ore]] / 2</f>
        <v>0</v>
      </c>
      <c r="BD121" s="158"/>
      <c r="BE121" s="158"/>
      <c r="BF121" s="158"/>
      <c r="BG121" s="159">
        <f ca="1">TblProd[[#This Row],[Time]]</f>
        <v>46184.874999999716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x14ac:dyDescent="0.2">
      <c r="A122" s="137">
        <f t="shared" si="1"/>
        <v>71</v>
      </c>
      <c r="B122" s="152">
        <f ca="1">TblImps[[#This Row],[Time]]</f>
        <v>46184.91666666638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Infernal Command]]&gt;0,demonic_pact_food_cons,0))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71</v>
      </c>
      <c r="BC122" s="158">
        <f>-TblProd[[#This Row],[Bank Lumber]] / 2 + -TblProd[[#This Row],[Bank Gems]] * 2 + -TblProd[[#This Row],[Bank Ore]] / 2</f>
        <v>0</v>
      </c>
      <c r="BD122" s="158"/>
      <c r="BE122" s="158"/>
      <c r="BF122" s="158"/>
      <c r="BG122" s="159">
        <f ca="1">TblProd[[#This Row],[Time]]</f>
        <v>46184.91666666638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x14ac:dyDescent="0.2">
      <c r="A123" s="137">
        <f t="shared" si="1"/>
        <v>72</v>
      </c>
      <c r="B123" s="152">
        <f ca="1">TblImps[[#This Row],[Time]]</f>
        <v>46184.958333333045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Infernal Command]]&gt;0,demonic_pact_food_cons,0))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72</v>
      </c>
      <c r="BC123" s="158">
        <f>-TblProd[[#This Row],[Bank Lumber]] / 2 + -TblProd[[#This Row],[Bank Gems]] * 2 + -TblProd[[#This Row],[Bank Ore]] / 2</f>
        <v>0</v>
      </c>
      <c r="BD123" s="158"/>
      <c r="BE123" s="158"/>
      <c r="BF123" s="158"/>
      <c r="BG123" s="159">
        <f ca="1">TblProd[[#This Row],[Time]]</f>
        <v>46184.958333333045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x14ac:dyDescent="0.2">
      <c r="A124" s="137">
        <f t="shared" si="1"/>
        <v>73</v>
      </c>
      <c r="B124" s="152">
        <f ca="1">TblImps[[#This Row],[Time]]</f>
        <v>46184.999999999709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Infernal Command]]&gt;0,demonic_pact_food_cons,0))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73</v>
      </c>
      <c r="BC124" s="158">
        <f>-TblProd[[#This Row],[Bank Lumber]] / 2 + -TblProd[[#This Row],[Bank Gems]] * 2 + -TblProd[[#This Row],[Bank Ore]] / 2</f>
        <v>0</v>
      </c>
      <c r="BD124" s="158"/>
      <c r="BE124" s="158"/>
      <c r="BF124" s="158"/>
      <c r="BG124" s="159">
        <f ca="1">TblProd[[#This Row],[Time]]</f>
        <v>46184.999999999709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x14ac:dyDescent="0.2">
      <c r="A125" s="137">
        <f t="shared" si="1"/>
        <v>74</v>
      </c>
      <c r="B125" s="152">
        <f ca="1">TblImps[[#This Row],[Time]]</f>
        <v>46185.041666666373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Infernal Command]]&gt;0,demonic_pact_food_cons,0))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74</v>
      </c>
      <c r="BC125" s="158">
        <f>-TblProd[[#This Row],[Bank Lumber]] / 2 + -TblProd[[#This Row],[Bank Gems]] * 2 + -TblProd[[#This Row],[Bank Ore]] / 2</f>
        <v>0</v>
      </c>
      <c r="BD125" s="158"/>
      <c r="BE125" s="158"/>
      <c r="BF125" s="158"/>
      <c r="BG125" s="159">
        <f ca="1">TblProd[[#This Row],[Time]]</f>
        <v>46185.041666666373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x14ac:dyDescent="0.2">
      <c r="A126" s="137">
        <f t="shared" si="1"/>
        <v>75</v>
      </c>
      <c r="B126" s="152">
        <f ca="1">TblImps[[#This Row],[Time]]</f>
        <v>46185.083333333037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Infernal Command]]&gt;0,demonic_pact_food_cons,0))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75</v>
      </c>
      <c r="BC126" s="158">
        <f>-TblProd[[#This Row],[Bank Lumber]] / 2 + -TblProd[[#This Row],[Bank Gems]] * 2 + -TblProd[[#This Row],[Bank Ore]] / 2</f>
        <v>0</v>
      </c>
      <c r="BD126" s="158"/>
      <c r="BE126" s="158"/>
      <c r="BF126" s="158"/>
      <c r="BG126" s="159">
        <f ca="1">TblProd[[#This Row],[Time]]</f>
        <v>46185.083333333037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x14ac:dyDescent="0.2">
      <c r="A127" s="137">
        <f t="shared" si="1"/>
        <v>76</v>
      </c>
      <c r="B127" s="152">
        <f ca="1">TblImps[[#This Row],[Time]]</f>
        <v>46185.124999999702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Infernal Command]]&gt;0,demonic_pact_food_cons,0))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76</v>
      </c>
      <c r="BC127" s="158">
        <f>-TblProd[[#This Row],[Bank Lumber]] / 2 + -TblProd[[#This Row],[Bank Gems]] * 2 + -TblProd[[#This Row],[Bank Ore]] / 2</f>
        <v>0</v>
      </c>
      <c r="BD127" s="158"/>
      <c r="BE127" s="158"/>
      <c r="BF127" s="158"/>
      <c r="BG127" s="159">
        <f ca="1">TblProd[[#This Row],[Time]]</f>
        <v>46185.124999999702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x14ac:dyDescent="0.2">
      <c r="A128" s="137">
        <f t="shared" si="1"/>
        <v>77</v>
      </c>
      <c r="B128" s="152">
        <f ca="1">TblImps[[#This Row],[Time]]</f>
        <v>46185.166666666366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Infernal Command]]&gt;0,demonic_pact_food_cons,0))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77</v>
      </c>
      <c r="BC128" s="158">
        <f>-TblProd[[#This Row],[Bank Lumber]] / 2 + -TblProd[[#This Row],[Bank Gems]] * 2 + -TblProd[[#This Row],[Bank Ore]] / 2</f>
        <v>0</v>
      </c>
      <c r="BD128" s="158"/>
      <c r="BE128" s="158"/>
      <c r="BF128" s="158"/>
      <c r="BG128" s="159">
        <f ca="1">TblProd[[#This Row],[Time]]</f>
        <v>46185.166666666366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x14ac:dyDescent="0.2">
      <c r="A129" s="137">
        <f t="shared" si="1"/>
        <v>78</v>
      </c>
      <c r="B129" s="152">
        <f ca="1">TblImps[[#This Row],[Time]]</f>
        <v>46185.20833333303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Infernal Command]]&gt;0,demonic_pact_food_cons,0))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78</v>
      </c>
      <c r="BC129" s="158">
        <f>-TblProd[[#This Row],[Bank Lumber]] / 2 + -TblProd[[#This Row],[Bank Gems]] * 2 + -TblProd[[#This Row],[Bank Ore]] / 2</f>
        <v>0</v>
      </c>
      <c r="BD129" s="158"/>
      <c r="BE129" s="158"/>
      <c r="BF129" s="158"/>
      <c r="BG129" s="159">
        <f ca="1">TblProd[[#This Row],[Time]]</f>
        <v>46185.20833333303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x14ac:dyDescent="0.2">
      <c r="A130" s="137">
        <f t="shared" si="1"/>
        <v>79</v>
      </c>
      <c r="B130" s="152">
        <f ca="1">TblImps[[#This Row],[Time]]</f>
        <v>46185.249999999694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Infernal Command]]&gt;0,demonic_pact_food_cons,0))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79</v>
      </c>
      <c r="BC130" s="158">
        <f>-TblProd[[#This Row],[Bank Lumber]] / 2 + -TblProd[[#This Row],[Bank Gems]] * 2 + -TblProd[[#This Row],[Bank Ore]] / 2</f>
        <v>0</v>
      </c>
      <c r="BD130" s="158"/>
      <c r="BE130" s="158"/>
      <c r="BF130" s="158"/>
      <c r="BG130" s="159">
        <f ca="1">TblProd[[#This Row],[Time]]</f>
        <v>46185.249999999694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x14ac:dyDescent="0.2">
      <c r="A131" s="137">
        <f t="shared" si="1"/>
        <v>80</v>
      </c>
      <c r="B131" s="152">
        <f ca="1">TblImps[[#This Row],[Time]]</f>
        <v>46185.291666666359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Infernal Command]]&gt;0,demonic_pact_food_cons,0))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80</v>
      </c>
      <c r="BC131" s="158">
        <f>-TblProd[[#This Row],[Bank Lumber]] / 2 + -TblProd[[#This Row],[Bank Gems]] * 2 + -TblProd[[#This Row],[Bank Ore]] / 2</f>
        <v>0</v>
      </c>
      <c r="BD131" s="158"/>
      <c r="BE131" s="158"/>
      <c r="BF131" s="158"/>
      <c r="BG131" s="159">
        <f ca="1">TblProd[[#This Row],[Time]]</f>
        <v>46185.291666666359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x14ac:dyDescent="0.2">
      <c r="A132" s="137">
        <f t="shared" si="1"/>
        <v>81</v>
      </c>
      <c r="B132" s="152">
        <f ca="1">TblImps[[#This Row],[Time]]</f>
        <v>46185.333333333023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Infernal Command]]&gt;0,demonic_pact_food_cons,0))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81</v>
      </c>
      <c r="BC132" s="158">
        <f>-TblProd[[#This Row],[Bank Lumber]] / 2 + -TblProd[[#This Row],[Bank Gems]] * 2 + -TblProd[[#This Row],[Bank Ore]] / 2</f>
        <v>0</v>
      </c>
      <c r="BD132" s="158"/>
      <c r="BE132" s="158"/>
      <c r="BF132" s="158"/>
      <c r="BG132" s="159">
        <f ca="1">TblProd[[#This Row],[Time]]</f>
        <v>46185.333333333023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x14ac:dyDescent="0.2">
      <c r="A133" s="137">
        <f t="shared" si="1"/>
        <v>82</v>
      </c>
      <c r="B133" s="152">
        <f ca="1">TblImps[[#This Row],[Time]]</f>
        <v>46185.374999999687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Infernal Command]]&gt;0,demonic_pact_food_cons,0))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82</v>
      </c>
      <c r="BC133" s="158">
        <f>-TblProd[[#This Row],[Bank Lumber]] / 2 + -TblProd[[#This Row],[Bank Gems]] * 2 + -TblProd[[#This Row],[Bank Ore]] / 2</f>
        <v>0</v>
      </c>
      <c r="BD133" s="158"/>
      <c r="BE133" s="158"/>
      <c r="BF133" s="158"/>
      <c r="BG133" s="159">
        <f ca="1">TblProd[[#This Row],[Time]]</f>
        <v>46185.374999999687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x14ac:dyDescent="0.2">
      <c r="A134" s="137">
        <f t="shared" si="1"/>
        <v>83</v>
      </c>
      <c r="B134" s="152">
        <f ca="1">TblImps[[#This Row],[Time]]</f>
        <v>46185.416666666351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Infernal Command]]&gt;0,demonic_pact_food_cons,0))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83</v>
      </c>
      <c r="BC134" s="158">
        <f>-TblProd[[#This Row],[Bank Lumber]] / 2 + -TblProd[[#This Row],[Bank Gems]] * 2 + -TblProd[[#This Row],[Bank Ore]] / 2</f>
        <v>0</v>
      </c>
      <c r="BD134" s="158"/>
      <c r="BE134" s="158"/>
      <c r="BF134" s="158"/>
      <c r="BG134" s="159">
        <f ca="1">TblProd[[#This Row],[Time]]</f>
        <v>46185.416666666351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x14ac:dyDescent="0.2">
      <c r="A135" s="137">
        <f t="shared" si="1"/>
        <v>84</v>
      </c>
      <c r="B135" s="152">
        <f ca="1">TblImps[[#This Row],[Time]]</f>
        <v>46185.458333333016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Infernal Command]]&gt;0,demonic_pact_food_cons,0))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84</v>
      </c>
      <c r="BC135" s="158">
        <f>-TblProd[[#This Row],[Bank Lumber]] / 2 + -TblProd[[#This Row],[Bank Gems]] * 2 + -TblProd[[#This Row],[Bank Ore]] / 2</f>
        <v>0</v>
      </c>
      <c r="BD135" s="158"/>
      <c r="BE135" s="158"/>
      <c r="BF135" s="158"/>
      <c r="BG135" s="159">
        <f ca="1">TblProd[[#This Row],[Time]]</f>
        <v>46185.458333333016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x14ac:dyDescent="0.2">
      <c r="A136" s="137">
        <f t="shared" si="1"/>
        <v>85</v>
      </c>
      <c r="B136" s="152">
        <f ca="1">TblImps[[#This Row],[Time]]</f>
        <v>46185.49999999968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Infernal Command]]&gt;0,demonic_pact_food_cons,0))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85</v>
      </c>
      <c r="BC136" s="158">
        <f>-TblProd[[#This Row],[Bank Lumber]] / 2 + -TblProd[[#This Row],[Bank Gems]] * 2 + -TblProd[[#This Row],[Bank Ore]] / 2</f>
        <v>0</v>
      </c>
      <c r="BD136" s="158"/>
      <c r="BE136" s="158"/>
      <c r="BF136" s="158"/>
      <c r="BG136" s="159">
        <f ca="1">TblProd[[#This Row],[Time]]</f>
        <v>46185.49999999968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x14ac:dyDescent="0.2">
      <c r="C1269" s="531" t="s">
        <v>314</v>
      </c>
      <c r="D1269" s="487"/>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5" priority="58" stopIfTrue="1">
      <formula>ROW()-2=#REF!</formula>
    </cfRule>
  </conditionalFormatting>
  <conditionalFormatting sqref="A1269:XFD1270">
    <cfRule type="expression" dxfId="814" priority="59" stopIfTrue="1">
      <formula>$C$1270&gt;144</formula>
    </cfRule>
  </conditionalFormatting>
  <conditionalFormatting sqref="E4:Q136">
    <cfRule type="expression" dxfId="813" priority="39" stopIfTrue="1">
      <formula>OR(ROW()-3=$C$1270,E4&lt;0)</formula>
    </cfRule>
  </conditionalFormatting>
  <conditionalFormatting sqref="BH4:BH136">
    <cfRule type="cellIs" dxfId="812" priority="61" stopIfTrue="1" operator="equal">
      <formula>"Nope"</formula>
    </cfRule>
  </conditionalFormatting>
  <conditionalFormatting sqref="A4:BM136">
    <cfRule type="expression" dxfId="811" priority="1" stopIfTrue="1">
      <formula>ROW()-3=$C$1270</formula>
    </cfRule>
    <cfRule type="expression" dxfId="810" priority="56">
      <formula>$A4="OOP"</formula>
    </cfRule>
    <cfRule type="expression" dxfId="809" priority="57">
      <formula>ROUND(($A4-1)/12,0)=INT($A4-1)/12</formula>
    </cfRule>
  </conditionalFormatting>
  <conditionalFormatting sqref="A1:XFD3">
    <cfRule type="expression" dxfId="808"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4" t="s">
        <v>56</v>
      </c>
      <c r="P1" s="534"/>
      <c r="Q1" s="487"/>
      <c r="R1" s="5"/>
      <c r="S1" s="5"/>
      <c r="T1" s="5"/>
      <c r="U1" s="5"/>
      <c r="V1" s="5"/>
      <c r="W1" s="5"/>
      <c r="X1" s="5"/>
      <c r="Y1" s="5"/>
      <c r="Z1" s="5"/>
      <c r="AA1" s="5"/>
      <c r="AB1" s="5"/>
      <c r="AC1" s="5"/>
      <c r="AD1" s="5"/>
      <c r="AE1" s="5"/>
      <c r="AF1" s="5"/>
      <c r="AG1" s="5"/>
      <c r="AH1" s="5"/>
      <c r="AI1" s="174" t="s">
        <v>513</v>
      </c>
      <c r="AJ1" s="174" t="s">
        <v>516</v>
      </c>
      <c r="AK1" s="534" t="s">
        <v>77</v>
      </c>
      <c r="AL1" s="534"/>
      <c r="AM1" s="532" t="s">
        <v>514</v>
      </c>
      <c r="AN1" s="532"/>
      <c r="AO1" s="532" t="s">
        <v>515</v>
      </c>
      <c r="AP1" s="532"/>
      <c r="AQ1" s="532" t="s">
        <v>512</v>
      </c>
      <c r="AR1" s="532"/>
      <c r="AS1" s="5"/>
      <c r="AT1" s="5"/>
      <c r="AU1" s="5"/>
      <c r="AV1" s="5" t="s">
        <v>511</v>
      </c>
      <c r="AW1" s="5"/>
      <c r="AX1" s="5"/>
      <c r="AY1" s="532" t="s">
        <v>53</v>
      </c>
      <c r="AZ1" s="532"/>
      <c r="BA1" s="532"/>
      <c r="BB1" s="28"/>
      <c r="BC1" s="28"/>
      <c r="BD1" s="28"/>
      <c r="BE1" s="28"/>
      <c r="BF1" s="28"/>
      <c r="BG1" s="28"/>
      <c r="BH1" s="28"/>
      <c r="BI1" s="28"/>
      <c r="BJ1" s="28"/>
      <c r="BK1" s="28"/>
      <c r="BL1" s="28"/>
      <c r="BM1" s="28"/>
      <c r="BN1" s="28"/>
      <c r="BO1" s="28"/>
      <c r="BP1" s="28"/>
      <c r="BQ1" s="28"/>
      <c r="BR1" s="5"/>
      <c r="BS1" s="5"/>
      <c r="BT1" s="5"/>
      <c r="BU1" s="5"/>
      <c r="BV1" s="5"/>
      <c r="BW1" s="534" t="s">
        <v>84</v>
      </c>
      <c r="BX1" s="534"/>
      <c r="BY1" s="5"/>
      <c r="BZ1" s="5"/>
      <c r="CA1" s="5"/>
      <c r="CB1" s="5"/>
      <c r="CC1" s="5"/>
      <c r="CD1" s="5"/>
      <c r="CE1" s="5"/>
      <c r="CF1" s="5"/>
      <c r="CG1" s="5"/>
      <c r="CH1" s="5"/>
      <c r="CI1" s="5"/>
      <c r="CJ1" s="5"/>
      <c r="CK1" s="5"/>
      <c r="CL1" s="5"/>
      <c r="CM1" s="5"/>
      <c r="CN1" s="5"/>
      <c r="CO1" s="5"/>
      <c r="CP1" s="5"/>
      <c r="CQ1" s="532" t="s">
        <v>18</v>
      </c>
      <c r="CR1" s="532"/>
      <c r="CS1" s="28"/>
      <c r="CT1" s="28"/>
      <c r="CU1" s="28"/>
      <c r="CV1" s="28"/>
      <c r="CW1" s="28"/>
      <c r="CX1" s="5"/>
      <c r="CY1" s="5"/>
      <c r="CZ1" s="534" t="s">
        <v>293</v>
      </c>
      <c r="DA1" s="534"/>
      <c r="DB1" s="534"/>
      <c r="DC1" s="534"/>
      <c r="DD1" s="534"/>
      <c r="DE1" s="5"/>
      <c r="DF1" s="5"/>
      <c r="DG1" s="534" t="s">
        <v>257</v>
      </c>
      <c r="DH1" s="534"/>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992</v>
      </c>
      <c r="E3" s="135" t="s">
        <v>765</v>
      </c>
      <c r="F3" s="135" t="s">
        <v>1</v>
      </c>
      <c r="G3" s="170" t="s">
        <v>243</v>
      </c>
      <c r="H3" s="135" t="s">
        <v>58</v>
      </c>
      <c r="I3" s="135" t="s">
        <v>245</v>
      </c>
      <c r="J3" s="135" t="s">
        <v>244</v>
      </c>
      <c r="K3" s="135" t="s">
        <v>60</v>
      </c>
      <c r="L3" s="135" t="s">
        <v>242</v>
      </c>
      <c r="M3" s="135" t="s">
        <v>62</v>
      </c>
      <c r="N3" s="135" t="s">
        <v>1035</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805</v>
      </c>
      <c r="AJ3" s="135" t="s">
        <v>806</v>
      </c>
      <c r="AK3" s="135" t="s">
        <v>2</v>
      </c>
      <c r="AL3" s="135" t="s">
        <v>7</v>
      </c>
      <c r="AM3" s="135" t="s">
        <v>801</v>
      </c>
      <c r="AN3" s="135" t="s">
        <v>802</v>
      </c>
      <c r="AO3" s="135" t="s">
        <v>803</v>
      </c>
      <c r="AP3" s="135" t="s">
        <v>804</v>
      </c>
      <c r="AQ3" s="135" t="s">
        <v>1024</v>
      </c>
      <c r="AR3" s="135" t="s">
        <v>1025</v>
      </c>
      <c r="AS3" s="135" t="s">
        <v>517</v>
      </c>
      <c r="AT3" s="135" t="s">
        <v>518</v>
      </c>
      <c r="AU3" s="135" t="s">
        <v>766</v>
      </c>
      <c r="AV3" s="135" t="s">
        <v>807</v>
      </c>
      <c r="AW3" s="135" t="s">
        <v>808</v>
      </c>
      <c r="AX3" s="135" t="s">
        <v>767</v>
      </c>
      <c r="AY3" s="170" t="s">
        <v>809</v>
      </c>
      <c r="AZ3" s="135" t="s">
        <v>810</v>
      </c>
      <c r="BA3" s="135" t="s">
        <v>811</v>
      </c>
      <c r="BB3" s="135" t="s">
        <v>812</v>
      </c>
      <c r="BC3" s="135" t="s">
        <v>813</v>
      </c>
      <c r="BD3" s="135" t="s">
        <v>814</v>
      </c>
      <c r="BE3" s="135" t="s">
        <v>815</v>
      </c>
      <c r="BF3" s="135" t="s">
        <v>816</v>
      </c>
      <c r="BG3" s="135" t="s">
        <v>817</v>
      </c>
      <c r="BH3" s="135" t="s">
        <v>818</v>
      </c>
      <c r="BI3" s="135" t="s">
        <v>819</v>
      </c>
      <c r="BJ3" s="135" t="s">
        <v>820</v>
      </c>
      <c r="BK3" s="135" t="s">
        <v>821</v>
      </c>
      <c r="BL3" s="135" t="s">
        <v>822</v>
      </c>
      <c r="BM3" s="135" t="s">
        <v>823</v>
      </c>
      <c r="BN3" s="135" t="s">
        <v>824</v>
      </c>
      <c r="BO3" s="135" t="s">
        <v>825</v>
      </c>
      <c r="BP3" s="135" t="s">
        <v>826</v>
      </c>
      <c r="BQ3" s="172" t="s">
        <v>827</v>
      </c>
      <c r="BR3" s="135" t="s">
        <v>780</v>
      </c>
      <c r="BS3" s="135" t="s">
        <v>781</v>
      </c>
      <c r="BT3" s="135" t="s">
        <v>872</v>
      </c>
      <c r="BU3" s="135" t="s">
        <v>850</v>
      </c>
      <c r="BV3" s="135" t="s">
        <v>782</v>
      </c>
      <c r="BW3" s="135" t="s">
        <v>1007</v>
      </c>
      <c r="BX3" s="135" t="s">
        <v>892</v>
      </c>
      <c r="BY3" s="135" t="s">
        <v>893</v>
      </c>
      <c r="BZ3" s="135" t="s">
        <v>894</v>
      </c>
      <c r="CA3" s="135" t="s">
        <v>895</v>
      </c>
      <c r="CB3" s="135" t="s">
        <v>896</v>
      </c>
      <c r="CC3" s="135" t="s">
        <v>897</v>
      </c>
      <c r="CD3" s="135" t="s">
        <v>898</v>
      </c>
      <c r="CE3" s="135" t="s">
        <v>899</v>
      </c>
      <c r="CF3" s="135" t="s">
        <v>900</v>
      </c>
      <c r="CG3" s="135" t="s">
        <v>901</v>
      </c>
      <c r="CH3" s="135" t="s">
        <v>902</v>
      </c>
      <c r="CI3" s="135" t="s">
        <v>903</v>
      </c>
      <c r="CJ3" s="135" t="s">
        <v>904</v>
      </c>
      <c r="CK3" s="135" t="s">
        <v>905</v>
      </c>
      <c r="CL3" s="135" t="s">
        <v>906</v>
      </c>
      <c r="CM3" s="135" t="s">
        <v>907</v>
      </c>
      <c r="CN3" s="135" t="s">
        <v>908</v>
      </c>
      <c r="CO3" s="135" t="s">
        <v>909</v>
      </c>
      <c r="CP3" s="135" t="s">
        <v>856</v>
      </c>
      <c r="CQ3" s="135" t="s">
        <v>793</v>
      </c>
      <c r="CR3" s="135" t="s">
        <v>794</v>
      </c>
      <c r="CS3" s="135" t="s">
        <v>795</v>
      </c>
      <c r="CT3" s="135" t="s">
        <v>796</v>
      </c>
      <c r="CU3" s="135" t="s">
        <v>797</v>
      </c>
      <c r="CV3" s="135" t="s">
        <v>798</v>
      </c>
      <c r="CW3" s="135" t="s">
        <v>799</v>
      </c>
      <c r="CX3" s="135" t="s">
        <v>257</v>
      </c>
      <c r="CY3" s="135" t="s">
        <v>857</v>
      </c>
      <c r="CZ3" s="135" t="s">
        <v>861</v>
      </c>
      <c r="DA3" s="135" t="s">
        <v>862</v>
      </c>
      <c r="DB3" s="135" t="s">
        <v>863</v>
      </c>
      <c r="DC3" s="135" t="s">
        <v>864</v>
      </c>
      <c r="DD3" s="135" t="s">
        <v>865</v>
      </c>
      <c r="DE3" s="135" t="s">
        <v>866</v>
      </c>
      <c r="DF3" s="135" t="s">
        <v>867</v>
      </c>
      <c r="DG3" s="135" t="s">
        <v>800</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46180</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46180</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179"/>
      <c r="P5" s="179"/>
      <c r="Q5" s="179"/>
      <c r="R5" s="179"/>
      <c r="S5" s="179"/>
      <c r="T5" s="179"/>
      <c r="U5" s="179"/>
      <c r="V5" s="179"/>
      <c r="W5" s="179"/>
      <c r="X5" s="179"/>
      <c r="Y5" s="179"/>
      <c r="Z5" s="179"/>
      <c r="AA5" s="179"/>
      <c r="AB5" s="179"/>
      <c r="AC5" s="179"/>
      <c r="AD5" s="179"/>
      <c r="AE5" s="179"/>
      <c r="AF5" s="179"/>
      <c r="AG5" s="179"/>
      <c r="AH5" s="53">
        <f ca="1">TblImps[[#This Row],[Time]]</f>
        <v>46180.041666666664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46180.041666666664</v>
      </c>
      <c r="BV5" s="142"/>
      <c r="BW5" s="179"/>
      <c r="BX5" s="179"/>
      <c r="BY5" s="179"/>
      <c r="BZ5" s="179"/>
      <c r="CA5" s="179"/>
      <c r="CB5" s="179"/>
      <c r="CC5" s="179"/>
      <c r="CD5" s="179"/>
      <c r="CE5" s="179"/>
      <c r="CF5" s="179"/>
      <c r="CG5" s="179"/>
      <c r="CH5" s="179"/>
      <c r="CI5" s="179"/>
      <c r="CJ5" s="179"/>
      <c r="CK5" s="179"/>
      <c r="CL5" s="179"/>
      <c r="CM5" s="179"/>
      <c r="CN5" s="179"/>
      <c r="CO5" s="17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179"/>
      <c r="P6" s="179"/>
      <c r="Q6" s="179"/>
      <c r="R6" s="179"/>
      <c r="S6" s="179"/>
      <c r="T6" s="179"/>
      <c r="U6" s="179"/>
      <c r="V6" s="179"/>
      <c r="W6" s="179"/>
      <c r="X6" s="179"/>
      <c r="Y6" s="179"/>
      <c r="Z6" s="179"/>
      <c r="AA6" s="179"/>
      <c r="AB6" s="179"/>
      <c r="AC6" s="179"/>
      <c r="AD6" s="179"/>
      <c r="AE6" s="179"/>
      <c r="AF6" s="179"/>
      <c r="AG6" s="179"/>
      <c r="AH6" s="53">
        <f ca="1">TblImps[[#This Row],[Time]]</f>
        <v>46180.083333333328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46180.083333333328</v>
      </c>
      <c r="BV6" s="142"/>
      <c r="BW6" s="179"/>
      <c r="BX6" s="179"/>
      <c r="BY6" s="179"/>
      <c r="BZ6" s="179"/>
      <c r="CA6" s="179"/>
      <c r="CB6" s="179"/>
      <c r="CC6" s="179"/>
      <c r="CD6" s="179"/>
      <c r="CE6" s="179"/>
      <c r="CF6" s="179"/>
      <c r="CG6" s="179"/>
      <c r="CH6" s="179"/>
      <c r="CI6" s="179"/>
      <c r="CJ6" s="179"/>
      <c r="CK6" s="179"/>
      <c r="CL6" s="179"/>
      <c r="CM6" s="179"/>
      <c r="CN6" s="179"/>
      <c r="CO6" s="17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179"/>
      <c r="P7" s="179"/>
      <c r="Q7" s="179"/>
      <c r="R7" s="179"/>
      <c r="S7" s="179"/>
      <c r="T7" s="179"/>
      <c r="U7" s="179"/>
      <c r="V7" s="179"/>
      <c r="W7" s="179"/>
      <c r="X7" s="179"/>
      <c r="Y7" s="179"/>
      <c r="Z7" s="179"/>
      <c r="AA7" s="179"/>
      <c r="AB7" s="179"/>
      <c r="AC7" s="179"/>
      <c r="AD7" s="179"/>
      <c r="AE7" s="179"/>
      <c r="AF7" s="179"/>
      <c r="AG7" s="179"/>
      <c r="AH7" s="53">
        <f ca="1">TblImps[[#This Row],[Time]]</f>
        <v>46180.124999999993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46180.124999999993</v>
      </c>
      <c r="BV7" s="142"/>
      <c r="BW7" s="179"/>
      <c r="BX7" s="179"/>
      <c r="BY7" s="179"/>
      <c r="BZ7" s="179"/>
      <c r="CA7" s="179"/>
      <c r="CB7" s="179"/>
      <c r="CC7" s="179"/>
      <c r="CD7" s="179"/>
      <c r="CE7" s="179"/>
      <c r="CF7" s="179"/>
      <c r="CG7" s="179"/>
      <c r="CH7" s="179"/>
      <c r="CI7" s="179"/>
      <c r="CJ7" s="179"/>
      <c r="CK7" s="179"/>
      <c r="CL7" s="179"/>
      <c r="CM7" s="179"/>
      <c r="CN7" s="179"/>
      <c r="CO7" s="17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179"/>
      <c r="P8" s="179"/>
      <c r="Q8" s="179"/>
      <c r="R8" s="179"/>
      <c r="S8" s="179"/>
      <c r="T8" s="179"/>
      <c r="U8" s="179"/>
      <c r="V8" s="179"/>
      <c r="W8" s="179"/>
      <c r="X8" s="179"/>
      <c r="Y8" s="179"/>
      <c r="Z8" s="179"/>
      <c r="AA8" s="179"/>
      <c r="AB8" s="179"/>
      <c r="AC8" s="179"/>
      <c r="AD8" s="179"/>
      <c r="AE8" s="179"/>
      <c r="AF8" s="179"/>
      <c r="AG8" s="179"/>
      <c r="AH8" s="53">
        <f ca="1">TblImps[[#This Row],[Time]]</f>
        <v>46180.166666666657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46180.166666666657</v>
      </c>
      <c r="BV8" s="142"/>
      <c r="BW8" s="179"/>
      <c r="BX8" s="179"/>
      <c r="BY8" s="179"/>
      <c r="BZ8" s="179"/>
      <c r="CA8" s="179"/>
      <c r="CB8" s="179"/>
      <c r="CC8" s="179"/>
      <c r="CD8" s="179"/>
      <c r="CE8" s="179"/>
      <c r="CF8" s="179"/>
      <c r="CG8" s="179"/>
      <c r="CH8" s="179"/>
      <c r="CI8" s="179"/>
      <c r="CJ8" s="179"/>
      <c r="CK8" s="179"/>
      <c r="CL8" s="179"/>
      <c r="CM8" s="179"/>
      <c r="CN8" s="179"/>
      <c r="CO8" s="17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179"/>
      <c r="P9" s="179"/>
      <c r="Q9" s="179"/>
      <c r="R9" s="179"/>
      <c r="S9" s="179"/>
      <c r="T9" s="179"/>
      <c r="U9" s="179"/>
      <c r="V9" s="179"/>
      <c r="W9" s="179"/>
      <c r="X9" s="179"/>
      <c r="Y9" s="179"/>
      <c r="Z9" s="179"/>
      <c r="AA9" s="179"/>
      <c r="AB9" s="179"/>
      <c r="AC9" s="179"/>
      <c r="AD9" s="179"/>
      <c r="AE9" s="179"/>
      <c r="AF9" s="179"/>
      <c r="AG9" s="179"/>
      <c r="AH9" s="53">
        <f ca="1">TblImps[[#This Row],[Time]]</f>
        <v>46180.208333333321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46180.208333333321</v>
      </c>
      <c r="BV9" s="142"/>
      <c r="BW9" s="179"/>
      <c r="BX9" s="179"/>
      <c r="BY9" s="179"/>
      <c r="BZ9" s="179"/>
      <c r="CA9" s="179"/>
      <c r="CB9" s="179"/>
      <c r="CC9" s="179"/>
      <c r="CD9" s="179"/>
      <c r="CE9" s="179"/>
      <c r="CF9" s="179"/>
      <c r="CG9" s="179"/>
      <c r="CH9" s="179"/>
      <c r="CI9" s="179"/>
      <c r="CJ9" s="179"/>
      <c r="CK9" s="179"/>
      <c r="CL9" s="179"/>
      <c r="CM9" s="179"/>
      <c r="CN9" s="179"/>
      <c r="CO9" s="17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179"/>
      <c r="P10" s="179"/>
      <c r="Q10" s="179"/>
      <c r="R10" s="179"/>
      <c r="S10" s="179"/>
      <c r="T10" s="179"/>
      <c r="U10" s="179"/>
      <c r="V10" s="179"/>
      <c r="W10" s="179"/>
      <c r="X10" s="179"/>
      <c r="Y10" s="179"/>
      <c r="Z10" s="179"/>
      <c r="AA10" s="179"/>
      <c r="AB10" s="179"/>
      <c r="AC10" s="179"/>
      <c r="AD10" s="179"/>
      <c r="AE10" s="179"/>
      <c r="AF10" s="179"/>
      <c r="AG10" s="179"/>
      <c r="AH10" s="53">
        <f ca="1">TblImps[[#This Row],[Time]]</f>
        <v>46180.249999999985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46180.249999999985</v>
      </c>
      <c r="BV10" s="142"/>
      <c r="BW10" s="179"/>
      <c r="BX10" s="179"/>
      <c r="BY10" s="179"/>
      <c r="BZ10" s="179"/>
      <c r="CA10" s="179"/>
      <c r="CB10" s="179"/>
      <c r="CC10" s="179"/>
      <c r="CD10" s="179"/>
      <c r="CE10" s="179"/>
      <c r="CF10" s="179"/>
      <c r="CG10" s="179"/>
      <c r="CH10" s="179"/>
      <c r="CI10" s="179"/>
      <c r="CJ10" s="179"/>
      <c r="CK10" s="179"/>
      <c r="CL10" s="179"/>
      <c r="CM10" s="179"/>
      <c r="CN10" s="179"/>
      <c r="CO10" s="17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179"/>
      <c r="P11" s="179"/>
      <c r="Q11" s="179"/>
      <c r="R11" s="179"/>
      <c r="S11" s="179"/>
      <c r="T11" s="179"/>
      <c r="U11" s="179"/>
      <c r="V11" s="179"/>
      <c r="W11" s="179"/>
      <c r="X11" s="179"/>
      <c r="Y11" s="179"/>
      <c r="Z11" s="179"/>
      <c r="AA11" s="179"/>
      <c r="AB11" s="179"/>
      <c r="AC11" s="179"/>
      <c r="AD11" s="179"/>
      <c r="AE11" s="179"/>
      <c r="AF11" s="179"/>
      <c r="AG11" s="179"/>
      <c r="AH11" s="53">
        <f ca="1">TblImps[[#This Row],[Time]]</f>
        <v>46180.29166666665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46180.29166666665</v>
      </c>
      <c r="BV11" s="142"/>
      <c r="BW11" s="179"/>
      <c r="BX11" s="179"/>
      <c r="BY11" s="179"/>
      <c r="BZ11" s="179"/>
      <c r="CA11" s="179"/>
      <c r="CB11" s="179"/>
      <c r="CC11" s="179"/>
      <c r="CD11" s="179"/>
      <c r="CE11" s="179"/>
      <c r="CF11" s="179"/>
      <c r="CG11" s="179"/>
      <c r="CH11" s="179"/>
      <c r="CI11" s="179"/>
      <c r="CJ11" s="179"/>
      <c r="CK11" s="179"/>
      <c r="CL11" s="179"/>
      <c r="CM11" s="179"/>
      <c r="CN11" s="179"/>
      <c r="CO11" s="17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179"/>
      <c r="P12" s="179"/>
      <c r="Q12" s="179"/>
      <c r="R12" s="158"/>
      <c r="S12" s="179"/>
      <c r="T12" s="179"/>
      <c r="U12" s="179"/>
      <c r="V12" s="179"/>
      <c r="W12" s="179"/>
      <c r="X12" s="179"/>
      <c r="Y12" s="179"/>
      <c r="Z12" s="179"/>
      <c r="AA12" s="179"/>
      <c r="AB12" s="179"/>
      <c r="AC12" s="179"/>
      <c r="AD12" s="179"/>
      <c r="AE12" s="179"/>
      <c r="AF12" s="179"/>
      <c r="AG12" s="179"/>
      <c r="AH12" s="53">
        <f ca="1">TblImps[[#This Row],[Time]]</f>
        <v>46180.333333333314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46180.333333333314</v>
      </c>
      <c r="BV12" s="142"/>
      <c r="BW12" s="179"/>
      <c r="BX12" s="179"/>
      <c r="BY12" s="179"/>
      <c r="BZ12" s="179"/>
      <c r="CA12" s="179"/>
      <c r="CB12" s="179"/>
      <c r="CC12" s="179"/>
      <c r="CD12" s="179"/>
      <c r="CE12" s="179"/>
      <c r="CF12" s="179"/>
      <c r="CG12" s="179"/>
      <c r="CH12" s="179"/>
      <c r="CI12" s="179"/>
      <c r="CJ12" s="179"/>
      <c r="CK12" s="179"/>
      <c r="CL12" s="179"/>
      <c r="CM12" s="179"/>
      <c r="CN12" s="179"/>
      <c r="CO12" s="17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179"/>
      <c r="P13" s="179"/>
      <c r="Q13" s="179"/>
      <c r="R13" s="158"/>
      <c r="S13" s="179"/>
      <c r="T13" s="179"/>
      <c r="U13" s="179"/>
      <c r="V13" s="179"/>
      <c r="W13" s="179"/>
      <c r="X13" s="179"/>
      <c r="Y13" s="179"/>
      <c r="Z13" s="179"/>
      <c r="AA13" s="179"/>
      <c r="AB13" s="179"/>
      <c r="AC13" s="179"/>
      <c r="AD13" s="179"/>
      <c r="AE13" s="179"/>
      <c r="AF13" s="179"/>
      <c r="AG13" s="179"/>
      <c r="AH13" s="53">
        <f ca="1">TblImps[[#This Row],[Time]]</f>
        <v>46180.374999999978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46180.374999999978</v>
      </c>
      <c r="BV13" s="142"/>
      <c r="BW13" s="179"/>
      <c r="BX13" s="179"/>
      <c r="BY13" s="179"/>
      <c r="BZ13" s="179"/>
      <c r="CA13" s="179"/>
      <c r="CB13" s="179"/>
      <c r="CC13" s="179"/>
      <c r="CD13" s="179"/>
      <c r="CE13" s="179"/>
      <c r="CF13" s="179"/>
      <c r="CG13" s="179"/>
      <c r="CH13" s="179"/>
      <c r="CI13" s="179"/>
      <c r="CJ13" s="179"/>
      <c r="CK13" s="179"/>
      <c r="CL13" s="179"/>
      <c r="CM13" s="179"/>
      <c r="CN13" s="179"/>
      <c r="CO13" s="17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179"/>
      <c r="P14" s="179"/>
      <c r="Q14" s="179"/>
      <c r="R14" s="158"/>
      <c r="S14" s="179"/>
      <c r="T14" s="179"/>
      <c r="U14" s="179"/>
      <c r="V14" s="179"/>
      <c r="W14" s="179"/>
      <c r="X14" s="179"/>
      <c r="Y14" s="179"/>
      <c r="Z14" s="179"/>
      <c r="AA14" s="179"/>
      <c r="AB14" s="179"/>
      <c r="AC14" s="179"/>
      <c r="AD14" s="179"/>
      <c r="AE14" s="179"/>
      <c r="AF14" s="179"/>
      <c r="AG14" s="179"/>
      <c r="AH14" s="53">
        <f ca="1">TblImps[[#This Row],[Time]]</f>
        <v>46180.416666666642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46180.416666666642</v>
      </c>
      <c r="BV14" s="142"/>
      <c r="BW14" s="179"/>
      <c r="BX14" s="179"/>
      <c r="BY14" s="179"/>
      <c r="BZ14" s="179"/>
      <c r="CA14" s="179"/>
      <c r="CB14" s="179"/>
      <c r="CC14" s="179"/>
      <c r="CD14" s="179"/>
      <c r="CE14" s="179"/>
      <c r="CF14" s="179"/>
      <c r="CG14" s="179"/>
      <c r="CH14" s="179"/>
      <c r="CI14" s="179"/>
      <c r="CJ14" s="179"/>
      <c r="CK14" s="179"/>
      <c r="CL14" s="179"/>
      <c r="CM14" s="179"/>
      <c r="CN14" s="179"/>
      <c r="CO14" s="17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179"/>
      <c r="P15" s="179"/>
      <c r="Q15" s="179"/>
      <c r="R15" s="179"/>
      <c r="S15" s="179"/>
      <c r="T15" s="179"/>
      <c r="U15" s="179"/>
      <c r="V15" s="179"/>
      <c r="W15" s="179"/>
      <c r="X15" s="179"/>
      <c r="Y15" s="179"/>
      <c r="Z15" s="179"/>
      <c r="AA15" s="179"/>
      <c r="AB15" s="179"/>
      <c r="AC15" s="179"/>
      <c r="AD15" s="179"/>
      <c r="AE15" s="179"/>
      <c r="AF15" s="179"/>
      <c r="AG15" s="179"/>
      <c r="AH15" s="53">
        <f ca="1">TblImps[[#This Row],[Time]]</f>
        <v>46180.458333333307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46180.458333333307</v>
      </c>
      <c r="BV15" s="142"/>
      <c r="BW15" s="179"/>
      <c r="BX15" s="179"/>
      <c r="BY15" s="179"/>
      <c r="BZ15" s="179"/>
      <c r="CA15" s="179"/>
      <c r="CB15" s="179"/>
      <c r="CC15" s="179"/>
      <c r="CD15" s="179"/>
      <c r="CE15" s="179"/>
      <c r="CF15" s="179"/>
      <c r="CG15" s="179"/>
      <c r="CH15" s="179"/>
      <c r="CI15" s="179"/>
      <c r="CJ15" s="179"/>
      <c r="CK15" s="179"/>
      <c r="CL15" s="179"/>
      <c r="CM15" s="179"/>
      <c r="CN15" s="179"/>
      <c r="CO15" s="17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46180.499999999971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46180.499999999971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179"/>
      <c r="P17" s="179"/>
      <c r="Q17" s="179"/>
      <c r="R17" s="179"/>
      <c r="S17" s="179"/>
      <c r="T17" s="179"/>
      <c r="U17" s="179"/>
      <c r="V17" s="179"/>
      <c r="W17" s="179"/>
      <c r="X17" s="158"/>
      <c r="Y17" s="179"/>
      <c r="Z17" s="179"/>
      <c r="AA17" s="179"/>
      <c r="AB17" s="179"/>
      <c r="AC17" s="179"/>
      <c r="AD17" s="179"/>
      <c r="AE17" s="179"/>
      <c r="AF17" s="179"/>
      <c r="AG17" s="179"/>
      <c r="AH17" s="53">
        <f ca="1">TblImps[[#This Row],[Time]]</f>
        <v>46180.541666666635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46180.541666666635</v>
      </c>
      <c r="BV17" s="142"/>
      <c r="BW17" s="179"/>
      <c r="BX17" s="179"/>
      <c r="BY17" s="179"/>
      <c r="BZ17" s="179"/>
      <c r="CA17" s="179"/>
      <c r="CB17" s="179"/>
      <c r="CC17" s="179"/>
      <c r="CD17" s="179"/>
      <c r="CE17" s="179"/>
      <c r="CF17" s="179"/>
      <c r="CG17" s="179"/>
      <c r="CH17" s="179"/>
      <c r="CI17" s="179"/>
      <c r="CJ17" s="179"/>
      <c r="CK17" s="179"/>
      <c r="CL17" s="179"/>
      <c r="CM17" s="179"/>
      <c r="CN17" s="179"/>
      <c r="CO17" s="17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179"/>
      <c r="P18" s="179"/>
      <c r="Q18" s="179"/>
      <c r="R18" s="179"/>
      <c r="S18" s="179"/>
      <c r="T18" s="179"/>
      <c r="U18" s="179"/>
      <c r="V18" s="179"/>
      <c r="W18" s="179"/>
      <c r="X18" s="179"/>
      <c r="Y18" s="179"/>
      <c r="Z18" s="179"/>
      <c r="AA18" s="179"/>
      <c r="AB18" s="179"/>
      <c r="AC18" s="179"/>
      <c r="AD18" s="179"/>
      <c r="AE18" s="179"/>
      <c r="AF18" s="179"/>
      <c r="AG18" s="179"/>
      <c r="AH18" s="53">
        <f ca="1">TblImps[[#This Row],[Time]]</f>
        <v>46180.583333333299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46180.583333333299</v>
      </c>
      <c r="BV18" s="142"/>
      <c r="BW18" s="179"/>
      <c r="BX18" s="179"/>
      <c r="BY18" s="179"/>
      <c r="BZ18" s="179"/>
      <c r="CA18" s="179"/>
      <c r="CB18" s="179"/>
      <c r="CC18" s="179"/>
      <c r="CD18" s="179"/>
      <c r="CE18" s="179"/>
      <c r="CF18" s="179"/>
      <c r="CG18" s="179"/>
      <c r="CH18" s="179"/>
      <c r="CI18" s="179"/>
      <c r="CJ18" s="179"/>
      <c r="CK18" s="179"/>
      <c r="CL18" s="179"/>
      <c r="CM18" s="179"/>
      <c r="CN18" s="179"/>
      <c r="CO18" s="17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179"/>
      <c r="P19" s="179"/>
      <c r="Q19" s="179"/>
      <c r="R19" s="179"/>
      <c r="S19" s="179"/>
      <c r="T19" s="179"/>
      <c r="U19" s="179"/>
      <c r="V19" s="179"/>
      <c r="W19" s="179"/>
      <c r="X19" s="179"/>
      <c r="Y19" s="179"/>
      <c r="Z19" s="179"/>
      <c r="AA19" s="179"/>
      <c r="AB19" s="179"/>
      <c r="AC19" s="179"/>
      <c r="AD19" s="179"/>
      <c r="AE19" s="179"/>
      <c r="AF19" s="179"/>
      <c r="AG19" s="179"/>
      <c r="AH19" s="53">
        <f ca="1">TblImps[[#This Row],[Time]]</f>
        <v>46180.624999999964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46180.624999999964</v>
      </c>
      <c r="BV19" s="142"/>
      <c r="BW19" s="179"/>
      <c r="BX19" s="179"/>
      <c r="BY19" s="179"/>
      <c r="BZ19" s="179"/>
      <c r="CA19" s="179"/>
      <c r="CB19" s="179"/>
      <c r="CC19" s="179"/>
      <c r="CD19" s="179"/>
      <c r="CE19" s="179"/>
      <c r="CF19" s="179"/>
      <c r="CG19" s="179"/>
      <c r="CH19" s="179"/>
      <c r="CI19" s="179"/>
      <c r="CJ19" s="179"/>
      <c r="CK19" s="179"/>
      <c r="CL19" s="179"/>
      <c r="CM19" s="179"/>
      <c r="CN19" s="179"/>
      <c r="CO19" s="17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179"/>
      <c r="P20" s="179"/>
      <c r="Q20" s="179"/>
      <c r="R20" s="179"/>
      <c r="S20" s="179"/>
      <c r="T20" s="179"/>
      <c r="U20" s="179"/>
      <c r="V20" s="179"/>
      <c r="W20" s="179"/>
      <c r="X20" s="179"/>
      <c r="Y20" s="179"/>
      <c r="Z20" s="179"/>
      <c r="AA20" s="179"/>
      <c r="AB20" s="179"/>
      <c r="AC20" s="179"/>
      <c r="AD20" s="179"/>
      <c r="AE20" s="179"/>
      <c r="AF20" s="179"/>
      <c r="AG20" s="179"/>
      <c r="AH20" s="53">
        <f ca="1">TblImps[[#This Row],[Time]]</f>
        <v>46180.666666666628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46180.666666666628</v>
      </c>
      <c r="BV20" s="142"/>
      <c r="BW20" s="179"/>
      <c r="BX20" s="179"/>
      <c r="BY20" s="179"/>
      <c r="BZ20" s="179"/>
      <c r="CA20" s="179"/>
      <c r="CB20" s="179"/>
      <c r="CC20" s="179"/>
      <c r="CD20" s="179"/>
      <c r="CE20" s="179"/>
      <c r="CF20" s="179"/>
      <c r="CG20" s="179"/>
      <c r="CH20" s="179"/>
      <c r="CI20" s="179"/>
      <c r="CJ20" s="179"/>
      <c r="CK20" s="179"/>
      <c r="CL20" s="179"/>
      <c r="CM20" s="179"/>
      <c r="CN20" s="179"/>
      <c r="CO20" s="17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179"/>
      <c r="P21" s="179"/>
      <c r="Q21" s="179"/>
      <c r="R21" s="179"/>
      <c r="S21" s="179"/>
      <c r="T21" s="179"/>
      <c r="U21" s="179"/>
      <c r="V21" s="179"/>
      <c r="W21" s="179"/>
      <c r="X21" s="179"/>
      <c r="Y21" s="179"/>
      <c r="Z21" s="179"/>
      <c r="AA21" s="179"/>
      <c r="AB21" s="179"/>
      <c r="AC21" s="179"/>
      <c r="AD21" s="179"/>
      <c r="AE21" s="179"/>
      <c r="AF21" s="179"/>
      <c r="AG21" s="179"/>
      <c r="AH21" s="53">
        <f ca="1">TblImps[[#This Row],[Time]]</f>
        <v>46180.708333333292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46180.708333333292</v>
      </c>
      <c r="BV21" s="142"/>
      <c r="BW21" s="179"/>
      <c r="BX21" s="179"/>
      <c r="BY21" s="179"/>
      <c r="BZ21" s="179"/>
      <c r="CA21" s="179"/>
      <c r="CB21" s="179"/>
      <c r="CC21" s="179"/>
      <c r="CD21" s="179"/>
      <c r="CE21" s="179"/>
      <c r="CF21" s="179"/>
      <c r="CG21" s="179"/>
      <c r="CH21" s="179"/>
      <c r="CI21" s="179"/>
      <c r="CJ21" s="179"/>
      <c r="CK21" s="179"/>
      <c r="CL21" s="179"/>
      <c r="CM21" s="179"/>
      <c r="CN21" s="179"/>
      <c r="CO21" s="17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179"/>
      <c r="P22" s="179"/>
      <c r="Q22" s="179"/>
      <c r="R22" s="179"/>
      <c r="S22" s="179"/>
      <c r="T22" s="179"/>
      <c r="U22" s="179"/>
      <c r="V22" s="179"/>
      <c r="W22" s="179"/>
      <c r="X22" s="179"/>
      <c r="Y22" s="179"/>
      <c r="Z22" s="179"/>
      <c r="AA22" s="179"/>
      <c r="AB22" s="179"/>
      <c r="AC22" s="179"/>
      <c r="AD22" s="179"/>
      <c r="AE22" s="179"/>
      <c r="AF22" s="179"/>
      <c r="AG22" s="179"/>
      <c r="AH22" s="53">
        <f ca="1">TblImps[[#This Row],[Time]]</f>
        <v>46180.749999999956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46180.749999999956</v>
      </c>
      <c r="BV22" s="142"/>
      <c r="BW22" s="179"/>
      <c r="BX22" s="179"/>
      <c r="BY22" s="179"/>
      <c r="BZ22" s="179"/>
      <c r="CA22" s="179"/>
      <c r="CB22" s="179"/>
      <c r="CC22" s="179"/>
      <c r="CD22" s="179"/>
      <c r="CE22" s="179"/>
      <c r="CF22" s="179"/>
      <c r="CG22" s="179"/>
      <c r="CH22" s="179"/>
      <c r="CI22" s="179"/>
      <c r="CJ22" s="179"/>
      <c r="CK22" s="179"/>
      <c r="CL22" s="179"/>
      <c r="CM22" s="179"/>
      <c r="CN22" s="179"/>
      <c r="CO22" s="17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179"/>
      <c r="P23" s="179"/>
      <c r="Q23" s="179"/>
      <c r="R23" s="179"/>
      <c r="S23" s="179"/>
      <c r="T23" s="179"/>
      <c r="U23" s="179"/>
      <c r="V23" s="179"/>
      <c r="W23" s="179"/>
      <c r="X23" s="179"/>
      <c r="Y23" s="179"/>
      <c r="Z23" s="179"/>
      <c r="AA23" s="179"/>
      <c r="AB23" s="179"/>
      <c r="AC23" s="179"/>
      <c r="AD23" s="179"/>
      <c r="AE23" s="179"/>
      <c r="AF23" s="179"/>
      <c r="AG23" s="179"/>
      <c r="AH23" s="53">
        <f ca="1">TblImps[[#This Row],[Time]]</f>
        <v>46180.791666666621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46180.791666666621</v>
      </c>
      <c r="BV23" s="142"/>
      <c r="BW23" s="179"/>
      <c r="BX23" s="179"/>
      <c r="BY23" s="179"/>
      <c r="BZ23" s="179"/>
      <c r="CA23" s="179"/>
      <c r="CB23" s="179"/>
      <c r="CC23" s="179"/>
      <c r="CD23" s="179"/>
      <c r="CE23" s="179"/>
      <c r="CF23" s="179"/>
      <c r="CG23" s="179"/>
      <c r="CH23" s="179"/>
      <c r="CI23" s="179"/>
      <c r="CJ23" s="179"/>
      <c r="CK23" s="179"/>
      <c r="CL23" s="179"/>
      <c r="CM23" s="179"/>
      <c r="CN23" s="179"/>
      <c r="CO23" s="17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179"/>
      <c r="P24" s="179"/>
      <c r="Q24" s="179"/>
      <c r="R24" s="158"/>
      <c r="S24" s="179"/>
      <c r="T24" s="179"/>
      <c r="U24" s="179"/>
      <c r="V24" s="179"/>
      <c r="W24" s="179"/>
      <c r="X24" s="179"/>
      <c r="Y24" s="179"/>
      <c r="Z24" s="179"/>
      <c r="AA24" s="179"/>
      <c r="AB24" s="179"/>
      <c r="AC24" s="179"/>
      <c r="AD24" s="179"/>
      <c r="AE24" s="179"/>
      <c r="AF24" s="179"/>
      <c r="AG24" s="179"/>
      <c r="AH24" s="53">
        <f ca="1">TblImps[[#This Row],[Time]]</f>
        <v>46180.833333333285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46180.833333333285</v>
      </c>
      <c r="BV24" s="142"/>
      <c r="BW24" s="179"/>
      <c r="BX24" s="179"/>
      <c r="BY24" s="179"/>
      <c r="BZ24" s="179"/>
      <c r="CA24" s="179"/>
      <c r="CB24" s="179"/>
      <c r="CC24" s="179"/>
      <c r="CD24" s="179"/>
      <c r="CE24" s="179"/>
      <c r="CF24" s="179"/>
      <c r="CG24" s="179"/>
      <c r="CH24" s="179"/>
      <c r="CI24" s="179"/>
      <c r="CJ24" s="179"/>
      <c r="CK24" s="179"/>
      <c r="CL24" s="179"/>
      <c r="CM24" s="179"/>
      <c r="CN24" s="179"/>
      <c r="CO24" s="17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179"/>
      <c r="P25" s="179"/>
      <c r="Q25" s="179"/>
      <c r="R25" s="158"/>
      <c r="S25" s="179"/>
      <c r="T25" s="179"/>
      <c r="U25" s="179"/>
      <c r="V25" s="179"/>
      <c r="W25" s="179"/>
      <c r="X25" s="179"/>
      <c r="Y25" s="179"/>
      <c r="Z25" s="179"/>
      <c r="AA25" s="179"/>
      <c r="AB25" s="179"/>
      <c r="AC25" s="179"/>
      <c r="AD25" s="179"/>
      <c r="AE25" s="179"/>
      <c r="AF25" s="179"/>
      <c r="AG25" s="179"/>
      <c r="AH25" s="53">
        <f ca="1">TblImps[[#This Row],[Time]]</f>
        <v>46180.874999999949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46180.874999999949</v>
      </c>
      <c r="BV25" s="142"/>
      <c r="BW25" s="179"/>
      <c r="BX25" s="179"/>
      <c r="BY25" s="179"/>
      <c r="BZ25" s="179"/>
      <c r="CA25" s="179"/>
      <c r="CB25" s="179"/>
      <c r="CC25" s="179"/>
      <c r="CD25" s="179"/>
      <c r="CE25" s="179"/>
      <c r="CF25" s="179"/>
      <c r="CG25" s="179"/>
      <c r="CH25" s="179"/>
      <c r="CI25" s="179"/>
      <c r="CJ25" s="179"/>
      <c r="CK25" s="179"/>
      <c r="CL25" s="179"/>
      <c r="CM25" s="179"/>
      <c r="CN25" s="179"/>
      <c r="CO25" s="17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179"/>
      <c r="P26" s="179"/>
      <c r="Q26" s="179"/>
      <c r="R26" s="158"/>
      <c r="S26" s="179"/>
      <c r="T26" s="179"/>
      <c r="U26" s="179"/>
      <c r="V26" s="179"/>
      <c r="W26" s="179"/>
      <c r="X26" s="179"/>
      <c r="Y26" s="179"/>
      <c r="Z26" s="179"/>
      <c r="AA26" s="179"/>
      <c r="AB26" s="179"/>
      <c r="AC26" s="179"/>
      <c r="AD26" s="179"/>
      <c r="AE26" s="179"/>
      <c r="AF26" s="179"/>
      <c r="AG26" s="179"/>
      <c r="AH26" s="53">
        <f ca="1">TblImps[[#This Row],[Time]]</f>
        <v>46180.916666666613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46180.916666666613</v>
      </c>
      <c r="BV26" s="142"/>
      <c r="BW26" s="179"/>
      <c r="BX26" s="179"/>
      <c r="BY26" s="179"/>
      <c r="BZ26" s="179"/>
      <c r="CA26" s="179"/>
      <c r="CB26" s="179"/>
      <c r="CC26" s="179"/>
      <c r="CD26" s="179"/>
      <c r="CE26" s="179"/>
      <c r="CF26" s="179"/>
      <c r="CG26" s="179"/>
      <c r="CH26" s="179"/>
      <c r="CI26" s="179"/>
      <c r="CJ26" s="179"/>
      <c r="CK26" s="179"/>
      <c r="CL26" s="179"/>
      <c r="CM26" s="179"/>
      <c r="CN26" s="179"/>
      <c r="CO26" s="17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179"/>
      <c r="P27" s="158"/>
      <c r="Q27" s="179"/>
      <c r="R27" s="179"/>
      <c r="S27" s="179"/>
      <c r="T27" s="179"/>
      <c r="U27" s="179"/>
      <c r="V27" s="179"/>
      <c r="W27" s="179"/>
      <c r="X27" s="179"/>
      <c r="Y27" s="179"/>
      <c r="Z27" s="179"/>
      <c r="AA27" s="179"/>
      <c r="AB27" s="179"/>
      <c r="AC27" s="179"/>
      <c r="AD27" s="179"/>
      <c r="AE27" s="179"/>
      <c r="AF27" s="179"/>
      <c r="AG27" s="179"/>
      <c r="AH27" s="53">
        <f ca="1">TblImps[[#This Row],[Time]]</f>
        <v>46180.958333333278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46180.958333333278</v>
      </c>
      <c r="BV27" s="142"/>
      <c r="BW27" s="179"/>
      <c r="BX27" s="179"/>
      <c r="BY27" s="179"/>
      <c r="BZ27" s="179"/>
      <c r="CA27" s="179"/>
      <c r="CB27" s="179"/>
      <c r="CC27" s="179"/>
      <c r="CD27" s="179"/>
      <c r="CE27" s="179"/>
      <c r="CF27" s="179"/>
      <c r="CG27" s="179"/>
      <c r="CH27" s="179"/>
      <c r="CI27" s="179"/>
      <c r="CJ27" s="179"/>
      <c r="CK27" s="179"/>
      <c r="CL27" s="179"/>
      <c r="CM27" s="179"/>
      <c r="CN27" s="179"/>
      <c r="CO27" s="17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46180.999999999942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46180.999999999942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46181.041666666606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46181.041666666606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46181.08333333327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46181.08333333327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46181.124999999935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46181.124999999935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46181.166666666599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46181.166666666599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46181.208333333263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46181.208333333263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46181.249999999927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46181.249999999927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46181.291666666591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46181.291666666591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46181.333333333256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46181.333333333256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46181.37499999992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46181.37499999992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46181.416666666584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46181.416666666584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46181.458333333248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46181.458333333248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x14ac:dyDescent="0.2">
      <c r="A40" s="175">
        <f>TblRezone[[#This Row],[Hour]]</f>
        <v>37</v>
      </c>
      <c r="B40" s="176">
        <f ca="1">SUM(TblConstr[[#This Row],[Plain]:[Water]])</f>
        <v>0</v>
      </c>
      <c r="C40" s="177">
        <f ca="1">SUM(TblConstr[[#This Row],[Tot Hom]:[Tot Doc]])</f>
        <v>50</v>
      </c>
      <c r="D40" s="177">
        <f t="shared" si="2"/>
        <v>0</v>
      </c>
      <c r="E40" s="178"/>
      <c r="F40" s="61">
        <f ca="1">TblConstr[[#This Row],[Barren]]+TblConstr[[#This Row],[Buildings]]+TblConstr[[#This Row],[Incoming]]</f>
        <v>50</v>
      </c>
      <c r="G40" s="187">
        <f ca="1">OFFSET(TblConstr[[#This Row],[Plain]],-1,0)+TblConstr[[#This Row],[Ch_Plain]]</f>
        <v>0</v>
      </c>
      <c r="H40" s="182">
        <f ca="1">OFFSET(TblConstr[[#This Row],[Forest]],-1,0)+TblConstr[[#This Row],[Ch_Forest]]</f>
        <v>0</v>
      </c>
      <c r="I40" s="359">
        <f ca="1">OFFSET(TblConstr[[#This Row],[Mountain]],-1,0)+TblConstr[[#This Row],[Ch_Mountain]]</f>
        <v>0</v>
      </c>
      <c r="J40" s="363">
        <f ca="1">OFFSET(TblConstr[[#This Row],[Hill]],-1,0)+TblConstr[[#This Row],[Ch_Hill]]</f>
        <v>0</v>
      </c>
      <c r="K40" s="367">
        <f ca="1">OFFSET(TblConstr[[#This Row],[Swamp]],-1,0)+TblConstr[[#This Row],[Ch_Swamp]]</f>
        <v>0</v>
      </c>
      <c r="L40" s="185">
        <f ca="1">OFFSET(TblConstr[[#This Row],[Cavern]],-1,0)+TblConstr[[#This Row],[Ch_Cavern]]</f>
        <v>0</v>
      </c>
      <c r="M40" s="186">
        <f ca="1">OFFSET(TblConstr[[#This Row],[Water]],-1,0)+TblConstr[[#This Row],[Ch_Water]]</f>
        <v>0</v>
      </c>
      <c r="N40" s="357">
        <f>TblRezone[[#This Row],[Hour]]</f>
        <v>37</v>
      </c>
      <c r="O40" s="179"/>
      <c r="P40" s="179"/>
      <c r="Q40" s="179"/>
      <c r="R40" s="179"/>
      <c r="S40" s="179"/>
      <c r="T40" s="179"/>
      <c r="U40" s="179"/>
      <c r="V40" s="179"/>
      <c r="W40" s="179"/>
      <c r="X40" s="179"/>
      <c r="Y40" s="179"/>
      <c r="Z40" s="179"/>
      <c r="AA40" s="179"/>
      <c r="AB40" s="179"/>
      <c r="AC40" s="179"/>
      <c r="AD40" s="179"/>
      <c r="AE40" s="179"/>
      <c r="AF40" s="179"/>
      <c r="AG40" s="179"/>
      <c r="AH40" s="53">
        <f ca="1">TblImps[[#This Row],[Time]]</f>
        <v>46181.499999999913</v>
      </c>
      <c r="AI40" s="180">
        <f ca="1">MIN(25%,(TblConstr[[#This Row],[Tot Fac]]+TblConstr[[#This Row],[Dest Fac]])/(TblConstr[[#This Row],[Land]]-TblExplore[[#This Row],[Land Bonus]]*20))</f>
        <v>0</v>
      </c>
      <c r="AJ40" s="180">
        <f ca="1">MIN(25%,(TblConstr[[#This Row],[Tot Fac]]+TblConstr[[#This Row],[Dest Fac]])/TblConstr[[#This Row],[Land]])</f>
        <v>0</v>
      </c>
      <c r="AK40" s="94">
        <f ca="1">TblProd[[#This Row],[Platinum]]</f>
        <v>158460</v>
      </c>
      <c r="AL40" s="94">
        <f ca="1">TblProd[[#This Row],[Lumber]]</f>
        <v>40804</v>
      </c>
      <c r="AM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94">
        <f ca="1">ROUNDDOWN( MAX(1 - MIN(facs_constr_factor*TblConstr[[#This Row],[Facs -DB]],facs_constr_max) + tech_1_11*TblTech[[#This Row],[11-1]] + tech_6_3_2*TblTech[[#This Row],[6-3]] + tech_5_2_3*TblTech[[#This Row],[5-2]], 1-global_constr_cap) * TblConstr[[#This Row],[RCPA Lumber]],0)</f>
        <v>31</v>
      </c>
      <c r="AO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94">
        <f ca="1">ROUNDDOWN( MAX(1 - MIN(facs_constr_factor*TblConstr[[#This Row],[Facs DB]],facs_constr_max) + tech_1_11*TblTech[[#This Row],[1-11]] + tech_6_3_2*TblTech[[#This Row],[6-3]] + tech_5_2_3*TblTech[[#This Row],[5-2]], 1-global_constr_cap) * ROUND((TblConstr[[#This Row],[Land]]-250)*0.285 + 87.5 + 0/4.25,0),0)</f>
        <v>31</v>
      </c>
      <c r="AQ40" s="45">
        <f ca="1">TblConstr[[#This Row],[build -db]]*TblConstr[[#This Row],[CPA Platinum -DB]] + TblConstr[[#This Row],[build db]]*TblConstr[[#This Row],[CPA Platinum DB]]</f>
        <v>0</v>
      </c>
      <c r="AR40" s="45">
        <f ca="1">TblConstr[[#This Row],[build -db]]*TblConstr[[#This Row],[CPA Lumber -DB]] + TblConstr[[#This Row],[build db]]*TblConstr[[#This Row],[CPA Lumber DB]]</f>
        <v>0</v>
      </c>
      <c r="AS40" s="94">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2"/>
      <c r="AV40" s="94">
        <f ca="1">ROUND((TblConstr[[#This Row],[Land]]-250 - IF(TblExplore[[#This Row],[Land Bonus]]&lt;&gt;0,20,0))*1.25 + 850 + 0,0)</f>
        <v>600</v>
      </c>
      <c r="AW40" s="94">
        <f ca="1">ROUND((TblConstr[[#This Row],[Land]]-250 - IF(TblExplore[[#This Row],[Land Bonus]]&lt;&gt;0,20,0))*0.285 + 87.5 + 0/4.25,0)</f>
        <v>31</v>
      </c>
      <c r="AX40" s="154"/>
      <c r="AY40" s="188" cm="1">
        <f t="array" aca="1" ref="AY40" ca="1">IF(TblConstr[[#This Row],[Hour]:[Hour]]&gt;12,OFFSET(TblConstr[[#This Row],[Hom]],-12,0),0)+OFFSET(TblConstr[[#This Row],[Tot Hom]],-1,0)-TblConstr[[#This Row],[Dest Hom]]</f>
        <v>0</v>
      </c>
      <c r="AZ40" s="189" cm="1">
        <f t="array" aca="1" ref="AZ40" ca="1">IF(TblConstr[[#This Row],[Hour]:[Hour]]&gt;12,OFFSET(TblConstr[[#This Row],[Alc]],-12,0),0)+OFFSET(TblConstr[[#This Row],[Tot Alc]],-1,0)-TblConstr[[#This Row],[Dest Alc]]</f>
        <v>0</v>
      </c>
      <c r="BA40" s="189" cm="1">
        <f t="array" aca="1" ref="BA40" ca="1">IF(TblConstr[[#This Row],[Hour]:[Hour]]&gt;12,OFFSET(TblConstr[[#This Row],[Far]],-12,0),0)+OFFSET(TblConstr[[#This Row],[Tot Farm]],-1,0)-TblConstr[[#This Row],[Dest Farm]]</f>
        <v>30</v>
      </c>
      <c r="BB40" s="189" cm="1">
        <f t="array" aca="1" ref="BB40" ca="1">IF(TblConstr[[#This Row],[Hour]:[Hour]]&gt;12,OFFSET(TblConstr[[#This Row],[Smi]],-12,0),0)+OFFSET(TblConstr[[#This Row],[Tot Smi]],-1,0)-TblConstr[[#This Row],[Dest Smi]]</f>
        <v>0</v>
      </c>
      <c r="BC40" s="189" cm="1">
        <f t="array" aca="1" ref="BC40" ca="1">IF(TblConstr[[#This Row],[Hour]:[Hour]]&gt;12,OFFSET(TblConstr[[#This Row],[Mas]],-12,0),0)+OFFSET(TblConstr[[#This Row],[Tot Mas]],-1,0)-TblConstr[[#This Row],[Dest Mas]]</f>
        <v>0</v>
      </c>
      <c r="BD40" s="190" cm="1">
        <f t="array" aca="1" ref="BD40" ca="1">IF(TblConstr[[#This Row],[Hour]:[Hour]]&gt;12,OFFSET(TblConstr[[#This Row],[Ly]],-12,0),0)+OFFSET(TblConstr[[#This Row],[Tot Ly]],-1,0)-TblConstr[[#This Row],[Dest Ly]]</f>
        <v>20</v>
      </c>
      <c r="BE40" s="190" cm="1">
        <f t="array" aca="1" ref="BE40" ca="1">IF(TblConstr[[#This Row],[Hour]:[Hour]]&gt;12,OFFSET(TblConstr[[#This Row],[Hav]],-12,0),0)+OFFSET(TblConstr[[#This Row],[Tot Hav]],-1,0)-TblConstr[[#This Row],[Dest Hav]]</f>
        <v>0</v>
      </c>
      <c r="BF40" s="361" cm="1">
        <f t="array" aca="1" ref="BF40" ca="1">IF(TblConstr[[#This Row],[Hour]:[Hour]]&gt;12,OFFSET(TblConstr[[#This Row],[OM]],-12,0),0)+OFFSET(TblConstr[[#This Row],[Tot OM]],-1,0)-TblConstr[[#This Row],[Dest OM]]</f>
        <v>0</v>
      </c>
      <c r="BG40" s="361" cm="1">
        <f t="array" aca="1" ref="BG40" ca="1">IF(TblConstr[[#This Row],[Hour]:[Hour]]&gt;12,OFFSET(TblConstr[[#This Row],[GN]],-12,0),0)+OFFSET(TblConstr[[#This Row],[Tot GN]],-1,0)-TblConstr[[#This Row],[Dest GN]]</f>
        <v>0</v>
      </c>
      <c r="BH40" s="365" cm="1">
        <f t="array" aca="1" ref="BH40" ca="1">IF(TblConstr[[#This Row],[Hour]:[Hour]]&gt;12,OFFSET(TblConstr[[#This Row],[Fac]],-12,0),0)+OFFSET(TblConstr[[#This Row],[Tot Fac]],-1,0)-TblConstr[[#This Row],[Dest Fac]]</f>
        <v>0</v>
      </c>
      <c r="BI40" s="365" cm="1">
        <f t="array" aca="1" ref="BI40" ca="1">IF(TblConstr[[#This Row],[Hour]:[Hour]]&gt;12,OFFSET(TblConstr[[#This Row],[GT]],-12,0),0)+OFFSET(TblConstr[[#This Row],[Tot GT]],-1,0)-TblConstr[[#This Row],[Dest GT]]</f>
        <v>0</v>
      </c>
      <c r="BJ40" s="365" cm="1">
        <f t="array" aca="1" ref="BJ40" ca="1">IF(TblConstr[[#This Row],[Hour]:[Hour]]&gt;12,OFFSET(TblConstr[[#This Row],[Bar]],-12,0),0)+OFFSET(TblConstr[[#This Row],[Tot Bar]],-1,0)-TblConstr[[#This Row],[Dest Bar]]</f>
        <v>0</v>
      </c>
      <c r="BK40" s="365" cm="1">
        <f t="array" aca="1" ref="BK40" ca="1">IF(TblConstr[[#This Row],[Hour]:[Hour]]&gt;12,OFFSET(TblConstr[[#This Row],[Shr]],-12,0),0)+OFFSET(TblConstr[[#This Row],[Tot Shr]],-1,0)-TblConstr[[#This Row],[Dest Shr]]</f>
        <v>0</v>
      </c>
      <c r="BL40" s="369" cm="1">
        <f t="array" aca="1" ref="BL40" ca="1">IF(TblConstr[[#This Row],[Hour]:[Hour]]&gt;12,OFFSET(TblConstr[[#This Row],[Tow]],-12,0),0)+OFFSET(TblConstr[[#This Row],[Tot Tow]],-1,0)-TblConstr[[#This Row],[Dest Tow]]</f>
        <v>0</v>
      </c>
      <c r="BM40" s="369" cm="1">
        <f t="array" aca="1" ref="BM40" ca="1">IF(TblConstr[[#This Row],[Hour]:[Hour]]&gt;12,OFFSET(TblConstr[[#This Row],[Tem]],-12,0),0)+OFFSET(TblConstr[[#This Row],[Tot Tem]],-1,0)-TblConstr[[#This Row],[Dest Tem]]</f>
        <v>0</v>
      </c>
      <c r="BN40" s="369" cm="1">
        <f t="array" aca="1" ref="BN40" ca="1">IF(TblConstr[[#This Row],[Hour]:[Hour]]&gt;12,OFFSET(TblConstr[[#This Row],[WG]],-12,0),0)+OFFSET(TblConstr[[#This Row],[Tot WG]],-1,0)-TblConstr[[#This Row],[Dest WG]]</f>
        <v>0</v>
      </c>
      <c r="BO40" s="191" cm="1">
        <f t="array" aca="1" ref="BO40" ca="1">IF(TblConstr[[#This Row],[Hour]:[Hour]]&gt;12,OFFSET(TblConstr[[#This Row],[DM]],-12,0),0)+OFFSET(TblConstr[[#This Row],[Tot DM]],-1,0)-TblConstr[[#This Row],[Dest DM]]</f>
        <v>0</v>
      </c>
      <c r="BP40" s="191" cm="1">
        <f t="array" aca="1" ref="BP40" ca="1">IF(TblConstr[[#This Row],[Hour]:[Hour]]&gt;12,OFFSET(TblConstr[[#This Row],[Sch]],-12,0),0)+OFFSET(TblConstr[[#This Row],[Tot Sch]],-1,0)-TblConstr[[#This Row],[Dest Sch]]</f>
        <v>0</v>
      </c>
      <c r="BQ40" s="192" cm="1">
        <f t="array" aca="1" ref="BQ40" ca="1">IF(TblConstr[[#This Row],[Hour]:[Hour]]&gt;12,OFFSET(TblConstr[[#This Row],[Doc]],-12,0),0)+OFFSET(TblConstr[[#This Row],[Tot Doc]],-1,0)-TblConstr[[#This Row],[Dest Doc]]</f>
        <v>0</v>
      </c>
      <c r="BR40" s="142"/>
      <c r="BS40" s="154"/>
      <c r="BT40" s="94">
        <f ca="1">TblConstr[[#This Row],[Land]]</f>
        <v>50</v>
      </c>
      <c r="BU40" s="159">
        <f ca="1">TblImps[[#This Row],[Time]]</f>
        <v>46181.499999999913</v>
      </c>
      <c r="BV40" s="142"/>
      <c r="BW40" s="179"/>
      <c r="BX40" s="179"/>
      <c r="BY40" s="179"/>
      <c r="BZ40" s="179"/>
      <c r="CA40" s="179"/>
      <c r="CB40" s="179"/>
      <c r="CC40" s="179"/>
      <c r="CD40" s="179"/>
      <c r="CE40" s="179"/>
      <c r="CF40" s="179"/>
      <c r="CG40" s="179"/>
      <c r="CH40" s="179"/>
      <c r="CI40" s="179"/>
      <c r="CJ40" s="179"/>
      <c r="CK40" s="179"/>
      <c r="CL40" s="179"/>
      <c r="CM40" s="179"/>
      <c r="CN40" s="179"/>
      <c r="CO40" s="179"/>
      <c r="CP40" s="142"/>
      <c r="CQ40" s="181">
        <f ca="1">-SUM(TblConstr[[#This Row],[Alc]:[Mas]])+SUM(TblConstr[[#This Row],[Dest Alc]:[Dest Mas]])+Rezone!L40+IF("Ch_"&amp; home_land=TblConstr[[#Headers],[Ch_Plain]],TblConstr[[#This Row],[Home Land]])+IF(TblConstr[[#This Row],[Hour]:[Hour]]&gt;12,OFFSET(TblExplore[[#This Row],[Plains Explore]],-12,0),0)</f>
        <v>0</v>
      </c>
      <c r="CR40" s="182">
        <f ca="1">-SUM(TblConstr[[#This Row],[Ly]:[Hav]])+SUM(TblConstr[[#This Row],[Dest Ly]:[Dest Hav]]) +Rezone!M40 + IF("Ch_"&amp; home_land=TblConstr[[#Headers],[Ch_Forest]],TblConstr[[#This Row],[Home Land]])+IF(TblConstr[[#This Row],[Hour]:[Hour]]&gt;12,OFFSET(TblExplore[[#This Row],[Forest Explore]],-12,0),0)</f>
        <v>0</v>
      </c>
      <c r="CS40" s="359">
        <f ca="1">-SUM(TblConstr[[#This Row],[OM]:[GN]])+SUM(TblConstr[[#This Row],[Dest OM]:[Dest GN]]) +Rezone!N40 + IF("Ch_"&amp; home_land=TblConstr[[#Headers],[Ch_Mountain]],TblConstr[[#This Row],[Home Land]])+IF(TblConstr[[#This Row],[Hour]:[Hour]]&gt;12,OFFSET(TblExplore[[#This Row],[Mountain Explore]],-12,0),0)</f>
        <v>0</v>
      </c>
      <c r="CT40" s="183">
        <f ca="1">-SUM(TblConstr[[#This Row],[Fac]:[Shr]])+SUM(TblConstr[[#This Row],[Dest Fac]:[Dest Shr]]) +Rezone!O40 + IF("Ch_" &amp; home_land=TblConstr[[#Headers],[Ch_Hill]],TblConstr[[#This Row],[Home Land]])+IF(TblConstr[[#This Row],[Hour]:[Hour]]&gt;12,OFFSET(TblExplore[[#This Row],[Hill Explore]],-12,0),0)</f>
        <v>0</v>
      </c>
      <c r="CU40" s="184">
        <f ca="1">-SUM(TblConstr[[#This Row],[Tow]:[WG]])+SUM(TblConstr[[#This Row],[Dest Tow]:[Dest WG]]) +Rezone!P40 + IF("Ch_" &amp; home_land=TblConstr[[#Headers],[Ch_Swamp]],TblConstr[[#This Row],[Home Land]])+IF(TblConstr[[#This Row],[Hour]:[Hour]]&gt;12,OFFSET(TblExplore[[#This Row],[Swamp Explore]],-12,0),0)</f>
        <v>0</v>
      </c>
      <c r="CV40" s="185">
        <f ca="1" xml:space="preserve"> - SUM(TblConstr[[#This Row],[DM]:[Sch]])+SUM(TblConstr[[#This Row],[Dest DM]:[Dest Sch]]) +Rezone!Q40 + IF("Ch_" &amp; home_land=TblConstr[[#Headers],[Ch_Cavern]],TblConstr[[#This Row],[Home Land]])+IF(TblConstr[[#This Row],[Hour]:[Hour]]&gt;12,OFFSET(TblExplore[[#This Row],[Cavern Explore]],-12,0),0)</f>
        <v>0</v>
      </c>
      <c r="CW40" s="186">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2"/>
      <c r="CZ40" s="94">
        <f t="shared" ca="1" si="3"/>
        <v>30</v>
      </c>
      <c r="DA40" s="94">
        <f t="shared" ca="1" si="4"/>
        <v>20</v>
      </c>
      <c r="DB40" s="45">
        <f t="shared" ca="1" si="5"/>
        <v>0</v>
      </c>
      <c r="DC40" s="94">
        <f t="shared" ca="1" si="6"/>
        <v>0</v>
      </c>
      <c r="DD40" s="94">
        <f t="shared" ca="1" si="7"/>
        <v>0</v>
      </c>
      <c r="DE40" s="45">
        <f t="shared" ca="1" si="8"/>
        <v>0</v>
      </c>
      <c r="DF40" s="94">
        <f t="shared" ca="1" si="9"/>
        <v>0</v>
      </c>
      <c r="DG40" s="94" cm="1">
        <f t="array" aca="1" ref="DG40" ca="1">INDEX(TblConstr[[Total Plain]:[Total Water]],ROW()-ROW(TblConstr[#Headers]),MATCH("Total "&amp;home_land,TblConstr[[#Headers],[Total Plain]:[Total Water]],0))+TblConstr[[#This Row],[Homes]]</f>
        <v>30</v>
      </c>
      <c r="DH40" s="45">
        <f t="shared" ca="1" si="10"/>
        <v>0</v>
      </c>
      <c r="DI40" s="45">
        <f t="shared" ca="1" si="0"/>
        <v>0</v>
      </c>
      <c r="DJ40" s="4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46181.541666666577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46181.541666666577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46181.583333333241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46181.583333333241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46181.624999999905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46181.624999999905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46181.66666666657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46181.66666666657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46181.708333333234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46181.708333333234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46181.749999999898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46181.749999999898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46181.791666666562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46181.791666666562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46181.833333333227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46181.833333333227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46181.874999999891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46181.874999999891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46181.916666666555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46181.916666666555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46181.958333333219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46181.958333333219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s="5" customFormat="1" x14ac:dyDescent="0.2">
      <c r="A52" s="193">
        <f>TblRezone[[#This Row],[Hour]]</f>
        <v>49</v>
      </c>
      <c r="B52" s="434">
        <f ca="1">SUM(TblConstr[[#This Row],[Plain]:[Water]])</f>
        <v>0</v>
      </c>
      <c r="C52" s="173">
        <f ca="1">SUM(TblConstr[[#This Row],[Tot Hom]:[Tot Doc]])</f>
        <v>50</v>
      </c>
      <c r="D52" s="173">
        <f t="shared" si="11"/>
        <v>0</v>
      </c>
      <c r="E52" s="194"/>
      <c r="F52" s="148">
        <f ca="1">TblConstr[[#This Row],[Barren]]+TblConstr[[#This Row],[Buildings]]+TblConstr[[#This Row],[Incoming]]</f>
        <v>50</v>
      </c>
      <c r="G52" s="195">
        <f ca="1">OFFSET(TblConstr[[#This Row],[Plain]],-1,0)+TblConstr[[#This Row],[Ch_Plain]]</f>
        <v>0</v>
      </c>
      <c r="H52" s="196">
        <f ca="1">OFFSET(TblConstr[[#This Row],[Forest]],-1,0)+TblConstr[[#This Row],[Ch_Forest]]</f>
        <v>0</v>
      </c>
      <c r="I52" s="360">
        <f ca="1">OFFSET(TblConstr[[#This Row],[Mountain]],-1,0)+TblConstr[[#This Row],[Ch_Mountain]]</f>
        <v>0</v>
      </c>
      <c r="J52" s="364">
        <f ca="1">OFFSET(TblConstr[[#This Row],[Hill]],-1,0)+TblConstr[[#This Row],[Ch_Hill]]</f>
        <v>0</v>
      </c>
      <c r="K52" s="368">
        <f ca="1">OFFSET(TblConstr[[#This Row],[Swamp]],-1,0)+TblConstr[[#This Row],[Ch_Swamp]]</f>
        <v>0</v>
      </c>
      <c r="L52" s="199">
        <f ca="1">OFFSET(TblConstr[[#This Row],[Cavern]],-1,0)+TblConstr[[#This Row],[Ch_Cavern]]</f>
        <v>0</v>
      </c>
      <c r="M52" s="200">
        <f ca="1">OFFSET(TblConstr[[#This Row],[Water]],-1,0)+TblConstr[[#This Row],[Ch_Water]]</f>
        <v>0</v>
      </c>
      <c r="N52" s="358">
        <f>TblRezone[[#This Row],[Hour]]</f>
        <v>49</v>
      </c>
      <c r="O52" s="201"/>
      <c r="P52" s="201"/>
      <c r="Q52" s="201"/>
      <c r="R52" s="201"/>
      <c r="S52" s="201"/>
      <c r="T52" s="201"/>
      <c r="U52" s="201"/>
      <c r="V52" s="201"/>
      <c r="W52" s="201"/>
      <c r="X52" s="201"/>
      <c r="Y52" s="201"/>
      <c r="Z52" s="201"/>
      <c r="AA52" s="201"/>
      <c r="AB52" s="201"/>
      <c r="AC52" s="201"/>
      <c r="AD52" s="201"/>
      <c r="AE52" s="201"/>
      <c r="AF52" s="201"/>
      <c r="AG52" s="201"/>
      <c r="AH52" s="435">
        <f ca="1">TblImps[[#This Row],[Time]]</f>
        <v>46181.999999999884</v>
      </c>
      <c r="AI52" s="436">
        <f ca="1">MIN(25%,(TblConstr[[#This Row],[Tot Fac]]+TblConstr[[#This Row],[Dest Fac]])/(TblConstr[[#This Row],[Land]]-TblExplore[[#This Row],[Land Bonus]]*20))</f>
        <v>0</v>
      </c>
      <c r="AJ52" s="436">
        <f ca="1">MIN(25%,(TblConstr[[#This Row],[Tot Fac]]+TblConstr[[#This Row],[Dest Fac]])/TblConstr[[#This Row],[Land]])</f>
        <v>0</v>
      </c>
      <c r="AK52" s="35">
        <f ca="1">TblProd[[#This Row],[Platinum]]</f>
        <v>168547</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35">
        <f ca="1">ROUNDDOWN( MAX(1 - MIN(facs_constr_factor*TblConstr[[#This Row],[Facs -DB]],facs_constr_max) + tech_1_11*TblTech[[#This Row],[11-1]] + tech_6_3_2*TblTech[[#This Row],[6-3]] + tech_5_2_3*TblTech[[#This Row],[5-2]], 1-global_constr_cap) * TblConstr[[#This Row],[RCPA Lumber]],0)</f>
        <v>31</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35">
        <f ca="1">ROUNDDOWN( MAX(1 - MIN(facs_constr_factor*TblConstr[[#This Row],[Facs DB]],facs_constr_max) + tech_1_11*TblTech[[#This Row],[1-11]] + tech_6_3_2*TblTech[[#This Row],[6-3]] + tech_5_2_3*TblTech[[#This Row],[5-2]], 1-global_constr_cap) * ROUND((TblConstr[[#This Row],[Land]]-250)*0.285 + 87.5 + 0/4.25,0),0)</f>
        <v>31</v>
      </c>
      <c r="AQ52" s="5">
        <f ca="1">TblConstr[[#This Row],[build -db]]*TblConstr[[#This Row],[CPA Platinum -DB]] + TblConstr[[#This Row],[build db]]*TblConstr[[#This Row],[CPA Platinum DB]]</f>
        <v>0</v>
      </c>
      <c r="AR52" s="5">
        <f ca="1">TblConstr[[#This Row],[build -db]]*TblConstr[[#This Row],[CPA Lumber -DB]] + 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9"/>
      <c r="AV52" s="35">
        <f ca="1">ROUND((TblConstr[[#This Row],[Land]]-250 - IF(TblExplore[[#This Row],[Land Bonus]]&lt;&gt;0,20,0))*1.25 + 850 + 0,0)</f>
        <v>600</v>
      </c>
      <c r="AW52" s="35">
        <f ca="1">ROUND((TblConstr[[#This Row],[Land]]-250 - IF(TblExplore[[#This Row],[Land Bonus]]&lt;&gt;0,20,0))*0.285 + 87.5 + 0/4.25,0)</f>
        <v>31</v>
      </c>
      <c r="AX52" s="162"/>
      <c r="AY52" s="437" cm="1">
        <f t="array" aca="1" ref="AY52" ca="1">IF(TblConstr[[#This Row],[Hour]:[Hour]]&gt;12,OFFSET(TblConstr[[#This Row],[Hom]],-12,0),0)+OFFSET(TblConstr[[#This Row],[Tot Hom]],-1,0)-TblConstr[[#This Row],[Dest Hom]]</f>
        <v>0</v>
      </c>
      <c r="AZ52" s="203" cm="1">
        <f t="array" aca="1" ref="AZ52" ca="1">IF(TblConstr[[#This Row],[Hour]:[Hour]]&gt;12,OFFSET(TblConstr[[#This Row],[Alc]],-12,0),0)+OFFSET(TblConstr[[#This Row],[Tot Alc]],-1,0)-TblConstr[[#This Row],[Dest Alc]]</f>
        <v>0</v>
      </c>
      <c r="BA52" s="203" cm="1">
        <f t="array" aca="1" ref="BA52" ca="1">IF(TblConstr[[#This Row],[Hour]:[Hour]]&gt;12,OFFSET(TblConstr[[#This Row],[Far]],-12,0),0)+OFFSET(TblConstr[[#This Row],[Tot Farm]],-1,0)-TblConstr[[#This Row],[Dest Farm]]</f>
        <v>30</v>
      </c>
      <c r="BB52" s="203" cm="1">
        <f t="array" aca="1" ref="BB52" ca="1">IF(TblConstr[[#This Row],[Hour]:[Hour]]&gt;12,OFFSET(TblConstr[[#This Row],[Smi]],-12,0),0)+OFFSET(TblConstr[[#This Row],[Tot Smi]],-1,0)-TblConstr[[#This Row],[Dest Smi]]</f>
        <v>0</v>
      </c>
      <c r="BC52" s="203" cm="1">
        <f t="array" aca="1" ref="BC52" ca="1">IF(TblConstr[[#This Row],[Hour]:[Hour]]&gt;12,OFFSET(TblConstr[[#This Row],[Mas]],-12,0),0)+OFFSET(TblConstr[[#This Row],[Tot Mas]],-1,0)-TblConstr[[#This Row],[Dest Mas]]</f>
        <v>0</v>
      </c>
      <c r="BD52" s="204" cm="1">
        <f t="array" aca="1" ref="BD52" ca="1">IF(TblConstr[[#This Row],[Hour]:[Hour]]&gt;12,OFFSET(TblConstr[[#This Row],[Ly]],-12,0),0)+OFFSET(TblConstr[[#This Row],[Tot Ly]],-1,0)-TblConstr[[#This Row],[Dest Ly]]</f>
        <v>20</v>
      </c>
      <c r="BE52" s="204" cm="1">
        <f t="array" aca="1" ref="BE52" ca="1">IF(TblConstr[[#This Row],[Hour]:[Hour]]&gt;12,OFFSET(TblConstr[[#This Row],[Hav]],-12,0),0)+OFFSET(TblConstr[[#This Row],[Tot Hav]],-1,0)-TblConstr[[#This Row],[Dest Hav]]</f>
        <v>0</v>
      </c>
      <c r="BF52" s="362" cm="1">
        <f t="array" aca="1" ref="BF52" ca="1">IF(TblConstr[[#This Row],[Hour]:[Hour]]&gt;12,OFFSET(TblConstr[[#This Row],[OM]],-12,0),0)+OFFSET(TblConstr[[#This Row],[Tot OM]],-1,0)-TblConstr[[#This Row],[Dest OM]]</f>
        <v>0</v>
      </c>
      <c r="BG52" s="362" cm="1">
        <f t="array" aca="1" ref="BG52" ca="1">IF(TblConstr[[#This Row],[Hour]:[Hour]]&gt;12,OFFSET(TblConstr[[#This Row],[GN]],-12,0),0)+OFFSET(TblConstr[[#This Row],[Tot GN]],-1,0)-TblConstr[[#This Row],[Dest GN]]</f>
        <v>0</v>
      </c>
      <c r="BH52" s="366" cm="1">
        <f t="array" aca="1" ref="BH52" ca="1">IF(TblConstr[[#This Row],[Hour]:[Hour]]&gt;12,OFFSET(TblConstr[[#This Row],[Fac]],-12,0),0)+OFFSET(TblConstr[[#This Row],[Tot Fac]],-1,0)-TblConstr[[#This Row],[Dest Fac]]</f>
        <v>0</v>
      </c>
      <c r="BI52" s="366" cm="1">
        <f t="array" aca="1" ref="BI52" ca="1">IF(TblConstr[[#This Row],[Hour]:[Hour]]&gt;12,OFFSET(TblConstr[[#This Row],[GT]],-12,0),0)+OFFSET(TblConstr[[#This Row],[Tot GT]],-1,0)-TblConstr[[#This Row],[Dest GT]]</f>
        <v>0</v>
      </c>
      <c r="BJ52" s="366" cm="1">
        <f t="array" aca="1" ref="BJ52" ca="1">IF(TblConstr[[#This Row],[Hour]:[Hour]]&gt;12,OFFSET(TblConstr[[#This Row],[Bar]],-12,0),0)+OFFSET(TblConstr[[#This Row],[Tot Bar]],-1,0)-TblConstr[[#This Row],[Dest Bar]]</f>
        <v>0</v>
      </c>
      <c r="BK52" s="366" cm="1">
        <f t="array" aca="1" ref="BK52" ca="1">IF(TblConstr[[#This Row],[Hour]:[Hour]]&gt;12,OFFSET(TblConstr[[#This Row],[Shr]],-12,0),0)+OFFSET(TblConstr[[#This Row],[Tot Shr]],-1,0)-TblConstr[[#This Row],[Dest Shr]]</f>
        <v>0</v>
      </c>
      <c r="BL52" s="370" cm="1">
        <f t="array" aca="1" ref="BL52" ca="1">IF(TblConstr[[#This Row],[Hour]:[Hour]]&gt;12,OFFSET(TblConstr[[#This Row],[Tow]],-12,0),0)+OFFSET(TblConstr[[#This Row],[Tot Tow]],-1,0)-TblConstr[[#This Row],[Dest Tow]]</f>
        <v>0</v>
      </c>
      <c r="BM52" s="370" cm="1">
        <f t="array" aca="1" ref="BM52" ca="1">IF(TblConstr[[#This Row],[Hour]:[Hour]]&gt;12,OFFSET(TblConstr[[#This Row],[Tem]],-12,0),0)+OFFSET(TblConstr[[#This Row],[Tot Tem]],-1,0)-TblConstr[[#This Row],[Dest Tem]]</f>
        <v>0</v>
      </c>
      <c r="BN52" s="370" cm="1">
        <f t="array" aca="1" ref="BN52" ca="1">IF(TblConstr[[#This Row],[Hour]:[Hour]]&gt;12,OFFSET(TblConstr[[#This Row],[WG]],-12,0),0)+OFFSET(TblConstr[[#This Row],[Tot WG]],-1,0)-TblConstr[[#This Row],[Dest WG]]</f>
        <v>0</v>
      </c>
      <c r="BO52" s="205" cm="1">
        <f t="array" aca="1" ref="BO52" ca="1">IF(TblConstr[[#This Row],[Hour]:[Hour]]&gt;12,OFFSET(TblConstr[[#This Row],[DM]],-12,0),0)+OFFSET(TblConstr[[#This Row],[Tot DM]],-1,0)-TblConstr[[#This Row],[Dest DM]]</f>
        <v>0</v>
      </c>
      <c r="BP52" s="205" cm="1">
        <f t="array" aca="1" ref="BP52" ca="1">IF(TblConstr[[#This Row],[Hour]:[Hour]]&gt;12,OFFSET(TblConstr[[#This Row],[Sch]],-12,0),0)+OFFSET(TblConstr[[#This Row],[Tot Sch]],-1,0)-TblConstr[[#This Row],[Dest Sch]]</f>
        <v>0</v>
      </c>
      <c r="BQ52" s="206" cm="1">
        <f t="array" aca="1" ref="BQ52" ca="1">IF(TblConstr[[#This Row],[Hour]:[Hour]]&gt;12,OFFSET(TblConstr[[#This Row],[Doc]],-12,0),0)+OFFSET(TblConstr[[#This Row],[Tot Doc]],-1,0)-TblConstr[[#This Row],[Dest Doc]]</f>
        <v>0</v>
      </c>
      <c r="BR52" s="149"/>
      <c r="BS52" s="162"/>
      <c r="BT52" s="35">
        <f ca="1">TblConstr[[#This Row],[Land]]</f>
        <v>50</v>
      </c>
      <c r="BU52" s="167">
        <f ca="1">TblImps[[#This Row],[Time]]</f>
        <v>46181.999999999884</v>
      </c>
      <c r="BV52" s="149"/>
      <c r="BW52" s="201"/>
      <c r="BX52" s="201"/>
      <c r="BY52" s="201"/>
      <c r="BZ52" s="201"/>
      <c r="CA52" s="201"/>
      <c r="CB52" s="201"/>
      <c r="CC52" s="201"/>
      <c r="CD52" s="201"/>
      <c r="CE52" s="201"/>
      <c r="CF52" s="201"/>
      <c r="CG52" s="201"/>
      <c r="CH52" s="201"/>
      <c r="CI52" s="201"/>
      <c r="CJ52" s="201"/>
      <c r="CK52" s="201"/>
      <c r="CL52" s="201"/>
      <c r="CM52" s="201"/>
      <c r="CN52" s="201"/>
      <c r="CO52" s="201"/>
      <c r="CP52" s="149"/>
      <c r="CQ52" s="207">
        <f ca="1">-SUM(TblConstr[[#This Row],[Alc]:[Mas]])+SUM(TblConstr[[#This Row],[Dest Alc]:[Dest Mas]])+Rezone!L52+IF("Ch_"&amp; home_land=TblConstr[[#Headers],[Ch_Plain]],TblConstr[[#This Row],[Home Land]])+IF(TblConstr[[#This Row],[Hour]:[Hour]]&gt;12,OFFSET(TblExplore[[#This Row],[Plains Explore]],-12,0),0)</f>
        <v>0</v>
      </c>
      <c r="CR52" s="196">
        <f ca="1">-SUM(TblConstr[[#This Row],[Ly]:[Hav]])+SUM(TblConstr[[#This Row],[Dest Ly]:[Dest Hav]]) +Rezone!M52 + IF("Ch_"&amp; home_land=TblConstr[[#Headers],[Ch_Forest]],TblConstr[[#This Row],[Home Land]])+IF(TblConstr[[#This Row],[Hour]:[Hour]]&gt;12,OFFSET(TblExplore[[#This Row],[Forest Explore]],-12,0),0)</f>
        <v>0</v>
      </c>
      <c r="CS52" s="360">
        <f ca="1">-SUM(TblConstr[[#This Row],[OM]:[GN]])+SUM(TblConstr[[#This Row],[Dest OM]:[Dest GN]]) +Rezone!N52 + IF("Ch_"&amp; home_land=TblConstr[[#Headers],[Ch_Mountain]],TblConstr[[#This Row],[Home Land]])+IF(TblConstr[[#This Row],[Hour]:[Hour]]&gt;12,OFFSET(TblExplore[[#This Row],[Mountain Explore]],-12,0),0)</f>
        <v>0</v>
      </c>
      <c r="CT52" s="197">
        <f ca="1">-SUM(TblConstr[[#This Row],[Fac]:[Shr]])+SUM(TblConstr[[#This Row],[Dest Fac]:[Dest Shr]]) +Rezone!O52 + IF("Ch_" &amp; home_land=TblConstr[[#Headers],[Ch_Hill]],TblConstr[[#This Row],[Home Land]])+IF(TblConstr[[#This Row],[Hour]:[Hour]]&gt;12,OFFSET(TblExplore[[#This Row],[Hill Explore]],-12,0),0)</f>
        <v>0</v>
      </c>
      <c r="CU52" s="198">
        <f ca="1">-SUM(TblConstr[[#This Row],[Tow]:[WG]])+SUM(TblConstr[[#This Row],[Dest Tow]:[Dest WG]]) +Rezone!P52 + IF("Ch_" &amp; home_land=TblConstr[[#Headers],[Ch_Swamp]],TblConstr[[#This Row],[Home Land]])+IF(TblConstr[[#This Row],[Hour]:[Hour]]&gt;12,OFFSET(TblExplore[[#This Row],[Swamp Explore]],-12,0),0)</f>
        <v>0</v>
      </c>
      <c r="CV52" s="199">
        <f ca="1" xml:space="preserve"> - SUM(TblConstr[[#This Row],[DM]:[Sch]])+SUM(TblConstr[[#This Row],[Dest DM]:[Dest Sch]]) +Rezone!Q52 + IF("Ch_" &amp; home_land=TblConstr[[#Headers],[Ch_Cavern]],TblConstr[[#This Row],[Home Land]])+IF(TblConstr[[#This Row],[Hour]:[Hour]]&gt;12,OFFSET(TblExplore[[#This Row],[Cavern Explore]],-12,0),0)</f>
        <v>0</v>
      </c>
      <c r="CW52" s="200">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49"/>
      <c r="CZ52" s="35">
        <f t="shared" ca="1" si="12"/>
        <v>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30</v>
      </c>
      <c r="DH52" s="5">
        <f t="shared" ca="1" si="10"/>
        <v>0</v>
      </c>
      <c r="DI52" s="5">
        <f t="shared" ca="1" si="0"/>
        <v>0</v>
      </c>
      <c r="DJ52" s="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46182.041666666548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46182.041666666548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46182.083333333212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46182.083333333212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46182.124999999876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46182.124999999876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46182.166666666541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46182.166666666541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46182.208333333205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46182.208333333205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46182.249999999869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46182.249999999869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46182.291666666533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46182.291666666533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46182.333333333198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46182.333333333198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46182.374999999862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46182.374999999862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46182.416666666526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46182.416666666526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46182.45833333319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46182.45833333319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46182.499999999854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46182.499999999854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46182.541666666519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46182.541666666519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46182.583333333183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46182.583333333183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46182.624999999847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46182.624999999847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46182.666666666511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46182.666666666511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46182.708333333176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46182.708333333176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46182.74999999984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46182.74999999984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46182.791666666504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46182.791666666504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46182.833333333168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46182.833333333168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46182.874999999833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46182.874999999833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46182.916666666497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46182.916666666497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46182.958333333161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46182.958333333161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46182.999999999825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46182.999999999825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46183.04166666649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46183.04166666649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46183.083333333154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46183.083333333154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46183.124999999818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46183.124999999818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46183.166666666482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46183.166666666482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46183.208333333147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46183.208333333147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46183.249999999811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46183.249999999811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46183.291666666475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46183.291666666475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46183.333333333139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46183.333333333139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46183.374999999804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46183.374999999804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46183.416666666468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46183.416666666468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46183.458333333132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46183.458333333132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46183.499999999796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46183.499999999796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46183.541666666461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46183.541666666461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46183.583333333125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46183.583333333125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46183.624999999789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46183.624999999789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46183.666666666453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46183.666666666453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46183.708333333117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46183.708333333117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46183.749999999782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46183.749999999782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46183.791666666446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46183.791666666446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46183.83333333311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46183.83333333311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46183.874999999774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46183.874999999774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46183.916666666439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46183.916666666439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46183.958333333103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46183.958333333103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46183.999999999767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46183.999999999767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46184.041666666431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46184.041666666431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46184.083333333096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46184.083333333096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46184.12499999976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46184.12499999976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46184.166666666424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46184.166666666424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46184.208333333088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46184.208333333088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46184.249999999753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46184.249999999753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46184.291666666417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46184.291666666417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46184.333333333081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46184.333333333081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46184.374999999745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46184.374999999745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46184.41666666641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46184.41666666641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46184.458333333074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46184.458333333074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46184.499999999738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46184.499999999738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46184.541666666402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46184.541666666402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46184.583333333067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46184.583333333067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46184.624999999731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46184.624999999731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46184.666666666395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46184.666666666395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46184.708333333059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46184.708333333059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46184.749999999724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46184.749999999724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46184.791666666388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46184.791666666388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46184.833333333052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46184.833333333052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46184.874999999716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46184.874999999716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46184.91666666638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46184.91666666638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46184.958333333045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46184.958333333045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46184.999999999709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46184.999999999709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46185.041666666373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46185.041666666373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46185.083333333037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46185.083333333037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46185.124999999702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46185.124999999702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46185.166666666366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46185.166666666366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46185.20833333303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46185.20833333303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46185.249999999694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46185.249999999694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46185.291666666359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46185.291666666359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46185.333333333023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46185.333333333023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46185.374999999687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46185.374999999687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46185.416666666351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46185.416666666351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46185.458333333016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46185.458333333016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46185.49999999968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46185.49999999968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31" t="s">
        <v>314</v>
      </c>
      <c r="B1269" s="48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8" priority="73" stopIfTrue="1">
      <formula>XEZ137&lt;0</formula>
    </cfRule>
  </conditionalFormatting>
  <conditionalFormatting sqref="A137:D1268 A1271:D65537 F1271:H65537 F137:H1268">
    <cfRule type="expression" dxfId="737" priority="74" stopIfTrue="1">
      <formula>XEV137&lt;0</formula>
    </cfRule>
  </conditionalFormatting>
  <conditionalFormatting sqref="E1271:E65537 E137:E1268">
    <cfRule type="expression" dxfId="736" priority="75" stopIfTrue="1">
      <formula>XEU137&lt;0</formula>
    </cfRule>
  </conditionalFormatting>
  <conditionalFormatting sqref="DI1271:DJ52023 O1271:AG52052 O137:AG1268 BV1271:DH52052 BV137:DJ1268">
    <cfRule type="expression" dxfId="735" priority="76" stopIfTrue="1">
      <formula>ROW()-2=#REF!</formula>
    </cfRule>
  </conditionalFormatting>
  <conditionalFormatting sqref="A1269:AG1270 BV1269:DJ1270">
    <cfRule type="expression" dxfId="734" priority="77" stopIfTrue="1">
      <formula>$A$1270&gt;144</formula>
    </cfRule>
  </conditionalFormatting>
  <conditionalFormatting sqref="K1271:L65537 K137:L1268">
    <cfRule type="expression" dxfId="733" priority="95" stopIfTrue="1">
      <formula>A137&lt;0</formula>
    </cfRule>
  </conditionalFormatting>
  <conditionalFormatting sqref="AY4:BQ136">
    <cfRule type="expression" dxfId="732" priority="7" stopIfTrue="1">
      <formula>OR(AY4&lt;0,ROW()-3=$A$1270)</formula>
    </cfRule>
  </conditionalFormatting>
  <conditionalFormatting sqref="I1271:J65537 I137:J1268">
    <cfRule type="expression" dxfId="731" priority="98" stopIfTrue="1">
      <formula>A137&lt;0</formula>
    </cfRule>
  </conditionalFormatting>
  <conditionalFormatting sqref="A4:DJ35 A36:O38 Q36:W38 A39:W39 Y36:DJ39 A40:DJ52 A60:DJ136 A53:Q59 S53:X59 Z53:DJ59">
    <cfRule type="expression" dxfId="730" priority="13" stopIfTrue="1">
      <formula>ROW()-3=$A$1270</formula>
    </cfRule>
    <cfRule type="expression" dxfId="729" priority="136">
      <formula>$A4=49</formula>
    </cfRule>
    <cfRule type="expression" dxfId="728" priority="137">
      <formula>ROUND(($A4-1)/12,0)=INT($A4-1)/12</formula>
    </cfRule>
  </conditionalFormatting>
  <conditionalFormatting sqref="A1:XFD3">
    <cfRule type="expression" dxfId="727" priority="138">
      <formula>$A$1270&lt;0</formula>
    </cfRule>
  </conditionalFormatting>
  <conditionalFormatting sqref="P36:P38">
    <cfRule type="expression" dxfId="726" priority="4" stopIfTrue="1">
      <formula>ROW()-3=$B$1270</formula>
    </cfRule>
  </conditionalFormatting>
  <conditionalFormatting sqref="P36:P38">
    <cfRule type="expression" dxfId="725" priority="5">
      <formula>$A36=49</formula>
    </cfRule>
    <cfRule type="expression" dxfId="724" priority="6">
      <formula>ROUND(($A36-1)/12,0)=INT($A36-1)/12</formula>
    </cfRule>
  </conditionalFormatting>
  <conditionalFormatting sqref="X36:X39">
    <cfRule type="expression" dxfId="723" priority="1" stopIfTrue="1">
      <formula>ROW()-3=$B$1270</formula>
    </cfRule>
  </conditionalFormatting>
  <conditionalFormatting sqref="X36:X39">
    <cfRule type="expression" dxfId="722" priority="2">
      <formula>$A36=49</formula>
    </cfRule>
    <cfRule type="expression" dxfId="721"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5" t="s">
        <v>299</v>
      </c>
      <c r="M1" s="487"/>
      <c r="N1" s="487"/>
      <c r="O1" s="487"/>
      <c r="P1" s="487"/>
      <c r="Q1" s="487"/>
      <c r="R1" s="28"/>
      <c r="S1" s="5" t="s">
        <v>353</v>
      </c>
      <c r="T1" s="5" t="s">
        <v>175</v>
      </c>
      <c r="AB1" s="534" t="s">
        <v>77</v>
      </c>
      <c r="AC1" s="534"/>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765</v>
      </c>
      <c r="D3" s="135" t="s">
        <v>55</v>
      </c>
      <c r="E3" s="135" t="s">
        <v>58</v>
      </c>
      <c r="F3" s="135" t="s">
        <v>1015</v>
      </c>
      <c r="G3" s="135" t="s">
        <v>59</v>
      </c>
      <c r="H3" s="135" t="s">
        <v>60</v>
      </c>
      <c r="I3" s="135" t="s">
        <v>61</v>
      </c>
      <c r="J3" s="135" t="s">
        <v>62</v>
      </c>
      <c r="K3" s="211" t="s">
        <v>868</v>
      </c>
      <c r="L3" s="211" t="s">
        <v>869</v>
      </c>
      <c r="M3" s="211" t="s">
        <v>870</v>
      </c>
      <c r="N3" s="212" t="s">
        <v>183</v>
      </c>
      <c r="O3" s="212" t="s">
        <v>363</v>
      </c>
      <c r="P3" s="212" t="s">
        <v>362</v>
      </c>
      <c r="Q3" s="135" t="s">
        <v>872</v>
      </c>
      <c r="R3" s="135" t="s">
        <v>845</v>
      </c>
      <c r="S3" s="135" t="s">
        <v>873</v>
      </c>
      <c r="T3" s="135" t="s">
        <v>1008</v>
      </c>
      <c r="U3" s="135" t="s">
        <v>1009</v>
      </c>
      <c r="V3" s="135" t="s">
        <v>1010</v>
      </c>
      <c r="W3" s="135" t="s">
        <v>1011</v>
      </c>
      <c r="X3" s="135" t="s">
        <v>1012</v>
      </c>
      <c r="Y3" s="135" t="s">
        <v>1013</v>
      </c>
      <c r="Z3" s="135" t="s">
        <v>1014</v>
      </c>
      <c r="AA3" s="135" t="s">
        <v>309</v>
      </c>
      <c r="AB3" s="135" t="s">
        <v>24</v>
      </c>
      <c r="AC3" s="135" t="s">
        <v>2</v>
      </c>
      <c r="AD3" s="135" t="s">
        <v>766</v>
      </c>
      <c r="AE3" s="135" t="s">
        <v>508</v>
      </c>
      <c r="AF3" s="135" t="s">
        <v>57</v>
      </c>
      <c r="AG3" s="135" t="s">
        <v>177</v>
      </c>
      <c r="AH3" s="135" t="s">
        <v>871</v>
      </c>
      <c r="AI3" s="135" t="s">
        <v>858</v>
      </c>
      <c r="AJ3" s="213" t="s">
        <v>753</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46180</v>
      </c>
      <c r="AB4" s="94">
        <f ca="1">TblMili[[#This Row],[Draftees]]</f>
        <v>300</v>
      </c>
      <c r="AC4" s="94">
        <f ca="1">TblProd[[#This Row],[Platinum]]</f>
        <v>120000</v>
      </c>
      <c r="AD4" s="215"/>
      <c r="AE4" s="45">
        <f ca="1">TblExplore[[#This Row],[Land]]-TblExplore[[#This Row],[Land Bonus]]*20</f>
        <v>50</v>
      </c>
      <c r="AF4" s="94">
        <f ca="1">ROUND((0.6*TblExplore[[#This Row],[Land-DB]]^1.299 + IF(TblExplore[[#This Row],[Land-DB]]&lt;1520, (-0.001*(TblExplore[[#This Row],[Land-DB]]^2)+1.91*TblExplore[[#This Row],[Land-DB]]-593), 0))*(1+ tech_2_6*Techs!AC4 + tech_2_9*Techs!AF4 + tech_3_7*Techs!AN4 + Overview!$I$33),0)</f>
        <v>-403</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-298</v>
      </c>
    </row>
    <row r="5" spans="1:36"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218"/>
      <c r="T5" s="179"/>
      <c r="U5" s="179"/>
      <c r="V5" s="179"/>
      <c r="W5" s="179"/>
      <c r="X5" s="179"/>
      <c r="Y5" s="179"/>
      <c r="Z5" s="179"/>
      <c r="AA5" s="159">
        <f ca="1">TblImps[[#This Row],[Real time]]</f>
        <v>46180.041666666664</v>
      </c>
      <c r="AB5" s="94">
        <f ca="1">TblMili[[#This Row],[Draftees]]</f>
        <v>305</v>
      </c>
      <c r="AC5" s="94">
        <f ca="1">TblProd[[#This Row],[Platinum]]</f>
        <v>121266</v>
      </c>
      <c r="AD5" s="215"/>
      <c r="AE5" s="45">
        <f ca="1">TblExplore[[#This Row],[Land]]-TblExplore[[#This Row],[Land Bonus]]*20</f>
        <v>50</v>
      </c>
      <c r="AF5" s="94">
        <f ca="1">ROUND((0.6*TblExplore[[#This Row],[Land-DB]]^1.299 + IF(TblExplore[[#This Row],[Land-DB]]&lt;1520, (-0.001*(TblExplore[[#This Row],[Land-DB]]^2)+1.91*TblExplore[[#This Row],[Land-DB]]-593), 0))*(1+ tech_2_6*Techs!AC5 + tech_2_9*Techs!AF5 + tech_3_7*Techs!AN5 + Overview!$I$33),0)</f>
        <v>-403</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-301</v>
      </c>
    </row>
    <row r="6" spans="1:36"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218"/>
      <c r="T6" s="179"/>
      <c r="U6" s="179"/>
      <c r="V6" s="179"/>
      <c r="W6" s="179"/>
      <c r="X6" s="179"/>
      <c r="Y6" s="179"/>
      <c r="Z6" s="179"/>
      <c r="AA6" s="159">
        <f ca="1">TblImps[[#This Row],[Real time]]</f>
        <v>46180.083333333328</v>
      </c>
      <c r="AB6" s="94">
        <f ca="1">TblMili[[#This Row],[Draftees]]</f>
        <v>310</v>
      </c>
      <c r="AC6" s="94">
        <f ca="1">TblProd[[#This Row],[Platinum]]</f>
        <v>122518</v>
      </c>
      <c r="AD6" s="215"/>
      <c r="AE6" s="45">
        <f ca="1">TblExplore[[#This Row],[Land]]-TblExplore[[#This Row],[Land Bonus]]*20</f>
        <v>50</v>
      </c>
      <c r="AF6" s="94">
        <f ca="1">ROUND((0.6*TblExplore[[#This Row],[Land-DB]]^1.299 + IF(TblExplore[[#This Row],[Land-DB]]&lt;1520, (-0.001*(TblExplore[[#This Row],[Land-DB]]^2)+1.91*TblExplore[[#This Row],[Land-DB]]-593), 0))*(1+ tech_2_6*Techs!AC6 + tech_2_9*Techs!AF6 + tech_3_7*Techs!AN6 + Overview!$I$33),0)</f>
        <v>-403</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-305</v>
      </c>
    </row>
    <row r="7" spans="1:36"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218"/>
      <c r="T7" s="158"/>
      <c r="U7" s="179"/>
      <c r="V7" s="179"/>
      <c r="W7" s="179"/>
      <c r="X7" s="179"/>
      <c r="Y7" s="179"/>
      <c r="Z7" s="179"/>
      <c r="AA7" s="159">
        <f ca="1">TblImps[[#This Row],[Real time]]</f>
        <v>46180.124999999993</v>
      </c>
      <c r="AB7" s="94">
        <f ca="1">TblMili[[#This Row],[Draftees]]</f>
        <v>315</v>
      </c>
      <c r="AC7" s="94">
        <f ca="1">TblProd[[#This Row],[Platinum]]</f>
        <v>123757</v>
      </c>
      <c r="AD7" s="215"/>
      <c r="AE7" s="45">
        <f ca="1">TblExplore[[#This Row],[Land]]-TblExplore[[#This Row],[Land Bonus]]*20</f>
        <v>50</v>
      </c>
      <c r="AF7" s="94">
        <f ca="1">ROUND((0.6*TblExplore[[#This Row],[Land-DB]]^1.299 + IF(TblExplore[[#This Row],[Land-DB]]&lt;1520, (-0.001*(TblExplore[[#This Row],[Land-DB]]^2)+1.91*TblExplore[[#This Row],[Land-DB]]-593), 0))*(1+ tech_2_6*Techs!AC7 + tech_2_9*Techs!AF7 + tech_3_7*Techs!AN7 + Overview!$I$33),0)</f>
        <v>-403</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-308</v>
      </c>
    </row>
    <row r="8" spans="1:36"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218"/>
      <c r="T8" s="158"/>
      <c r="U8" s="179"/>
      <c r="V8" s="179"/>
      <c r="W8" s="179"/>
      <c r="X8" s="179"/>
      <c r="Y8" s="179"/>
      <c r="Z8" s="179"/>
      <c r="AA8" s="159">
        <f ca="1">TblImps[[#This Row],[Real time]]</f>
        <v>46180.166666666657</v>
      </c>
      <c r="AB8" s="94">
        <f ca="1">TblMili[[#This Row],[Draftees]]</f>
        <v>320</v>
      </c>
      <c r="AC8" s="94">
        <f ca="1">TblProd[[#This Row],[Platinum]]</f>
        <v>124982</v>
      </c>
      <c r="AD8" s="215"/>
      <c r="AE8" s="45">
        <f ca="1">TblExplore[[#This Row],[Land]]-TblExplore[[#This Row],[Land Bonus]]*20</f>
        <v>50</v>
      </c>
      <c r="AF8" s="94">
        <f ca="1">ROUND((0.6*TblExplore[[#This Row],[Land-DB]]^1.299 + IF(TblExplore[[#This Row],[Land-DB]]&lt;1520, (-0.001*(TblExplore[[#This Row],[Land-DB]]^2)+1.91*TblExplore[[#This Row],[Land-DB]]-593), 0))*(1+ tech_2_6*Techs!AC8 + tech_2_9*Techs!AF8 + tech_3_7*Techs!AN8 + Overview!$I$33),0)</f>
        <v>-403</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-311</v>
      </c>
    </row>
    <row r="9" spans="1:36"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218"/>
      <c r="T9" s="179"/>
      <c r="U9" s="179"/>
      <c r="V9" s="179"/>
      <c r="W9" s="179"/>
      <c r="X9" s="179"/>
      <c r="Y9" s="179"/>
      <c r="Z9" s="179"/>
      <c r="AA9" s="159">
        <f ca="1">TblImps[[#This Row],[Real time]]</f>
        <v>46180.208333333321</v>
      </c>
      <c r="AB9" s="94">
        <f ca="1">TblMili[[#This Row],[Draftees]]</f>
        <v>324</v>
      </c>
      <c r="AC9" s="94">
        <f ca="1">TblProd[[#This Row],[Platinum]]</f>
        <v>126194</v>
      </c>
      <c r="AD9" s="215"/>
      <c r="AE9" s="45">
        <f ca="1">TblExplore[[#This Row],[Land]]-TblExplore[[#This Row],[Land Bonus]]*20</f>
        <v>50</v>
      </c>
      <c r="AF9" s="94">
        <f ca="1">ROUND((0.6*TblExplore[[#This Row],[Land-DB]]^1.299 + IF(TblExplore[[#This Row],[Land-DB]]&lt;1520, (-0.001*(TblExplore[[#This Row],[Land-DB]]^2)+1.91*TblExplore[[#This Row],[Land-DB]]-593), 0))*(1+ tech_2_6*Techs!AC9 + tech_2_9*Techs!AF9 + tech_3_7*Techs!AN9 + Overview!$I$33),0)</f>
        <v>-403</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-314</v>
      </c>
    </row>
    <row r="10" spans="1:36"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218"/>
      <c r="T10" s="179"/>
      <c r="U10" s="179"/>
      <c r="V10" s="179"/>
      <c r="W10" s="179"/>
      <c r="X10" s="179"/>
      <c r="Y10" s="179"/>
      <c r="Z10" s="179"/>
      <c r="AA10" s="159">
        <f ca="1">TblImps[[#This Row],[Real time]]</f>
        <v>46180.249999999985</v>
      </c>
      <c r="AB10" s="94">
        <f ca="1">TblMili[[#This Row],[Draftees]]</f>
        <v>328</v>
      </c>
      <c r="AC10" s="94">
        <f ca="1">TblProd[[#This Row],[Platinum]]</f>
        <v>127395</v>
      </c>
      <c r="AD10" s="215"/>
      <c r="AE10" s="45">
        <f ca="1">TblExplore[[#This Row],[Land]]-TblExplore[[#This Row],[Land Bonus]]*20</f>
        <v>50</v>
      </c>
      <c r="AF10" s="94">
        <f ca="1">ROUND((0.6*TblExplore[[#This Row],[Land-DB]]^1.299 + IF(TblExplore[[#This Row],[Land-DB]]&lt;1520, (-0.001*(TblExplore[[#This Row],[Land-DB]]^2)+1.91*TblExplore[[#This Row],[Land-DB]]-593), 0))*(1+ tech_2_6*Techs!AC10 + tech_2_9*Techs!AF10 + tech_3_7*Techs!AN10 + Overview!$I$33),0)</f>
        <v>-403</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-317</v>
      </c>
    </row>
    <row r="11" spans="1:36"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218"/>
      <c r="T11" s="179"/>
      <c r="U11" s="179"/>
      <c r="V11" s="179"/>
      <c r="W11" s="179"/>
      <c r="X11" s="179"/>
      <c r="Y11" s="179"/>
      <c r="Z11" s="179"/>
      <c r="AA11" s="159">
        <f ca="1">TblImps[[#This Row],[Real time]]</f>
        <v>46180.29166666665</v>
      </c>
      <c r="AB11" s="94">
        <f ca="1">TblMili[[#This Row],[Draftees]]</f>
        <v>332</v>
      </c>
      <c r="AC11" s="94">
        <f ca="1">TblProd[[#This Row],[Platinum]]</f>
        <v>128585</v>
      </c>
      <c r="AD11" s="215"/>
      <c r="AE11" s="45">
        <f ca="1">TblExplore[[#This Row],[Land]]-TblExplore[[#This Row],[Land Bonus]]*20</f>
        <v>50</v>
      </c>
      <c r="AF11" s="94">
        <f ca="1">ROUND((0.6*TblExplore[[#This Row],[Land-DB]]^1.299 + IF(TblExplore[[#This Row],[Land-DB]]&lt;1520, (-0.001*(TblExplore[[#This Row],[Land-DB]]^2)+1.91*TblExplore[[#This Row],[Land-DB]]-593), 0))*(1+ tech_2_6*Techs!AC11 + tech_2_9*Techs!AF11 + tech_3_7*Techs!AN11 + Overview!$I$33),0)</f>
        <v>-403</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-320</v>
      </c>
    </row>
    <row r="12" spans="1:36"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218"/>
      <c r="T12" s="179"/>
      <c r="U12" s="179"/>
      <c r="V12" s="179"/>
      <c r="W12" s="179"/>
      <c r="X12" s="179"/>
      <c r="Y12" s="179"/>
      <c r="Z12" s="179"/>
      <c r="AA12" s="159">
        <f ca="1">TblImps[[#This Row],[Real time]]</f>
        <v>46180.333333333314</v>
      </c>
      <c r="AB12" s="94">
        <f ca="1">TblMili[[#This Row],[Draftees]]</f>
        <v>336</v>
      </c>
      <c r="AC12" s="94">
        <f ca="1">TblProd[[#This Row],[Platinum]]</f>
        <v>129764</v>
      </c>
      <c r="AD12" s="215"/>
      <c r="AE12" s="45">
        <f ca="1">TblExplore[[#This Row],[Land]]-TblExplore[[#This Row],[Land Bonus]]*20</f>
        <v>50</v>
      </c>
      <c r="AF12" s="94">
        <f ca="1">ROUND((0.6*TblExplore[[#This Row],[Land-DB]]^1.299 + IF(TblExplore[[#This Row],[Land-DB]]&lt;1520, (-0.001*(TblExplore[[#This Row],[Land-DB]]^2)+1.91*TblExplore[[#This Row],[Land-DB]]-593), 0))*(1+ tech_2_6*Techs!AC12 + tech_2_9*Techs!AF12 + tech_3_7*Techs!AN12 + Overview!$I$33),0)</f>
        <v>-403</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-322</v>
      </c>
    </row>
    <row r="13" spans="1:36"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218"/>
      <c r="T13" s="179"/>
      <c r="U13" s="179"/>
      <c r="V13" s="179"/>
      <c r="W13" s="179"/>
      <c r="X13" s="179"/>
      <c r="Y13" s="179"/>
      <c r="Z13" s="179"/>
      <c r="AA13" s="159">
        <f ca="1">TblImps[[#This Row],[Real time]]</f>
        <v>46180.374999999978</v>
      </c>
      <c r="AB13" s="94">
        <f ca="1">TblMili[[#This Row],[Draftees]]</f>
        <v>340</v>
      </c>
      <c r="AC13" s="94">
        <f ca="1">TblProd[[#This Row],[Platinum]]</f>
        <v>130933</v>
      </c>
      <c r="AD13" s="215"/>
      <c r="AE13" s="45">
        <f ca="1">TblExplore[[#This Row],[Land]]-TblExplore[[#This Row],[Land Bonus]]*20</f>
        <v>50</v>
      </c>
      <c r="AF13" s="94">
        <f ca="1">ROUND((0.6*TblExplore[[#This Row],[Land-DB]]^1.299 + IF(TblExplore[[#This Row],[Land-DB]]&lt;1520, (-0.001*(TblExplore[[#This Row],[Land-DB]]^2)+1.91*TblExplore[[#This Row],[Land-DB]]-593), 0))*(1+ tech_2_6*Techs!AC13 + tech_2_9*Techs!AF13 + tech_3_7*Techs!AN13 + Overview!$I$33),0)</f>
        <v>-403</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-325</v>
      </c>
    </row>
    <row r="14" spans="1:36"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218"/>
      <c r="T14" s="179"/>
      <c r="U14" s="179"/>
      <c r="V14" s="179"/>
      <c r="W14" s="179"/>
      <c r="X14" s="179"/>
      <c r="Y14" s="179"/>
      <c r="Z14" s="179"/>
      <c r="AA14" s="159">
        <f ca="1">TblImps[[#This Row],[Real time]]</f>
        <v>46180.416666666642</v>
      </c>
      <c r="AB14" s="94">
        <f ca="1">TblMili[[#This Row],[Draftees]]</f>
        <v>344</v>
      </c>
      <c r="AC14" s="94">
        <f ca="1">TblProd[[#This Row],[Platinum]]</f>
        <v>132091</v>
      </c>
      <c r="AD14" s="215"/>
      <c r="AE14" s="45">
        <f ca="1">TblExplore[[#This Row],[Land]]-TblExplore[[#This Row],[Land Bonus]]*20</f>
        <v>50</v>
      </c>
      <c r="AF14" s="94">
        <f ca="1">ROUND((0.6*TblExplore[[#This Row],[Land-DB]]^1.299 + IF(TblExplore[[#This Row],[Land-DB]]&lt;1520, (-0.001*(TblExplore[[#This Row],[Land-DB]]^2)+1.91*TblExplore[[#This Row],[Land-DB]]-593), 0))*(1+ tech_2_6*Techs!AC14 + tech_2_9*Techs!AF14 + tech_3_7*Techs!AN14 + Overview!$I$33),0)</f>
        <v>-403</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-328</v>
      </c>
    </row>
    <row r="15" spans="1:36"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218"/>
      <c r="T15" s="158"/>
      <c r="U15" s="179"/>
      <c r="V15" s="179"/>
      <c r="W15" s="179"/>
      <c r="X15" s="179"/>
      <c r="Y15" s="179"/>
      <c r="Z15" s="179"/>
      <c r="AA15" s="159">
        <f ca="1">TblImps[[#This Row],[Real time]]</f>
        <v>46180.458333333307</v>
      </c>
      <c r="AB15" s="94">
        <f ca="1">TblMili[[#This Row],[Draftees]]</f>
        <v>348</v>
      </c>
      <c r="AC15" s="94">
        <f ca="1">TblProd[[#This Row],[Platinum]]</f>
        <v>133238</v>
      </c>
      <c r="AD15" s="215"/>
      <c r="AE15" s="45">
        <f ca="1">TblExplore[[#This Row],[Land]]-TblExplore[[#This Row],[Land Bonus]]*20</f>
        <v>50</v>
      </c>
      <c r="AF15" s="94">
        <f ca="1">ROUND((0.6*TblExplore[[#This Row],[Land-DB]]^1.299 + IF(TblExplore[[#This Row],[Land-DB]]&lt;1520, (-0.001*(TblExplore[[#This Row],[Land-DB]]^2)+1.91*TblExplore[[#This Row],[Land-DB]]-593), 0))*(1+ tech_2_6*Techs!AC15 + tech_2_9*Techs!AF15 + tech_3_7*Techs!AN15 + Overview!$I$33),0)</f>
        <v>-403</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-331</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46180.499999999971</v>
      </c>
      <c r="AB16" s="94">
        <f ca="1">TblMili[[#This Row],[Draftees]]</f>
        <v>352</v>
      </c>
      <c r="AC16" s="94">
        <f ca="1">TblProd[[#This Row],[Platinum]]</f>
        <v>134374</v>
      </c>
      <c r="AD16" s="215"/>
      <c r="AE16" s="45">
        <f ca="1">TblExplore[[#This Row],[Land]]-TblExplore[[#This Row],[Land Bonus]]*20</f>
        <v>50</v>
      </c>
      <c r="AF16" s="94">
        <f ca="1">ROUND((0.6*TblExplore[[#This Row],[Land-DB]]^1.299 + IF(TblExplore[[#This Row],[Land-DB]]&lt;1520, (-0.001*(TblExplore[[#This Row],[Land-DB]]^2)+1.91*TblExplore[[#This Row],[Land-DB]]-593), 0))*(1+ tech_2_6*Techs!AC16 + tech_2_9*Techs!AF16 + tech_3_7*Techs!AN16 + Overview!$I$33),0)</f>
        <v>-403</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-334</v>
      </c>
    </row>
    <row r="17" spans="1:36"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218"/>
      <c r="T17" s="179"/>
      <c r="U17" s="179"/>
      <c r="V17" s="179"/>
      <c r="W17" s="179"/>
      <c r="X17" s="179"/>
      <c r="Y17" s="179"/>
      <c r="Z17" s="179"/>
      <c r="AA17" s="159">
        <f ca="1">TblImps[[#This Row],[Real time]]</f>
        <v>46180.541666666635</v>
      </c>
      <c r="AB17" s="94">
        <f ca="1">TblMili[[#This Row],[Draftees]]</f>
        <v>356</v>
      </c>
      <c r="AC17" s="94">
        <f ca="1">TblProd[[#This Row],[Platinum]]</f>
        <v>135499</v>
      </c>
      <c r="AD17" s="215"/>
      <c r="AE17" s="45">
        <f ca="1">TblExplore[[#This Row],[Land]]-TblExplore[[#This Row],[Land Bonus]]*20</f>
        <v>50</v>
      </c>
      <c r="AF17" s="94">
        <f ca="1">ROUND((0.6*TblExplore[[#This Row],[Land-DB]]^1.299 + IF(TblExplore[[#This Row],[Land-DB]]&lt;1520, (-0.001*(TblExplore[[#This Row],[Land-DB]]^2)+1.91*TblExplore[[#This Row],[Land-DB]]-593), 0))*(1+ tech_2_6*Techs!AC17 + tech_2_9*Techs!AF17 + tech_3_7*Techs!AN17 + Overview!$I$33),0)</f>
        <v>-403</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-337</v>
      </c>
    </row>
    <row r="18" spans="1:36"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218"/>
      <c r="T18" s="179"/>
      <c r="U18" s="179"/>
      <c r="V18" s="179"/>
      <c r="W18" s="179"/>
      <c r="X18" s="179"/>
      <c r="Y18" s="179"/>
      <c r="Z18" s="179"/>
      <c r="AA18" s="159">
        <f ca="1">TblImps[[#This Row],[Real time]]</f>
        <v>46180.583333333299</v>
      </c>
      <c r="AB18" s="94">
        <f ca="1">TblMili[[#This Row],[Draftees]]</f>
        <v>360</v>
      </c>
      <c r="AC18" s="94">
        <f ca="1">TblProd[[#This Row],[Platinum]]</f>
        <v>136614</v>
      </c>
      <c r="AD18" s="215"/>
      <c r="AE18" s="45">
        <f ca="1">TblExplore[[#This Row],[Land]]-TblExplore[[#This Row],[Land Bonus]]*20</f>
        <v>50</v>
      </c>
      <c r="AF18" s="94">
        <f ca="1">ROUND((0.6*TblExplore[[#This Row],[Land-DB]]^1.299 + IF(TblExplore[[#This Row],[Land-DB]]&lt;1520, (-0.001*(TblExplore[[#This Row],[Land-DB]]^2)+1.91*TblExplore[[#This Row],[Land-DB]]-593), 0))*(1+ tech_2_6*Techs!AC18 + tech_2_9*Techs!AF18 + tech_3_7*Techs!AN18 + Overview!$I$33),0)</f>
        <v>-403</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-339</v>
      </c>
    </row>
    <row r="19" spans="1:36"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218"/>
      <c r="T19" s="158"/>
      <c r="U19" s="179"/>
      <c r="V19" s="179"/>
      <c r="W19" s="179"/>
      <c r="X19" s="179"/>
      <c r="Y19" s="179"/>
      <c r="Z19" s="179"/>
      <c r="AA19" s="159">
        <f ca="1">TblImps[[#This Row],[Real time]]</f>
        <v>46180.624999999964</v>
      </c>
      <c r="AB19" s="94">
        <f ca="1">TblMili[[#This Row],[Draftees]]</f>
        <v>364</v>
      </c>
      <c r="AC19" s="94">
        <f ca="1">TblProd[[#This Row],[Platinum]]</f>
        <v>137718</v>
      </c>
      <c r="AD19" s="215"/>
      <c r="AE19" s="45">
        <f ca="1">TblExplore[[#This Row],[Land]]-TblExplore[[#This Row],[Land Bonus]]*20</f>
        <v>50</v>
      </c>
      <c r="AF19" s="94">
        <f ca="1">ROUND((0.6*TblExplore[[#This Row],[Land-DB]]^1.299 + IF(TblExplore[[#This Row],[Land-DB]]&lt;1520, (-0.001*(TblExplore[[#This Row],[Land-DB]]^2)+1.91*TblExplore[[#This Row],[Land-DB]]-593), 0))*(1+ tech_2_6*Techs!AC19 + tech_2_9*Techs!AF19 + tech_3_7*Techs!AN19 + Overview!$I$33),0)</f>
        <v>-403</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-342</v>
      </c>
    </row>
    <row r="20" spans="1:36"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218"/>
      <c r="T20" s="158"/>
      <c r="U20" s="179"/>
      <c r="V20" s="179"/>
      <c r="W20" s="179"/>
      <c r="X20" s="179"/>
      <c r="Y20" s="179"/>
      <c r="Z20" s="179"/>
      <c r="AA20" s="159">
        <f ca="1">TblImps[[#This Row],[Real time]]</f>
        <v>46180.666666666628</v>
      </c>
      <c r="AB20" s="94">
        <f ca="1">TblMili[[#This Row],[Draftees]]</f>
        <v>368</v>
      </c>
      <c r="AC20" s="94">
        <f ca="1">TblProd[[#This Row],[Platinum]]</f>
        <v>138811</v>
      </c>
      <c r="AD20" s="215"/>
      <c r="AE20" s="45">
        <f ca="1">TblExplore[[#This Row],[Land]]-TblExplore[[#This Row],[Land Bonus]]*20</f>
        <v>50</v>
      </c>
      <c r="AF20" s="94">
        <f ca="1">ROUND((0.6*TblExplore[[#This Row],[Land-DB]]^1.299 + IF(TblExplore[[#This Row],[Land-DB]]&lt;1520, (-0.001*(TblExplore[[#This Row],[Land-DB]]^2)+1.91*TblExplore[[#This Row],[Land-DB]]-593), 0))*(1+ tech_2_6*Techs!AC20 + tech_2_9*Techs!AF20 + tech_3_7*Techs!AN20 + Overview!$I$33),0)</f>
        <v>-403</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-345</v>
      </c>
    </row>
    <row r="21" spans="1:36"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218"/>
      <c r="T21" s="179"/>
      <c r="U21" s="179"/>
      <c r="V21" s="179"/>
      <c r="W21" s="179"/>
      <c r="X21" s="179"/>
      <c r="Y21" s="179"/>
      <c r="Z21" s="179"/>
      <c r="AA21" s="159">
        <f ca="1">TblImps[[#This Row],[Real time]]</f>
        <v>46180.708333333292</v>
      </c>
      <c r="AB21" s="94">
        <f ca="1">TblMili[[#This Row],[Draftees]]</f>
        <v>372</v>
      </c>
      <c r="AC21" s="94">
        <f ca="1">TblProd[[#This Row],[Platinum]]</f>
        <v>139893</v>
      </c>
      <c r="AD21" s="215"/>
      <c r="AE21" s="45">
        <f ca="1">TblExplore[[#This Row],[Land]]-TblExplore[[#This Row],[Land Bonus]]*20</f>
        <v>50</v>
      </c>
      <c r="AF21" s="94">
        <f ca="1">ROUND((0.6*TblExplore[[#This Row],[Land-DB]]^1.299 + IF(TblExplore[[#This Row],[Land-DB]]&lt;1520, (-0.001*(TblExplore[[#This Row],[Land-DB]]^2)+1.91*TblExplore[[#This Row],[Land-DB]]-593), 0))*(1+ tech_2_6*Techs!AC21 + tech_2_9*Techs!AF21 + tech_3_7*Techs!AN21 + Overview!$I$33),0)</f>
        <v>-403</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-348</v>
      </c>
    </row>
    <row r="22" spans="1:36"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218"/>
      <c r="T22" s="179"/>
      <c r="U22" s="179"/>
      <c r="V22" s="179"/>
      <c r="W22" s="179"/>
      <c r="X22" s="179"/>
      <c r="Y22" s="179"/>
      <c r="Z22" s="179"/>
      <c r="AA22" s="159">
        <f ca="1">TblImps[[#This Row],[Real time]]</f>
        <v>46180.749999999956</v>
      </c>
      <c r="AB22" s="94">
        <f ca="1">TblMili[[#This Row],[Draftees]]</f>
        <v>376</v>
      </c>
      <c r="AC22" s="94">
        <f ca="1">TblProd[[#This Row],[Platinum]]</f>
        <v>140964</v>
      </c>
      <c r="AD22" s="215"/>
      <c r="AE22" s="45">
        <f ca="1">TblExplore[[#This Row],[Land]]-TblExplore[[#This Row],[Land Bonus]]*20</f>
        <v>50</v>
      </c>
      <c r="AF22" s="94">
        <f ca="1">ROUND((0.6*TblExplore[[#This Row],[Land-DB]]^1.299 + IF(TblExplore[[#This Row],[Land-DB]]&lt;1520, (-0.001*(TblExplore[[#This Row],[Land-DB]]^2)+1.91*TblExplore[[#This Row],[Land-DB]]-593), 0))*(1+ tech_2_6*Techs!AC22 + tech_2_9*Techs!AF22 + tech_3_7*Techs!AN22 + Overview!$I$33),0)</f>
        <v>-403</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-350</v>
      </c>
    </row>
    <row r="23" spans="1:36"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218"/>
      <c r="T23" s="179"/>
      <c r="U23" s="179"/>
      <c r="V23" s="179"/>
      <c r="W23" s="179"/>
      <c r="X23" s="179"/>
      <c r="Y23" s="179"/>
      <c r="Z23" s="179"/>
      <c r="AA23" s="159">
        <f ca="1">TblImps[[#This Row],[Real time]]</f>
        <v>46180.791666666621</v>
      </c>
      <c r="AB23" s="94">
        <f ca="1">TblMili[[#This Row],[Draftees]]</f>
        <v>380</v>
      </c>
      <c r="AC23" s="94">
        <f ca="1">TblProd[[#This Row],[Platinum]]</f>
        <v>142025</v>
      </c>
      <c r="AD23" s="215"/>
      <c r="AE23" s="45">
        <f ca="1">TblExplore[[#This Row],[Land]]-TblExplore[[#This Row],[Land Bonus]]*20</f>
        <v>50</v>
      </c>
      <c r="AF23" s="94">
        <f ca="1">ROUND((0.6*TblExplore[[#This Row],[Land-DB]]^1.299 + IF(TblExplore[[#This Row],[Land-DB]]&lt;1520, (-0.001*(TblExplore[[#This Row],[Land-DB]]^2)+1.91*TblExplore[[#This Row],[Land-DB]]-593), 0))*(1+ tech_2_6*Techs!AC23 + tech_2_9*Techs!AF23 + tech_3_7*Techs!AN23 + Overview!$I$33),0)</f>
        <v>-403</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-353</v>
      </c>
    </row>
    <row r="24" spans="1:36"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218"/>
      <c r="T24" s="179"/>
      <c r="U24" s="179"/>
      <c r="V24" s="179"/>
      <c r="W24" s="179"/>
      <c r="X24" s="179"/>
      <c r="Y24" s="179"/>
      <c r="Z24" s="179"/>
      <c r="AA24" s="159">
        <f ca="1">TblImps[[#This Row],[Real time]]</f>
        <v>46180.833333333285</v>
      </c>
      <c r="AB24" s="94">
        <f ca="1">TblMili[[#This Row],[Draftees]]</f>
        <v>384</v>
      </c>
      <c r="AC24" s="94">
        <f ca="1">TblProd[[#This Row],[Platinum]]</f>
        <v>143075</v>
      </c>
      <c r="AD24" s="215"/>
      <c r="AE24" s="45">
        <f ca="1">TblExplore[[#This Row],[Land]]-TblExplore[[#This Row],[Land Bonus]]*20</f>
        <v>50</v>
      </c>
      <c r="AF24" s="94">
        <f ca="1">ROUND((0.6*TblExplore[[#This Row],[Land-DB]]^1.299 + IF(TblExplore[[#This Row],[Land-DB]]&lt;1520, (-0.001*(TblExplore[[#This Row],[Land-DB]]^2)+1.91*TblExplore[[#This Row],[Land-DB]]-593), 0))*(1+ tech_2_6*Techs!AC24 + tech_2_9*Techs!AF24 + tech_3_7*Techs!AN24 + Overview!$I$33),0)</f>
        <v>-403</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-356</v>
      </c>
    </row>
    <row r="25" spans="1:36"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218"/>
      <c r="T25" s="179"/>
      <c r="U25" s="179"/>
      <c r="V25" s="179"/>
      <c r="W25" s="179"/>
      <c r="X25" s="179"/>
      <c r="Y25" s="179"/>
      <c r="Z25" s="179"/>
      <c r="AA25" s="159">
        <f ca="1">TblImps[[#This Row],[Real time]]</f>
        <v>46180.874999999949</v>
      </c>
      <c r="AB25" s="94">
        <f ca="1">TblMili[[#This Row],[Draftees]]</f>
        <v>388</v>
      </c>
      <c r="AC25" s="94">
        <f ca="1">TblProd[[#This Row],[Platinum]]</f>
        <v>144114</v>
      </c>
      <c r="AD25" s="215"/>
      <c r="AE25" s="45">
        <f ca="1">TblExplore[[#This Row],[Land]]-TblExplore[[#This Row],[Land Bonus]]*20</f>
        <v>50</v>
      </c>
      <c r="AF25" s="94">
        <f ca="1">ROUND((0.6*TblExplore[[#This Row],[Land-DB]]^1.299 + IF(TblExplore[[#This Row],[Land-DB]]&lt;1520, (-0.001*(TblExplore[[#This Row],[Land-DB]]^2)+1.91*TblExplore[[#This Row],[Land-DB]]-593), 0))*(1+ tech_2_6*Techs!AC25 + tech_2_9*Techs!AF25 + tech_3_7*Techs!AN25 + Overview!$I$33),0)</f>
        <v>-403</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-358</v>
      </c>
    </row>
    <row r="26" spans="1:36"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218"/>
      <c r="T26" s="179"/>
      <c r="U26" s="179"/>
      <c r="V26" s="179"/>
      <c r="W26" s="179"/>
      <c r="X26" s="179"/>
      <c r="Y26" s="179"/>
      <c r="Z26" s="179"/>
      <c r="AA26" s="159">
        <f ca="1">TblImps[[#This Row],[Real time]]</f>
        <v>46180.916666666613</v>
      </c>
      <c r="AB26" s="94">
        <f ca="1">TblMili[[#This Row],[Draftees]]</f>
        <v>392</v>
      </c>
      <c r="AC26" s="94">
        <f ca="1">TblProd[[#This Row],[Platinum]]</f>
        <v>145142</v>
      </c>
      <c r="AD26" s="215"/>
      <c r="AE26" s="45">
        <f ca="1">TblExplore[[#This Row],[Land]]-TblExplore[[#This Row],[Land Bonus]]*20</f>
        <v>50</v>
      </c>
      <c r="AF26" s="94">
        <f ca="1">ROUND((0.6*TblExplore[[#This Row],[Land-DB]]^1.299 + IF(TblExplore[[#This Row],[Land-DB]]&lt;1520, (-0.001*(TblExplore[[#This Row],[Land-DB]]^2)+1.91*TblExplore[[#This Row],[Land-DB]]-593), 0))*(1+ tech_2_6*Techs!AC26 + tech_2_9*Techs!AF26 + tech_3_7*Techs!AN26 + Overview!$I$33),0)</f>
        <v>-403</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-361</v>
      </c>
    </row>
    <row r="27" spans="1:36"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218"/>
      <c r="T27" s="158"/>
      <c r="U27" s="179"/>
      <c r="V27" s="179"/>
      <c r="W27" s="179"/>
      <c r="X27" s="179"/>
      <c r="Y27" s="179"/>
      <c r="Z27" s="179"/>
      <c r="AA27" s="159">
        <f ca="1">TblImps[[#This Row],[Real time]]</f>
        <v>46180.958333333278</v>
      </c>
      <c r="AB27" s="94">
        <f ca="1">TblMili[[#This Row],[Draftees]]</f>
        <v>396</v>
      </c>
      <c r="AC27" s="94">
        <f ca="1">TblProd[[#This Row],[Platinum]]</f>
        <v>146159</v>
      </c>
      <c r="AD27" s="215"/>
      <c r="AE27" s="45">
        <f ca="1">TblExplore[[#This Row],[Land]]-TblExplore[[#This Row],[Land Bonus]]*20</f>
        <v>50</v>
      </c>
      <c r="AF27" s="94">
        <f ca="1">ROUND((0.6*TblExplore[[#This Row],[Land-DB]]^1.299 + IF(TblExplore[[#This Row],[Land-DB]]&lt;1520, (-0.001*(TblExplore[[#This Row],[Land-DB]]^2)+1.91*TblExplore[[#This Row],[Land-DB]]-593), 0))*(1+ tech_2_6*Techs!AC27 + tech_2_9*Techs!AF27 + tech_3_7*Techs!AN27 + Overview!$I$33),0)</f>
        <v>-403</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-363</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46180.999999999942</v>
      </c>
      <c r="AB28" s="94">
        <f ca="1">TblMili[[#This Row],[Draftees]]</f>
        <v>400</v>
      </c>
      <c r="AC28" s="94">
        <f ca="1">TblProd[[#This Row],[Platinum]]</f>
        <v>147166</v>
      </c>
      <c r="AD28" s="215"/>
      <c r="AE28" s="45">
        <f ca="1">TblExplore[[#This Row],[Land]]-TblExplore[[#This Row],[Land Bonus]]*20</f>
        <v>50</v>
      </c>
      <c r="AF28" s="94">
        <f ca="1">ROUND((0.6*TblExplore[[#This Row],[Land-DB]]^1.299 + IF(TblExplore[[#This Row],[Land-DB]]&lt;1520, (-0.001*(TblExplore[[#This Row],[Land-DB]]^2)+1.91*TblExplore[[#This Row],[Land-DB]]-593), 0))*(1+ tech_2_6*Techs!AC28 + tech_2_9*Techs!AF28 + tech_3_7*Techs!AN28 + Overview!$I$33),0)</f>
        <v>-403</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-366</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46181.041666666606</v>
      </c>
      <c r="AB29" s="94">
        <f ca="1">TblMili[[#This Row],[Draftees]]</f>
        <v>404</v>
      </c>
      <c r="AC29" s="94">
        <f ca="1">TblProd[[#This Row],[Platinum]]</f>
        <v>148162</v>
      </c>
      <c r="AD29" s="215"/>
      <c r="AE29" s="45">
        <f ca="1">TblExplore[[#This Row],[Land]]-TblExplore[[#This Row],[Land Bonus]]*20</f>
        <v>50</v>
      </c>
      <c r="AF29" s="94">
        <f ca="1">ROUND((0.6*TblExplore[[#This Row],[Land-DB]]^1.299 + IF(TblExplore[[#This Row],[Land-DB]]&lt;1520, (-0.001*(TblExplore[[#This Row],[Land-DB]]^2)+1.91*TblExplore[[#This Row],[Land-DB]]-593), 0))*(1+ tech_2_6*Techs!AC29 + tech_2_9*Techs!AF29 + tech_3_7*Techs!AN29 + Overview!$I$33),0)</f>
        <v>-403</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-368</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46181.08333333327</v>
      </c>
      <c r="AB30" s="94">
        <f ca="1">TblMili[[#This Row],[Draftees]]</f>
        <v>408</v>
      </c>
      <c r="AC30" s="94">
        <f ca="1">TblProd[[#This Row],[Platinum]]</f>
        <v>149147</v>
      </c>
      <c r="AD30" s="215"/>
      <c r="AE30" s="45">
        <f ca="1">TblExplore[[#This Row],[Land]]-TblExplore[[#This Row],[Land Bonus]]*20</f>
        <v>50</v>
      </c>
      <c r="AF30" s="94">
        <f ca="1">ROUND((0.6*TblExplore[[#This Row],[Land-DB]]^1.299 + IF(TblExplore[[#This Row],[Land-DB]]&lt;1520, (-0.001*(TblExplore[[#This Row],[Land-DB]]^2)+1.91*TblExplore[[#This Row],[Land-DB]]-593), 0))*(1+ tech_2_6*Techs!AC30 + tech_2_9*Techs!AF30 + tech_3_7*Techs!AN30 + Overview!$I$33),0)</f>
        <v>-403</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-371</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46181.124999999935</v>
      </c>
      <c r="AB31" s="94">
        <f ca="1">TblMili[[#This Row],[Draftees]]</f>
        <v>412</v>
      </c>
      <c r="AC31" s="94">
        <f ca="1">TblProd[[#This Row],[Platinum]]</f>
        <v>150121</v>
      </c>
      <c r="AD31" s="215"/>
      <c r="AE31" s="45">
        <f ca="1">TblExplore[[#This Row],[Land]]-TblExplore[[#This Row],[Land Bonus]]*20</f>
        <v>50</v>
      </c>
      <c r="AF31" s="94">
        <f ca="1">ROUND((0.6*TblExplore[[#This Row],[Land-DB]]^1.299 + IF(TblExplore[[#This Row],[Land-DB]]&lt;1520, (-0.001*(TblExplore[[#This Row],[Land-DB]]^2)+1.91*TblExplore[[#This Row],[Land-DB]]-593), 0))*(1+ tech_2_6*Techs!AC31 + tech_2_9*Techs!AF31 + tech_3_7*Techs!AN31 + Overview!$I$33),0)</f>
        <v>-403</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-373</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46181.166666666599</v>
      </c>
      <c r="AB32" s="94">
        <f ca="1">TblMili[[#This Row],[Draftees]]</f>
        <v>416</v>
      </c>
      <c r="AC32" s="94">
        <f ca="1">TblProd[[#This Row],[Platinum]]</f>
        <v>151084</v>
      </c>
      <c r="AD32" s="215"/>
      <c r="AE32" s="45">
        <f ca="1">TblExplore[[#This Row],[Land]]-TblExplore[[#This Row],[Land Bonus]]*20</f>
        <v>50</v>
      </c>
      <c r="AF32" s="94">
        <f ca="1">ROUND((0.6*TblExplore[[#This Row],[Land-DB]]^1.299 + IF(TblExplore[[#This Row],[Land-DB]]&lt;1520, (-0.001*(TblExplore[[#This Row],[Land-DB]]^2)+1.91*TblExplore[[#This Row],[Land-DB]]-593), 0))*(1+ tech_2_6*Techs!AC32 + tech_2_9*Techs!AF32 + tech_3_7*Techs!AN32 + Overview!$I$33),0)</f>
        <v>-403</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-375</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46181.208333333263</v>
      </c>
      <c r="AB33" s="94">
        <f ca="1">TblMili[[#This Row],[Draftees]]</f>
        <v>420</v>
      </c>
      <c r="AC33" s="94">
        <f ca="1">TblProd[[#This Row],[Platinum]]</f>
        <v>152037</v>
      </c>
      <c r="AD33" s="215"/>
      <c r="AE33" s="45">
        <f ca="1">TblExplore[[#This Row],[Land]]-TblExplore[[#This Row],[Land Bonus]]*20</f>
        <v>50</v>
      </c>
      <c r="AF33" s="94">
        <f ca="1">ROUND((0.6*TblExplore[[#This Row],[Land-DB]]^1.299 + IF(TblExplore[[#This Row],[Land-DB]]&lt;1520, (-0.001*(TblExplore[[#This Row],[Land-DB]]^2)+1.91*TblExplore[[#This Row],[Land-DB]]-593), 0))*(1+ tech_2_6*Techs!AC33 + tech_2_9*Techs!AF33 + tech_3_7*Techs!AN33 + Overview!$I$33),0)</f>
        <v>-403</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-378</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46181.249999999927</v>
      </c>
      <c r="AB34" s="94">
        <f ca="1">TblMili[[#This Row],[Draftees]]</f>
        <v>423</v>
      </c>
      <c r="AC34" s="94">
        <f ca="1">TblProd[[#This Row],[Platinum]]</f>
        <v>152979</v>
      </c>
      <c r="AD34" s="215"/>
      <c r="AE34" s="45">
        <f ca="1">TblExplore[[#This Row],[Land]]-TblExplore[[#This Row],[Land Bonus]]*20</f>
        <v>50</v>
      </c>
      <c r="AF34" s="94">
        <f ca="1">ROUND((0.6*TblExplore[[#This Row],[Land-DB]]^1.299 + IF(TblExplore[[#This Row],[Land-DB]]&lt;1520, (-0.001*(TblExplore[[#This Row],[Land-DB]]^2)+1.91*TblExplore[[#This Row],[Land-DB]]-593), 0))*(1+ tech_2_6*Techs!AC34 + tech_2_9*Techs!AF34 + tech_3_7*Techs!AN34 + Overview!$I$33),0)</f>
        <v>-403</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-380</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46181.291666666591</v>
      </c>
      <c r="AB35" s="94">
        <f ca="1">TblMili[[#This Row],[Draftees]]</f>
        <v>426</v>
      </c>
      <c r="AC35" s="94">
        <f ca="1">TblProd[[#This Row],[Platinum]]</f>
        <v>153913</v>
      </c>
      <c r="AD35" s="215"/>
      <c r="AE35" s="45">
        <f ca="1">TblExplore[[#This Row],[Land]]-TblExplore[[#This Row],[Land Bonus]]*20</f>
        <v>50</v>
      </c>
      <c r="AF35" s="94">
        <f ca="1">ROUND((0.6*TblExplore[[#This Row],[Land-DB]]^1.299 + IF(TblExplore[[#This Row],[Land-DB]]&lt;1520, (-0.001*(TblExplore[[#This Row],[Land-DB]]^2)+1.91*TblExplore[[#This Row],[Land-DB]]-593), 0))*(1+ tech_2_6*Techs!AC35 + tech_2_9*Techs!AF35 + tech_3_7*Techs!AN35 + Overview!$I$33),0)</f>
        <v>-403</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-382</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46181.333333333256</v>
      </c>
      <c r="AB36" s="94">
        <f ca="1">TblMili[[#This Row],[Draftees]]</f>
        <v>429</v>
      </c>
      <c r="AC36" s="94">
        <f ca="1">TblProd[[#This Row],[Platinum]]</f>
        <v>154839</v>
      </c>
      <c r="AD36" s="215"/>
      <c r="AE36" s="45">
        <f ca="1">TblExplore[[#This Row],[Land]]-TblExplore[[#This Row],[Land Bonus]]*20</f>
        <v>50</v>
      </c>
      <c r="AF36" s="94">
        <f ca="1">ROUND((0.6*TblExplore[[#This Row],[Land-DB]]^1.299 + IF(TblExplore[[#This Row],[Land-DB]]&lt;1520, (-0.001*(TblExplore[[#This Row],[Land-DB]]^2)+1.91*TblExplore[[#This Row],[Land-DB]]-593), 0))*(1+ tech_2_6*Techs!AC36 + tech_2_9*Techs!AF36 + tech_3_7*Techs!AN36 + Overview!$I$33),0)</f>
        <v>-403</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-385</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46181.37499999992</v>
      </c>
      <c r="AB37" s="94">
        <f ca="1">TblMili[[#This Row],[Draftees]]</f>
        <v>432</v>
      </c>
      <c r="AC37" s="94">
        <f ca="1">TblProd[[#This Row],[Platinum]]</f>
        <v>155757</v>
      </c>
      <c r="AD37" s="215"/>
      <c r="AE37" s="45">
        <f ca="1">TblExplore[[#This Row],[Land]]-TblExplore[[#This Row],[Land Bonus]]*20</f>
        <v>50</v>
      </c>
      <c r="AF37" s="94">
        <f ca="1">ROUND((0.6*TblExplore[[#This Row],[Land-DB]]^1.299 + IF(TblExplore[[#This Row],[Land-DB]]&lt;1520, (-0.001*(TblExplore[[#This Row],[Land-DB]]^2)+1.91*TblExplore[[#This Row],[Land-DB]]-593), 0))*(1+ tech_2_6*Techs!AC37 + tech_2_9*Techs!AF37 + tech_3_7*Techs!AN37 + Overview!$I$33),0)</f>
        <v>-403</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-387</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46181.416666666584</v>
      </c>
      <c r="AB38" s="94">
        <f ca="1">TblMili[[#This Row],[Draftees]]</f>
        <v>435</v>
      </c>
      <c r="AC38" s="94">
        <f ca="1">TblProd[[#This Row],[Platinum]]</f>
        <v>156666</v>
      </c>
      <c r="AD38" s="215"/>
      <c r="AE38" s="45">
        <f ca="1">TblExplore[[#This Row],[Land]]-TblExplore[[#This Row],[Land Bonus]]*20</f>
        <v>50</v>
      </c>
      <c r="AF38" s="94">
        <f ca="1">ROUND((0.6*TblExplore[[#This Row],[Land-DB]]^1.299 + IF(TblExplore[[#This Row],[Land-DB]]&lt;1520, (-0.001*(TblExplore[[#This Row],[Land-DB]]^2)+1.91*TblExplore[[#This Row],[Land-DB]]-593), 0))*(1+ tech_2_6*Techs!AC38 + tech_2_9*Techs!AF38 + tech_3_7*Techs!AN38 + Overview!$I$33),0)</f>
        <v>-403</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-389</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46181.458333333248</v>
      </c>
      <c r="AB39" s="94">
        <f ca="1">TblMili[[#This Row],[Draftees]]</f>
        <v>438</v>
      </c>
      <c r="AC39" s="94">
        <f ca="1">TblProd[[#This Row],[Platinum]]</f>
        <v>157567</v>
      </c>
      <c r="AD39" s="215"/>
      <c r="AE39" s="45">
        <f ca="1">TblExplore[[#This Row],[Land]]-TblExplore[[#This Row],[Land Bonus]]*20</f>
        <v>50</v>
      </c>
      <c r="AF39" s="94">
        <f ca="1">ROUND((0.6*TblExplore[[#This Row],[Land-DB]]^1.299 + IF(TblExplore[[#This Row],[Land-DB]]&lt;1520, (-0.001*(TblExplore[[#This Row],[Land-DB]]^2)+1.91*TblExplore[[#This Row],[Land-DB]]-593), 0))*(1+ tech_2_6*Techs!AC39 + tech_2_9*Techs!AF39 + tech_3_7*Techs!AN39 + Overview!$I$33),0)</f>
        <v>-403</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-391</v>
      </c>
    </row>
    <row r="40" spans="1:36" ht="12.75" customHeight="1" x14ac:dyDescent="0.2">
      <c r="A40" s="175">
        <f>TblRezone[[#This Row],[Hour]]</f>
        <v>37</v>
      </c>
      <c r="B40" s="214">
        <f ca="1">TblConstr[[#This Row],[Land]]</f>
        <v>50</v>
      </c>
      <c r="C40" s="215"/>
      <c r="D40" s="216">
        <f ca="1">TblConstr[[#This Row],[Plain]]</f>
        <v>0</v>
      </c>
      <c r="E40" s="182">
        <f ca="1">TblConstr[[#This Row],[Forest]]</f>
        <v>0</v>
      </c>
      <c r="F40" s="359">
        <f ca="1">TblConstr[[#This Row],[Mountain]]</f>
        <v>0</v>
      </c>
      <c r="G40" s="363">
        <f ca="1">TblConstr[[#This Row],[Hill]]</f>
        <v>0</v>
      </c>
      <c r="H40" s="367">
        <f ca="1">TblConstr[[#This Row],[Swamp]]</f>
        <v>0</v>
      </c>
      <c r="I40" s="185">
        <f ca="1">TblConstr[[#This Row],[Cavern]]</f>
        <v>0</v>
      </c>
      <c r="J40" s="186">
        <f ca="1">TblConstr[[#This Row],[Water]]</f>
        <v>0</v>
      </c>
      <c r="K40" s="210"/>
      <c r="L40" s="210"/>
      <c r="M40" s="210"/>
      <c r="N40" s="217">
        <f ca="1">TblMili[[#This Row],[Smithies]]</f>
        <v>0</v>
      </c>
      <c r="O40" s="217">
        <f ca="1">TblPop[[#This Row],[Employment]]</f>
        <v>1</v>
      </c>
      <c r="P40" s="217">
        <f ca="1">TblImps[[#This Row],[Population]]</f>
        <v>1</v>
      </c>
      <c r="Q40" s="175">
        <f ca="1">TblExplore[[#This Row],[Land]]</f>
        <v>50</v>
      </c>
      <c r="R40" s="175">
        <f>TblExplore[[#This Row],[Hour]]</f>
        <v>37</v>
      </c>
      <c r="S40" s="218"/>
      <c r="T40" s="179"/>
      <c r="U40" s="179"/>
      <c r="V40" s="179"/>
      <c r="W40" s="179"/>
      <c r="X40" s="179"/>
      <c r="Y40" s="179"/>
      <c r="Z40" s="179"/>
      <c r="AA40" s="159">
        <f ca="1">TblImps[[#This Row],[Real time]]</f>
        <v>46181.499999999913</v>
      </c>
      <c r="AB40" s="94">
        <f ca="1">TblMili[[#This Row],[Draftees]]</f>
        <v>441</v>
      </c>
      <c r="AC40" s="94">
        <f ca="1">TblProd[[#This Row],[Platinum]]</f>
        <v>158460</v>
      </c>
      <c r="AD40" s="215"/>
      <c r="AE40" s="45">
        <f ca="1">TblExplore[[#This Row],[Land]]-TblExplore[[#This Row],[Land Bonus]]*20</f>
        <v>50</v>
      </c>
      <c r="AF40" s="94">
        <f ca="1">ROUND((0.6*TblExplore[[#This Row],[Land-DB]]^1.299 + IF(TblExplore[[#This Row],[Land-DB]]&lt;1520, (-0.001*(TblExplore[[#This Row],[Land-DB]]^2)+1.91*TblExplore[[#This Row],[Land-DB]]-593), 0))*(1+ tech_2_6*Techs!AC40 + tech_2_9*Techs!AF40 + tech_3_7*Techs!AN40 + Overview!$I$33),0)</f>
        <v>-403</v>
      </c>
      <c r="AG40" s="94">
        <f ca="1">_xlfn.FLOOR.MATH(TblExplore[[#This Row],[Land-DB]]/150)+3+tech_2_9_2*TblTech[[#This Row],[2-9]]+tech_3_7_2*TblTech[[#This Row],[3-7]]</f>
        <v>3</v>
      </c>
      <c r="AH40" s="94">
        <f ca="1">SUM(TblExplore[[#This Row],[Plains Explore]:[Water Explore]])*TblExplore[[#This Row],[Plat/acre]]</f>
        <v>0</v>
      </c>
      <c r="AI40" s="94">
        <f ca="1">SUM(TblExplore[[#This Row],[Plains Explore]:[Water Explore]])*TblExplore[[#This Row],[Draftees/acre]]</f>
        <v>0</v>
      </c>
      <c r="AJ40" s="45">
        <f ca="1">_xlfn.FLOOR.MATH(MIN(TblExplore[[#This Row],[Platinum]]/TblExplore[[#This Row],[Plat/acre]],TblExplore[[#This Row],[Draftees]]/TblExplore[[#This Row],[Draftees/acre]]))</f>
        <v>-394</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46181.541666666577</v>
      </c>
      <c r="AB41" s="94">
        <f ca="1">TblMili[[#This Row],[Draftees]]</f>
        <v>444</v>
      </c>
      <c r="AC41" s="94">
        <f ca="1">TblProd[[#This Row],[Platinum]]</f>
        <v>159345</v>
      </c>
      <c r="AD41" s="215"/>
      <c r="AE41" s="45">
        <f ca="1">TblExplore[[#This Row],[Land]]-TblExplore[[#This Row],[Land Bonus]]*20</f>
        <v>50</v>
      </c>
      <c r="AF41" s="94">
        <f ca="1">ROUND((0.6*TblExplore[[#This Row],[Land-DB]]^1.299 + IF(TblExplore[[#This Row],[Land-DB]]&lt;1520, (-0.001*(TblExplore[[#This Row],[Land-DB]]^2)+1.91*TblExplore[[#This Row],[Land-DB]]-593), 0))*(1+ tech_2_6*Techs!AC41 + tech_2_9*Techs!AF41 + tech_3_7*Techs!AN41 + Overview!$I$33),0)</f>
        <v>-403</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-396</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46181.583333333241</v>
      </c>
      <c r="AB42" s="94">
        <f ca="1">TblMili[[#This Row],[Draftees]]</f>
        <v>447</v>
      </c>
      <c r="AC42" s="94">
        <f ca="1">TblProd[[#This Row],[Platinum]]</f>
        <v>160222</v>
      </c>
      <c r="AD42" s="215"/>
      <c r="AE42" s="45">
        <f ca="1">TblExplore[[#This Row],[Land]]-TblExplore[[#This Row],[Land Bonus]]*20</f>
        <v>50</v>
      </c>
      <c r="AF42" s="94">
        <f ca="1">ROUND((0.6*TblExplore[[#This Row],[Land-DB]]^1.299 + IF(TblExplore[[#This Row],[Land-DB]]&lt;1520, (-0.001*(TblExplore[[#This Row],[Land-DB]]^2)+1.91*TblExplore[[#This Row],[Land-DB]]-593), 0))*(1+ tech_2_6*Techs!AC42 + tech_2_9*Techs!AF42 + tech_3_7*Techs!AN42 + Overview!$I$33),0)</f>
        <v>-403</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-398</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46181.624999999905</v>
      </c>
      <c r="AB43" s="94">
        <f ca="1">TblMili[[#This Row],[Draftees]]</f>
        <v>450</v>
      </c>
      <c r="AC43" s="94">
        <f ca="1">TblProd[[#This Row],[Platinum]]</f>
        <v>161091</v>
      </c>
      <c r="AD43" s="215"/>
      <c r="AE43" s="45">
        <f ca="1">TblExplore[[#This Row],[Land]]-TblExplore[[#This Row],[Land Bonus]]*20</f>
        <v>50</v>
      </c>
      <c r="AF43" s="94">
        <f ca="1">ROUND((0.6*TblExplore[[#This Row],[Land-DB]]^1.299 + IF(TblExplore[[#This Row],[Land-DB]]&lt;1520, (-0.001*(TblExplore[[#This Row],[Land-DB]]^2)+1.91*TblExplore[[#This Row],[Land-DB]]-593), 0))*(1+ tech_2_6*Techs!AC43 + tech_2_9*Techs!AF43 + tech_3_7*Techs!AN43 + Overview!$I$33),0)</f>
        <v>-403</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-400</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46181.66666666657</v>
      </c>
      <c r="AB44" s="94">
        <f ca="1">TblMili[[#This Row],[Draftees]]</f>
        <v>453</v>
      </c>
      <c r="AC44" s="94">
        <f ca="1">TblProd[[#This Row],[Platinum]]</f>
        <v>161952</v>
      </c>
      <c r="AD44" s="215"/>
      <c r="AE44" s="45">
        <f ca="1">TblExplore[[#This Row],[Land]]-TblExplore[[#This Row],[Land Bonus]]*20</f>
        <v>50</v>
      </c>
      <c r="AF44" s="94">
        <f ca="1">ROUND((0.6*TblExplore[[#This Row],[Land-DB]]^1.299 + IF(TblExplore[[#This Row],[Land-DB]]&lt;1520, (-0.001*(TblExplore[[#This Row],[Land-DB]]^2)+1.91*TblExplore[[#This Row],[Land-DB]]-593), 0))*(1+ tech_2_6*Techs!AC44 + tech_2_9*Techs!AF44 + tech_3_7*Techs!AN44 + Overview!$I$33),0)</f>
        <v>-403</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-402</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46181.708333333234</v>
      </c>
      <c r="AB45" s="94">
        <f ca="1">TblMili[[#This Row],[Draftees]]</f>
        <v>456</v>
      </c>
      <c r="AC45" s="94">
        <f ca="1">TblProd[[#This Row],[Platinum]]</f>
        <v>162805</v>
      </c>
      <c r="AD45" s="215"/>
      <c r="AE45" s="45">
        <f ca="1">TblExplore[[#This Row],[Land]]-TblExplore[[#This Row],[Land Bonus]]*20</f>
        <v>50</v>
      </c>
      <c r="AF45" s="94">
        <f ca="1">ROUND((0.6*TblExplore[[#This Row],[Land-DB]]^1.299 + IF(TblExplore[[#This Row],[Land-DB]]&lt;1520, (-0.001*(TblExplore[[#This Row],[Land-DB]]^2)+1.91*TblExplore[[#This Row],[Land-DB]]-593), 0))*(1+ tech_2_6*Techs!AC45 + tech_2_9*Techs!AF45 + tech_3_7*Techs!AN45 + Overview!$I$33),0)</f>
        <v>-403</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-404</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46181.749999999898</v>
      </c>
      <c r="AB46" s="94">
        <f ca="1">TblMili[[#This Row],[Draftees]]</f>
        <v>459</v>
      </c>
      <c r="AC46" s="94">
        <f ca="1">TblProd[[#This Row],[Platinum]]</f>
        <v>163650</v>
      </c>
      <c r="AD46" s="215"/>
      <c r="AE46" s="45">
        <f ca="1">TblExplore[[#This Row],[Land]]-TblExplore[[#This Row],[Land Bonus]]*20</f>
        <v>50</v>
      </c>
      <c r="AF46" s="94">
        <f ca="1">ROUND((0.6*TblExplore[[#This Row],[Land-DB]]^1.299 + IF(TblExplore[[#This Row],[Land-DB]]&lt;1520, (-0.001*(TblExplore[[#This Row],[Land-DB]]^2)+1.91*TblExplore[[#This Row],[Land-DB]]-593), 0))*(1+ tech_2_6*Techs!AC46 + tech_2_9*Techs!AF46 + tech_3_7*Techs!AN46 + Overview!$I$33),0)</f>
        <v>-403</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-407</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46181.791666666562</v>
      </c>
      <c r="AB47" s="94">
        <f ca="1">TblMili[[#This Row],[Draftees]]</f>
        <v>462</v>
      </c>
      <c r="AC47" s="94">
        <f ca="1">TblProd[[#This Row],[Platinum]]</f>
        <v>164487</v>
      </c>
      <c r="AD47" s="215"/>
      <c r="AE47" s="45">
        <f ca="1">TblExplore[[#This Row],[Land]]-TblExplore[[#This Row],[Land Bonus]]*20</f>
        <v>50</v>
      </c>
      <c r="AF47" s="94">
        <f ca="1">ROUND((0.6*TblExplore[[#This Row],[Land-DB]]^1.299 + IF(TblExplore[[#This Row],[Land-DB]]&lt;1520, (-0.001*(TblExplore[[#This Row],[Land-DB]]^2)+1.91*TblExplore[[#This Row],[Land-DB]]-593), 0))*(1+ tech_2_6*Techs!AC47 + tech_2_9*Techs!AF47 + tech_3_7*Techs!AN47 + Overview!$I$33),0)</f>
        <v>-403</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-409</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46181.833333333227</v>
      </c>
      <c r="AB48" s="94">
        <f ca="1">TblMili[[#This Row],[Draftees]]</f>
        <v>465</v>
      </c>
      <c r="AC48" s="94">
        <f ca="1">TblProd[[#This Row],[Platinum]]</f>
        <v>165315</v>
      </c>
      <c r="AD48" s="215"/>
      <c r="AE48" s="45">
        <f ca="1">TblExplore[[#This Row],[Land]]-TblExplore[[#This Row],[Land Bonus]]*20</f>
        <v>50</v>
      </c>
      <c r="AF48" s="94">
        <f ca="1">ROUND((0.6*TblExplore[[#This Row],[Land-DB]]^1.299 + IF(TblExplore[[#This Row],[Land-DB]]&lt;1520, (-0.001*(TblExplore[[#This Row],[Land-DB]]^2)+1.91*TblExplore[[#This Row],[Land-DB]]-593), 0))*(1+ tech_2_6*Techs!AC48 + tech_2_9*Techs!AF48 + tech_3_7*Techs!AN48 + Overview!$I$33),0)</f>
        <v>-403</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-411</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46181.874999999891</v>
      </c>
      <c r="AB49" s="94">
        <f ca="1">TblMili[[#This Row],[Draftees]]</f>
        <v>468</v>
      </c>
      <c r="AC49" s="94">
        <f ca="1">TblProd[[#This Row],[Platinum]]</f>
        <v>166135</v>
      </c>
      <c r="AD49" s="215"/>
      <c r="AE49" s="45">
        <f ca="1">TblExplore[[#This Row],[Land]]-TblExplore[[#This Row],[Land Bonus]]*20</f>
        <v>50</v>
      </c>
      <c r="AF49" s="94">
        <f ca="1">ROUND((0.6*TblExplore[[#This Row],[Land-DB]]^1.299 + IF(TblExplore[[#This Row],[Land-DB]]&lt;1520, (-0.001*(TblExplore[[#This Row],[Land-DB]]^2)+1.91*TblExplore[[#This Row],[Land-DB]]-593), 0))*(1+ tech_2_6*Techs!AC49 + tech_2_9*Techs!AF49 + tech_3_7*Techs!AN49 + Overview!$I$33),0)</f>
        <v>-403</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-413</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46181.916666666555</v>
      </c>
      <c r="AB50" s="94">
        <f ca="1">TblMili[[#This Row],[Draftees]]</f>
        <v>471</v>
      </c>
      <c r="AC50" s="94">
        <f ca="1">TblProd[[#This Row],[Platinum]]</f>
        <v>166947</v>
      </c>
      <c r="AD50" s="215"/>
      <c r="AE50" s="45">
        <f ca="1">TblExplore[[#This Row],[Land]]-TblExplore[[#This Row],[Land Bonus]]*20</f>
        <v>50</v>
      </c>
      <c r="AF50" s="94">
        <f ca="1">ROUND((0.6*TblExplore[[#This Row],[Land-DB]]^1.299 + IF(TblExplore[[#This Row],[Land-DB]]&lt;1520, (-0.001*(TblExplore[[#This Row],[Land-DB]]^2)+1.91*TblExplore[[#This Row],[Land-DB]]-593), 0))*(1+ tech_2_6*Techs!AC50 + tech_2_9*Techs!AF50 + tech_3_7*Techs!AN50 + Overview!$I$33),0)</f>
        <v>-403</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-415</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46181.958333333219</v>
      </c>
      <c r="AB51" s="94">
        <f ca="1">TblMili[[#This Row],[Draftees]]</f>
        <v>474</v>
      </c>
      <c r="AC51" s="94">
        <f ca="1">TblProd[[#This Row],[Platinum]]</f>
        <v>167751</v>
      </c>
      <c r="AD51" s="215"/>
      <c r="AE51" s="45">
        <f ca="1">TblExplore[[#This Row],[Land]]-TblExplore[[#This Row],[Land Bonus]]*20</f>
        <v>50</v>
      </c>
      <c r="AF51" s="94">
        <f ca="1">ROUND((0.6*TblExplore[[#This Row],[Land-DB]]^1.299 + IF(TblExplore[[#This Row],[Land-DB]]&lt;1520, (-0.001*(TblExplore[[#This Row],[Land-DB]]^2)+1.91*TblExplore[[#This Row],[Land-DB]]-593), 0))*(1+ tech_2_6*Techs!AC51 + tech_2_9*Techs!AF51 + tech_3_7*Techs!AN51 + Overview!$I$33),0)</f>
        <v>-403</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-417</v>
      </c>
    </row>
    <row r="52" spans="1:36" s="5" customFormat="1" x14ac:dyDescent="0.2">
      <c r="A52" s="193">
        <f>TblRezone[[#This Row],[Hour]]</f>
        <v>49</v>
      </c>
      <c r="B52" s="230">
        <f ca="1">TblConstr[[#This Row],[Land]]</f>
        <v>50</v>
      </c>
      <c r="C52" s="231"/>
      <c r="D52" s="232">
        <f ca="1">TblConstr[[#This Row],[Plain]]</f>
        <v>0</v>
      </c>
      <c r="E52" s="196">
        <f ca="1">TblConstr[[#This Row],[Forest]]</f>
        <v>0</v>
      </c>
      <c r="F52" s="360">
        <f ca="1">TblConstr[[#This Row],[Mountain]]</f>
        <v>0</v>
      </c>
      <c r="G52" s="364">
        <f ca="1">TblConstr[[#This Row],[Hill]]</f>
        <v>0</v>
      </c>
      <c r="H52" s="368">
        <f ca="1">TblConstr[[#This Row],[Swamp]]</f>
        <v>0</v>
      </c>
      <c r="I52" s="199">
        <f ca="1">TblConstr[[#This Row],[Cavern]]</f>
        <v>0</v>
      </c>
      <c r="J52" s="200">
        <f ca="1">TblConstr[[#This Row],[Water]]</f>
        <v>0</v>
      </c>
      <c r="K52" s="208"/>
      <c r="L52" s="439"/>
      <c r="M52" s="440"/>
      <c r="N52" s="441">
        <f ca="1">TblMili[[#This Row],[Smithies]]</f>
        <v>0</v>
      </c>
      <c r="O52" s="441">
        <f ca="1">TblPop[[#This Row],[Employment]]</f>
        <v>1</v>
      </c>
      <c r="P52" s="441">
        <f ca="1">TblImps[[#This Row],[Population]]</f>
        <v>1</v>
      </c>
      <c r="Q52" s="193">
        <f ca="1">TblExplore[[#This Row],[Land]]</f>
        <v>50</v>
      </c>
      <c r="R52" s="193">
        <f>TblExplore[[#This Row],[Hour]]</f>
        <v>49</v>
      </c>
      <c r="S52" s="233"/>
      <c r="T52" s="201"/>
      <c r="U52" s="201"/>
      <c r="V52" s="201"/>
      <c r="W52" s="201"/>
      <c r="X52" s="201"/>
      <c r="Y52" s="201"/>
      <c r="Z52" s="201"/>
      <c r="AA52" s="167">
        <f ca="1">TblImps[[#This Row],[Real time]]</f>
        <v>46181.999999999884</v>
      </c>
      <c r="AB52" s="35">
        <f ca="1">TblMili[[#This Row],[Draftees]]</f>
        <v>477</v>
      </c>
      <c r="AC52" s="35">
        <f ca="1">TblProd[[#This Row],[Platinum]]</f>
        <v>168547</v>
      </c>
      <c r="AD52" s="231"/>
      <c r="AE52" s="5">
        <f ca="1">TblExplore[[#This Row],[Land]]-TblExplore[[#This Row],[Land Bonus]]*20</f>
        <v>50</v>
      </c>
      <c r="AF52" s="35">
        <f ca="1">ROUND((0.6*TblExplore[[#This Row],[Land-DB]]^1.299 + IF(TblExplore[[#This Row],[Land-DB]]&lt;1520, (-0.001*(TblExplore[[#This Row],[Land-DB]]^2)+1.91*TblExplore[[#This Row],[Land-DB]]-593), 0))*(1+ tech_2_6*Techs!AC52 + tech_2_9*Techs!AF52 + tech_3_7*Techs!AN52 + Overview!$I$33),0)</f>
        <v>-403</v>
      </c>
      <c r="AG52" s="35">
        <f ca="1">_xlfn.FLOOR.MATH(TblExplore[[#This Row],[Land-DB]]/150)+3+tech_2_9_2*TblTech[[#This Row],[2-9]]+tech_3_7_2*TblTech[[#This Row],[3-7]]</f>
        <v>3</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-419</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46182.041666666548</v>
      </c>
      <c r="AB53" s="94">
        <f ca="1">TblMili[[#This Row],[Draftees]]</f>
        <v>480</v>
      </c>
      <c r="AC53" s="94">
        <f ca="1">TblProd[[#This Row],[Platinum]]</f>
        <v>169335</v>
      </c>
      <c r="AD53" s="215"/>
      <c r="AE53" s="45">
        <f ca="1">TblExplore[[#This Row],[Land]]-TblExplore[[#This Row],[Land Bonus]]*20</f>
        <v>50</v>
      </c>
      <c r="AF53" s="94">
        <f ca="1">ROUND((0.6*TblExplore[[#This Row],[Land-DB]]^1.299 + IF(TblExplore[[#This Row],[Land-DB]]&lt;1520, (-0.001*(TblExplore[[#This Row],[Land-DB]]^2)+1.91*TblExplore[[#This Row],[Land-DB]]-593), 0))*(1+ tech_2_6*Techs!AC53 + tech_2_9*Techs!AF53 + tech_3_7*Techs!AN53 + Overview!$I$33),0)</f>
        <v>-403</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-421</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1033</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46182.083333333212</v>
      </c>
      <c r="AB54" s="94">
        <f ca="1">TblMili[[#This Row],[Draftees]]</f>
        <v>483</v>
      </c>
      <c r="AC54" s="94">
        <f ca="1">TblProd[[#This Row],[Platinum]]</f>
        <v>170115</v>
      </c>
      <c r="AD54" s="215"/>
      <c r="AE54" s="45">
        <f ca="1">TblExplore[[#This Row],[Land]]-TblExplore[[#This Row],[Land Bonus]]*20</f>
        <v>50</v>
      </c>
      <c r="AF54" s="94">
        <f ca="1">ROUND((0.6*TblExplore[[#This Row],[Land-DB]]^1.299 + IF(TblExplore[[#This Row],[Land-DB]]&lt;1520, (-0.001*(TblExplore[[#This Row],[Land-DB]]^2)+1.91*TblExplore[[#This Row],[Land-DB]]-593), 0))*(1+ tech_2_6*Techs!AC54 + tech_2_9*Techs!AF54 + tech_3_7*Techs!AN54 + Overview!$I$33),0)</f>
        <v>-403</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-423</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46182.124999999876</v>
      </c>
      <c r="AB55" s="94">
        <f ca="1">TblMili[[#This Row],[Draftees]]</f>
        <v>486</v>
      </c>
      <c r="AC55" s="94">
        <f ca="1">TblProd[[#This Row],[Platinum]]</f>
        <v>170887</v>
      </c>
      <c r="AD55" s="215"/>
      <c r="AE55" s="45">
        <f ca="1">TblExplore[[#This Row],[Land]]-TblExplore[[#This Row],[Land Bonus]]*20</f>
        <v>50</v>
      </c>
      <c r="AF55" s="94">
        <f ca="1">ROUND((0.6*TblExplore[[#This Row],[Land-DB]]^1.299 + IF(TblExplore[[#This Row],[Land-DB]]&lt;1520, (-0.001*(TblExplore[[#This Row],[Land-DB]]^2)+1.91*TblExplore[[#This Row],[Land-DB]]-593), 0))*(1+ tech_2_6*Techs!AC55 + tech_2_9*Techs!AF55 + tech_3_7*Techs!AN55 + Overview!$I$33),0)</f>
        <v>-403</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-425</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46182.166666666541</v>
      </c>
      <c r="AB56" s="94">
        <f ca="1">TblMili[[#This Row],[Draftees]]</f>
        <v>489</v>
      </c>
      <c r="AC56" s="94">
        <f ca="1">TblProd[[#This Row],[Platinum]]</f>
        <v>171651</v>
      </c>
      <c r="AD56" s="215"/>
      <c r="AE56" s="45">
        <f ca="1">TblExplore[[#This Row],[Land]]-TblExplore[[#This Row],[Land Bonus]]*20</f>
        <v>50</v>
      </c>
      <c r="AF56" s="94">
        <f ca="1">ROUND((0.6*TblExplore[[#This Row],[Land-DB]]^1.299 + IF(TblExplore[[#This Row],[Land-DB]]&lt;1520, (-0.001*(TblExplore[[#This Row],[Land-DB]]^2)+1.91*TblExplore[[#This Row],[Land-DB]]-593), 0))*(1+ tech_2_6*Techs!AC56 + tech_2_9*Techs!AF56 + tech_3_7*Techs!AN56 + Overview!$I$33),0)</f>
        <v>-403</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-426</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46182.208333333205</v>
      </c>
      <c r="AB57" s="94">
        <f ca="1">TblMili[[#This Row],[Draftees]]</f>
        <v>492</v>
      </c>
      <c r="AC57" s="94">
        <f ca="1">TblProd[[#This Row],[Platinum]]</f>
        <v>172407</v>
      </c>
      <c r="AD57" s="215"/>
      <c r="AE57" s="45">
        <f ca="1">TblExplore[[#This Row],[Land]]-TblExplore[[#This Row],[Land Bonus]]*20</f>
        <v>50</v>
      </c>
      <c r="AF57" s="94">
        <f ca="1">ROUND((0.6*TblExplore[[#This Row],[Land-DB]]^1.299 + IF(TblExplore[[#This Row],[Land-DB]]&lt;1520, (-0.001*(TblExplore[[#This Row],[Land-DB]]^2)+1.91*TblExplore[[#This Row],[Land-DB]]-593), 0))*(1+ tech_2_6*Techs!AC57 + tech_2_9*Techs!AF57 + tech_3_7*Techs!AN57 + Overview!$I$33),0)</f>
        <v>-403</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-428</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46182.249999999869</v>
      </c>
      <c r="AB58" s="94">
        <f ca="1">TblMili[[#This Row],[Draftees]]</f>
        <v>495</v>
      </c>
      <c r="AC58" s="94">
        <f ca="1">TblProd[[#This Row],[Platinum]]</f>
        <v>173154</v>
      </c>
      <c r="AD58" s="215"/>
      <c r="AE58" s="45">
        <f ca="1">TblExplore[[#This Row],[Land]]-TblExplore[[#This Row],[Land Bonus]]*20</f>
        <v>50</v>
      </c>
      <c r="AF58" s="94">
        <f ca="1">ROUND((0.6*TblExplore[[#This Row],[Land-DB]]^1.299 + IF(TblExplore[[#This Row],[Land-DB]]&lt;1520, (-0.001*(TblExplore[[#This Row],[Land-DB]]^2)+1.91*TblExplore[[#This Row],[Land-DB]]-593), 0))*(1+ tech_2_6*Techs!AC58 + tech_2_9*Techs!AF58 + tech_3_7*Techs!AN58 + Overview!$I$33),0)</f>
        <v>-403</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-430</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46182.291666666533</v>
      </c>
      <c r="AB59" s="94">
        <f ca="1">TblMili[[#This Row],[Draftees]]</f>
        <v>498</v>
      </c>
      <c r="AC59" s="94">
        <f ca="1">TblProd[[#This Row],[Platinum]]</f>
        <v>173893</v>
      </c>
      <c r="AD59" s="215"/>
      <c r="AE59" s="45">
        <f ca="1">TblExplore[[#This Row],[Land]]-TblExplore[[#This Row],[Land Bonus]]*20</f>
        <v>50</v>
      </c>
      <c r="AF59" s="94">
        <f ca="1">ROUND((0.6*TblExplore[[#This Row],[Land-DB]]^1.299 + IF(TblExplore[[#This Row],[Land-DB]]&lt;1520, (-0.001*(TblExplore[[#This Row],[Land-DB]]^2)+1.91*TblExplore[[#This Row],[Land-DB]]-593), 0))*(1+ tech_2_6*Techs!AC59 + tech_2_9*Techs!AF59 + tech_3_7*Techs!AN59 + Overview!$I$33),0)</f>
        <v>-403</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-432</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46182.333333333198</v>
      </c>
      <c r="AB60" s="94">
        <f ca="1">TblMili[[#This Row],[Draftees]]</f>
        <v>501</v>
      </c>
      <c r="AC60" s="94">
        <f ca="1">TblProd[[#This Row],[Platinum]]</f>
        <v>174624</v>
      </c>
      <c r="AD60" s="215"/>
      <c r="AE60" s="45">
        <f ca="1">TblExplore[[#This Row],[Land]]-TblExplore[[#This Row],[Land Bonus]]*20</f>
        <v>50</v>
      </c>
      <c r="AF60" s="94">
        <f ca="1">ROUND((0.6*TblExplore[[#This Row],[Land-DB]]^1.299 + IF(TblExplore[[#This Row],[Land-DB]]&lt;1520, (-0.001*(TblExplore[[#This Row],[Land-DB]]^2)+1.91*TblExplore[[#This Row],[Land-DB]]-593), 0))*(1+ tech_2_6*Techs!AC60 + tech_2_9*Techs!AF60 + tech_3_7*Techs!AN60 + Overview!$I$33),0)</f>
        <v>-403</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-434</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46182.374999999862</v>
      </c>
      <c r="AB61" s="94">
        <f ca="1">TblMili[[#This Row],[Draftees]]</f>
        <v>504</v>
      </c>
      <c r="AC61" s="94">
        <f ca="1">TblProd[[#This Row],[Platinum]]</f>
        <v>175347</v>
      </c>
      <c r="AD61" s="215"/>
      <c r="AE61" s="45">
        <f ca="1">TblExplore[[#This Row],[Land]]-TblExplore[[#This Row],[Land Bonus]]*20</f>
        <v>50</v>
      </c>
      <c r="AF61" s="94">
        <f ca="1">ROUND((0.6*TblExplore[[#This Row],[Land-DB]]^1.299 + IF(TblExplore[[#This Row],[Land-DB]]&lt;1520, (-0.001*(TblExplore[[#This Row],[Land-DB]]^2)+1.91*TblExplore[[#This Row],[Land-DB]]-593), 0))*(1+ tech_2_6*Techs!AC61 + tech_2_9*Techs!AF61 + tech_3_7*Techs!AN61 + Overview!$I$33),0)</f>
        <v>-403</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-436</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46182.416666666526</v>
      </c>
      <c r="AB62" s="94">
        <f ca="1">TblMili[[#This Row],[Draftees]]</f>
        <v>507</v>
      </c>
      <c r="AC62" s="94">
        <f ca="1">TblProd[[#This Row],[Platinum]]</f>
        <v>176062</v>
      </c>
      <c r="AD62" s="215"/>
      <c r="AE62" s="45">
        <f ca="1">TblExplore[[#This Row],[Land]]-TblExplore[[#This Row],[Land Bonus]]*20</f>
        <v>50</v>
      </c>
      <c r="AF62" s="94">
        <f ca="1">ROUND((0.6*TblExplore[[#This Row],[Land-DB]]^1.299 + IF(TblExplore[[#This Row],[Land-DB]]&lt;1520, (-0.001*(TblExplore[[#This Row],[Land-DB]]^2)+1.91*TblExplore[[#This Row],[Land-DB]]-593), 0))*(1+ tech_2_6*Techs!AC62 + tech_2_9*Techs!AF62 + tech_3_7*Techs!AN62 + Overview!$I$33),0)</f>
        <v>-403</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-437</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46182.45833333319</v>
      </c>
      <c r="AB63" s="94">
        <f ca="1">TblMili[[#This Row],[Draftees]]</f>
        <v>510</v>
      </c>
      <c r="AC63" s="94">
        <f ca="1">TblProd[[#This Row],[Platinum]]</f>
        <v>176769</v>
      </c>
      <c r="AD63" s="215"/>
      <c r="AE63" s="45">
        <f ca="1">TblExplore[[#This Row],[Land]]-TblExplore[[#This Row],[Land Bonus]]*20</f>
        <v>50</v>
      </c>
      <c r="AF63" s="94">
        <f ca="1">ROUND((0.6*TblExplore[[#This Row],[Land-DB]]^1.299 + IF(TblExplore[[#This Row],[Land-DB]]&lt;1520, (-0.001*(TblExplore[[#This Row],[Land-DB]]^2)+1.91*TblExplore[[#This Row],[Land-DB]]-593), 0))*(1+ tech_2_6*Techs!AC63 + tech_2_9*Techs!AF63 + tech_3_7*Techs!AN63 + Overview!$I$33),0)</f>
        <v>-403</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-439</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46182.499999999854</v>
      </c>
      <c r="AB64" s="94">
        <f ca="1">TblMili[[#This Row],[Draftees]]</f>
        <v>513</v>
      </c>
      <c r="AC64" s="94">
        <f ca="1">TblProd[[#This Row],[Platinum]]</f>
        <v>177468</v>
      </c>
      <c r="AD64" s="215"/>
      <c r="AE64" s="45">
        <f ca="1">TblExplore[[#This Row],[Land]]-TblExplore[[#This Row],[Land Bonus]]*20</f>
        <v>50</v>
      </c>
      <c r="AF64" s="94">
        <f ca="1">ROUND((0.6*TblExplore[[#This Row],[Land-DB]]^1.299 + IF(TblExplore[[#This Row],[Land-DB]]&lt;1520, (-0.001*(TblExplore[[#This Row],[Land-DB]]^2)+1.91*TblExplore[[#This Row],[Land-DB]]-593), 0))*(1+ tech_2_6*Techs!AC64 + tech_2_9*Techs!AF64 + tech_3_7*Techs!AN64 + Overview!$I$33),0)</f>
        <v>-403</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-441</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46182.541666666519</v>
      </c>
      <c r="AB65" s="94">
        <f ca="1">TblMili[[#This Row],[Draftees]]</f>
        <v>516</v>
      </c>
      <c r="AC65" s="94">
        <f ca="1">TblProd[[#This Row],[Platinum]]</f>
        <v>178159</v>
      </c>
      <c r="AD65" s="215"/>
      <c r="AE65" s="45">
        <f ca="1">TblExplore[[#This Row],[Land]]-TblExplore[[#This Row],[Land Bonus]]*20</f>
        <v>50</v>
      </c>
      <c r="AF65" s="94">
        <f ca="1">ROUND((0.6*TblExplore[[#This Row],[Land-DB]]^1.299 + IF(TblExplore[[#This Row],[Land-DB]]&lt;1520, (-0.001*(TblExplore[[#This Row],[Land-DB]]^2)+1.91*TblExplore[[#This Row],[Land-DB]]-593), 0))*(1+ tech_2_6*Techs!AC65 + tech_2_9*Techs!AF65 + tech_3_7*Techs!AN65 + Overview!$I$33),0)</f>
        <v>-403</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-443</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46182.583333333183</v>
      </c>
      <c r="AB66" s="94">
        <f ca="1">TblMili[[#This Row],[Draftees]]</f>
        <v>519</v>
      </c>
      <c r="AC66" s="94">
        <f ca="1">TblProd[[#This Row],[Platinum]]</f>
        <v>178842</v>
      </c>
      <c r="AD66" s="215"/>
      <c r="AE66" s="45">
        <f ca="1">TblExplore[[#This Row],[Land]]-TblExplore[[#This Row],[Land Bonus]]*20</f>
        <v>50</v>
      </c>
      <c r="AF66" s="94">
        <f ca="1">ROUND((0.6*TblExplore[[#This Row],[Land-DB]]^1.299 + IF(TblExplore[[#This Row],[Land-DB]]&lt;1520, (-0.001*(TblExplore[[#This Row],[Land-DB]]^2)+1.91*TblExplore[[#This Row],[Land-DB]]-593), 0))*(1+ tech_2_6*Techs!AC66 + tech_2_9*Techs!AF66 + tech_3_7*Techs!AN66 + Overview!$I$33),0)</f>
        <v>-403</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-444</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46182.624999999847</v>
      </c>
      <c r="AB67" s="94">
        <f ca="1">TblMili[[#This Row],[Draftees]]</f>
        <v>522</v>
      </c>
      <c r="AC67" s="94">
        <f ca="1">TblProd[[#This Row],[Platinum]]</f>
        <v>179517</v>
      </c>
      <c r="AD67" s="215"/>
      <c r="AE67" s="45">
        <f ca="1">TblExplore[[#This Row],[Land]]-TblExplore[[#This Row],[Land Bonus]]*20</f>
        <v>50</v>
      </c>
      <c r="AF67" s="94">
        <f ca="1">ROUND((0.6*TblExplore[[#This Row],[Land-DB]]^1.299 + IF(TblExplore[[#This Row],[Land-DB]]&lt;1520, (-0.001*(TblExplore[[#This Row],[Land-DB]]^2)+1.91*TblExplore[[#This Row],[Land-DB]]-593), 0))*(1+ tech_2_6*Techs!AC67 + tech_2_9*Techs!AF67 + tech_3_7*Techs!AN67 + Overview!$I$33),0)</f>
        <v>-403</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-446</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46182.666666666511</v>
      </c>
      <c r="AB68" s="94">
        <f ca="1">TblMili[[#This Row],[Draftees]]</f>
        <v>524</v>
      </c>
      <c r="AC68" s="94">
        <f ca="1">TblProd[[#This Row],[Platinum]]</f>
        <v>180183</v>
      </c>
      <c r="AD68" s="215"/>
      <c r="AE68" s="45">
        <f ca="1">TblExplore[[#This Row],[Land]]-TblExplore[[#This Row],[Land Bonus]]*20</f>
        <v>50</v>
      </c>
      <c r="AF68" s="94">
        <f ca="1">ROUND((0.6*TblExplore[[#This Row],[Land-DB]]^1.299 + IF(TblExplore[[#This Row],[Land-DB]]&lt;1520, (-0.001*(TblExplore[[#This Row],[Land-DB]]^2)+1.91*TblExplore[[#This Row],[Land-DB]]-593), 0))*(1+ tech_2_6*Techs!AC68 + tech_2_9*Techs!AF68 + tech_3_7*Techs!AN68 + Overview!$I$33),0)</f>
        <v>-403</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-448</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46182.708333333176</v>
      </c>
      <c r="AB69" s="94">
        <f ca="1">TblMili[[#This Row],[Draftees]]</f>
        <v>526</v>
      </c>
      <c r="AC69" s="94">
        <f ca="1">TblProd[[#This Row],[Platinum]]</f>
        <v>180844</v>
      </c>
      <c r="AD69" s="215"/>
      <c r="AE69" s="45">
        <f ca="1">TblExplore[[#This Row],[Land]]-TblExplore[[#This Row],[Land Bonus]]*20</f>
        <v>50</v>
      </c>
      <c r="AF69" s="94">
        <f ca="1">ROUND((0.6*TblExplore[[#This Row],[Land-DB]]^1.299 + IF(TblExplore[[#This Row],[Land-DB]]&lt;1520, (-0.001*(TblExplore[[#This Row],[Land-DB]]^2)+1.91*TblExplore[[#This Row],[Land-DB]]-593), 0))*(1+ tech_2_6*Techs!AC69 + tech_2_9*Techs!AF69 + tech_3_7*Techs!AN69 + Overview!$I$33),0)</f>
        <v>-403</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-449</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46182.74999999984</v>
      </c>
      <c r="AB70" s="94">
        <f ca="1">TblMili[[#This Row],[Draftees]]</f>
        <v>528</v>
      </c>
      <c r="AC70" s="94">
        <f ca="1">TblProd[[#This Row],[Platinum]]</f>
        <v>181500</v>
      </c>
      <c r="AD70" s="215"/>
      <c r="AE70" s="45">
        <f ca="1">TblExplore[[#This Row],[Land]]-TblExplore[[#This Row],[Land Bonus]]*20</f>
        <v>50</v>
      </c>
      <c r="AF70" s="94">
        <f ca="1">ROUND((0.6*TblExplore[[#This Row],[Land-DB]]^1.299 + IF(TblExplore[[#This Row],[Land-DB]]&lt;1520, (-0.001*(TblExplore[[#This Row],[Land-DB]]^2)+1.91*TblExplore[[#This Row],[Land-DB]]-593), 0))*(1+ tech_2_6*Techs!AC70 + tech_2_9*Techs!AF70 + tech_3_7*Techs!AN70 + Overview!$I$33),0)</f>
        <v>-403</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-451</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46182.791666666504</v>
      </c>
      <c r="AB71" s="94">
        <f ca="1">TblMili[[#This Row],[Draftees]]</f>
        <v>530</v>
      </c>
      <c r="AC71" s="94">
        <f ca="1">TblProd[[#This Row],[Platinum]]</f>
        <v>182150</v>
      </c>
      <c r="AD71" s="215"/>
      <c r="AE71" s="45">
        <f ca="1">TblExplore[[#This Row],[Land]]-TblExplore[[#This Row],[Land Bonus]]*20</f>
        <v>50</v>
      </c>
      <c r="AF71" s="94">
        <f ca="1">ROUND((0.6*TblExplore[[#This Row],[Land-DB]]^1.299 + IF(TblExplore[[#This Row],[Land-DB]]&lt;1520, (-0.001*(TblExplore[[#This Row],[Land-DB]]^2)+1.91*TblExplore[[#This Row],[Land-DB]]-593), 0))*(1+ tech_2_6*Techs!AC71 + tech_2_9*Techs!AF71 + tech_3_7*Techs!AN71 + Overview!$I$33),0)</f>
        <v>-403</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-452</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46182.833333333168</v>
      </c>
      <c r="AB72" s="94">
        <f ca="1">TblMili[[#This Row],[Draftees]]</f>
        <v>532</v>
      </c>
      <c r="AC72" s="94">
        <f ca="1">TblProd[[#This Row],[Platinum]]</f>
        <v>182795</v>
      </c>
      <c r="AD72" s="215"/>
      <c r="AE72" s="45">
        <f ca="1">TblExplore[[#This Row],[Land]]-TblExplore[[#This Row],[Land Bonus]]*20</f>
        <v>50</v>
      </c>
      <c r="AF72" s="94">
        <f ca="1">ROUND((0.6*TblExplore[[#This Row],[Land-DB]]^1.299 + IF(TblExplore[[#This Row],[Land-DB]]&lt;1520, (-0.001*(TblExplore[[#This Row],[Land-DB]]^2)+1.91*TblExplore[[#This Row],[Land-DB]]-593), 0))*(1+ tech_2_6*Techs!AC72 + tech_2_9*Techs!AF72 + tech_3_7*Techs!AN72 + Overview!$I$33),0)</f>
        <v>-403</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-454</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46182.874999999833</v>
      </c>
      <c r="AB73" s="94">
        <f ca="1">TblMili[[#This Row],[Draftees]]</f>
        <v>534</v>
      </c>
      <c r="AC73" s="94">
        <f ca="1">TblProd[[#This Row],[Platinum]]</f>
        <v>183434</v>
      </c>
      <c r="AD73" s="215"/>
      <c r="AE73" s="45">
        <f ca="1">TblExplore[[#This Row],[Land]]-TblExplore[[#This Row],[Land Bonus]]*20</f>
        <v>50</v>
      </c>
      <c r="AF73" s="94">
        <f ca="1">ROUND((0.6*TblExplore[[#This Row],[Land-DB]]^1.299 + IF(TblExplore[[#This Row],[Land-DB]]&lt;1520, (-0.001*(TblExplore[[#This Row],[Land-DB]]^2)+1.91*TblExplore[[#This Row],[Land-DB]]-593), 0))*(1+ tech_2_6*Techs!AC73 + tech_2_9*Techs!AF73 + tech_3_7*Techs!AN73 + Overview!$I$33),0)</f>
        <v>-403</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-456</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46182.916666666497</v>
      </c>
      <c r="AB74" s="94">
        <f ca="1">TblMili[[#This Row],[Draftees]]</f>
        <v>536</v>
      </c>
      <c r="AC74" s="94">
        <f ca="1">TblProd[[#This Row],[Platinum]]</f>
        <v>184068</v>
      </c>
      <c r="AD74" s="215"/>
      <c r="AE74" s="45">
        <f ca="1">TblExplore[[#This Row],[Land]]-TblExplore[[#This Row],[Land Bonus]]*20</f>
        <v>50</v>
      </c>
      <c r="AF74" s="94">
        <f ca="1">ROUND((0.6*TblExplore[[#This Row],[Land-DB]]^1.299 + IF(TblExplore[[#This Row],[Land-DB]]&lt;1520, (-0.001*(TblExplore[[#This Row],[Land-DB]]^2)+1.91*TblExplore[[#This Row],[Land-DB]]-593), 0))*(1+ tech_2_6*Techs!AC74 + tech_2_9*Techs!AF74 + tech_3_7*Techs!AN74 + Overview!$I$33),0)</f>
        <v>-403</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-457</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46182.958333333161</v>
      </c>
      <c r="AB75" s="94">
        <f ca="1">TblMili[[#This Row],[Draftees]]</f>
        <v>538</v>
      </c>
      <c r="AC75" s="94">
        <f ca="1">TblProd[[#This Row],[Platinum]]</f>
        <v>184697</v>
      </c>
      <c r="AD75" s="215"/>
      <c r="AE75" s="45">
        <f ca="1">TblExplore[[#This Row],[Land]]-TblExplore[[#This Row],[Land Bonus]]*20</f>
        <v>50</v>
      </c>
      <c r="AF75" s="94">
        <f ca="1">ROUND((0.6*TblExplore[[#This Row],[Land-DB]]^1.299 + IF(TblExplore[[#This Row],[Land-DB]]&lt;1520, (-0.001*(TblExplore[[#This Row],[Land-DB]]^2)+1.91*TblExplore[[#This Row],[Land-DB]]-593), 0))*(1+ tech_2_6*Techs!AC75 + tech_2_9*Techs!AF75 + tech_3_7*Techs!AN75 + Overview!$I$33),0)</f>
        <v>-403</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-459</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46182.999999999825</v>
      </c>
      <c r="AB76" s="430">
        <f ca="1">TblMili[[#This Row],[Draftees]]</f>
        <v>540</v>
      </c>
      <c r="AC76" s="430">
        <f ca="1">TblProd[[#This Row],[Platinum]]</f>
        <v>185320</v>
      </c>
      <c r="AD76" s="215"/>
      <c r="AE76" s="433">
        <f ca="1">TblExplore[[#This Row],[Land]]-TblExplore[[#This Row],[Land Bonus]]*20</f>
        <v>50</v>
      </c>
      <c r="AF76" s="430">
        <f ca="1">ROUND((0.6*TblExplore[[#This Row],[Land-DB]]^1.299 + IF(TblExplore[[#This Row],[Land-DB]]&lt;1520, (-0.001*(TblExplore[[#This Row],[Land-DB]]^2)+1.91*TblExplore[[#This Row],[Land-DB]]-593), 0))*(1+ tech_2_6*Techs!AC76 + tech_2_9*Techs!AF76 + tech_3_7*Techs!AN76 + Overview!$I$33),0)</f>
        <v>-403</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-460</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46183.04166666649</v>
      </c>
      <c r="AB77" s="94">
        <f ca="1">TblMili[[#This Row],[Draftees]]</f>
        <v>542</v>
      </c>
      <c r="AC77" s="94">
        <f ca="1">TblProd[[#This Row],[Platinum]]</f>
        <v>185938</v>
      </c>
      <c r="AD77" s="215"/>
      <c r="AE77" s="45">
        <f ca="1">TblExplore[[#This Row],[Land]]-TblExplore[[#This Row],[Land Bonus]]*20</f>
        <v>50</v>
      </c>
      <c r="AF77" s="94">
        <f ca="1">ROUND((0.6*TblExplore[[#This Row],[Land-DB]]^1.299 + IF(TblExplore[[#This Row],[Land-DB]]&lt;1520, (-0.001*(TblExplore[[#This Row],[Land-DB]]^2)+1.91*TblExplore[[#This Row],[Land-DB]]-593), 0))*(1+ tech_2_6*Techs!AC77 + tech_2_9*Techs!AF77 + tech_3_7*Techs!AN77 + Overview!$I$33),0)</f>
        <v>-403</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-462</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46183.083333333154</v>
      </c>
      <c r="AB78" s="94">
        <f ca="1">TblMili[[#This Row],[Draftees]]</f>
        <v>544</v>
      </c>
      <c r="AC78" s="94">
        <f ca="1">TblProd[[#This Row],[Platinum]]</f>
        <v>186550</v>
      </c>
      <c r="AD78" s="215"/>
      <c r="AE78" s="45">
        <f ca="1">TblExplore[[#This Row],[Land]]-TblExplore[[#This Row],[Land Bonus]]*20</f>
        <v>50</v>
      </c>
      <c r="AF78" s="94">
        <f ca="1">ROUND((0.6*TblExplore[[#This Row],[Land-DB]]^1.299 + IF(TblExplore[[#This Row],[Land-DB]]&lt;1520, (-0.001*(TblExplore[[#This Row],[Land-DB]]^2)+1.91*TblExplore[[#This Row],[Land-DB]]-593), 0))*(1+ tech_2_6*Techs!AC78 + tech_2_9*Techs!AF78 + tech_3_7*Techs!AN78 + Overview!$I$33),0)</f>
        <v>-403</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-463</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46183.124999999818</v>
      </c>
      <c r="AB79" s="94">
        <f ca="1">TblMili[[#This Row],[Draftees]]</f>
        <v>546</v>
      </c>
      <c r="AC79" s="94">
        <f ca="1">TblProd[[#This Row],[Platinum]]</f>
        <v>187157</v>
      </c>
      <c r="AD79" s="215"/>
      <c r="AE79" s="45">
        <f ca="1">TblExplore[[#This Row],[Land]]-TblExplore[[#This Row],[Land Bonus]]*20</f>
        <v>50</v>
      </c>
      <c r="AF79" s="94">
        <f ca="1">ROUND((0.6*TblExplore[[#This Row],[Land-DB]]^1.299 + IF(TblExplore[[#This Row],[Land-DB]]&lt;1520, (-0.001*(TblExplore[[#This Row],[Land-DB]]^2)+1.91*TblExplore[[#This Row],[Land-DB]]-593), 0))*(1+ tech_2_6*Techs!AC79 + tech_2_9*Techs!AF79 + tech_3_7*Techs!AN79 + Overview!$I$33),0)</f>
        <v>-403</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-465</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46183.166666666482</v>
      </c>
      <c r="AB80" s="94">
        <f ca="1">TblMili[[#This Row],[Draftees]]</f>
        <v>548</v>
      </c>
      <c r="AC80" s="94">
        <f ca="1">TblProd[[#This Row],[Platinum]]</f>
        <v>187759</v>
      </c>
      <c r="AD80" s="215"/>
      <c r="AE80" s="45">
        <f ca="1">TblExplore[[#This Row],[Land]]-TblExplore[[#This Row],[Land Bonus]]*20</f>
        <v>50</v>
      </c>
      <c r="AF80" s="94">
        <f ca="1">ROUND((0.6*TblExplore[[#This Row],[Land-DB]]^1.299 + IF(TblExplore[[#This Row],[Land-DB]]&lt;1520, (-0.001*(TblExplore[[#This Row],[Land-DB]]^2)+1.91*TblExplore[[#This Row],[Land-DB]]-593), 0))*(1+ tech_2_6*Techs!AC80 + tech_2_9*Techs!AF80 + tech_3_7*Techs!AN80 + Overview!$I$33),0)</f>
        <v>-403</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-466</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46183.208333333147</v>
      </c>
      <c r="AB81" s="94">
        <f ca="1">TblMili[[#This Row],[Draftees]]</f>
        <v>550</v>
      </c>
      <c r="AC81" s="94">
        <f ca="1">TblProd[[#This Row],[Platinum]]</f>
        <v>188355</v>
      </c>
      <c r="AD81" s="215"/>
      <c r="AE81" s="45">
        <f ca="1">TblExplore[[#This Row],[Land]]-TblExplore[[#This Row],[Land Bonus]]*20</f>
        <v>50</v>
      </c>
      <c r="AF81" s="94">
        <f ca="1">ROUND((0.6*TblExplore[[#This Row],[Land-DB]]^1.299 + IF(TblExplore[[#This Row],[Land-DB]]&lt;1520, (-0.001*(TblExplore[[#This Row],[Land-DB]]^2)+1.91*TblExplore[[#This Row],[Land-DB]]-593), 0))*(1+ tech_2_6*Techs!AC81 + tech_2_9*Techs!AF81 + tech_3_7*Techs!AN81 + Overview!$I$33),0)</f>
        <v>-403</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-468</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46183.249999999811</v>
      </c>
      <c r="AB82" s="94">
        <f ca="1">TblMili[[#This Row],[Draftees]]</f>
        <v>552</v>
      </c>
      <c r="AC82" s="94">
        <f ca="1">TblProd[[#This Row],[Platinum]]</f>
        <v>188946</v>
      </c>
      <c r="AD82" s="215"/>
      <c r="AE82" s="45">
        <f ca="1">TblExplore[[#This Row],[Land]]-TblExplore[[#This Row],[Land Bonus]]*20</f>
        <v>50</v>
      </c>
      <c r="AF82" s="94">
        <f ca="1">ROUND((0.6*TblExplore[[#This Row],[Land-DB]]^1.299 + IF(TblExplore[[#This Row],[Land-DB]]&lt;1520, (-0.001*(TblExplore[[#This Row],[Land-DB]]^2)+1.91*TblExplore[[#This Row],[Land-DB]]-593), 0))*(1+ tech_2_6*Techs!AC82 + tech_2_9*Techs!AF82 + tech_3_7*Techs!AN82 + Overview!$I$33),0)</f>
        <v>-403</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-469</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46183.291666666475</v>
      </c>
      <c r="AB83" s="94">
        <f ca="1">TblMili[[#This Row],[Draftees]]</f>
        <v>554</v>
      </c>
      <c r="AC83" s="94">
        <f ca="1">TblProd[[#This Row],[Platinum]]</f>
        <v>189531</v>
      </c>
      <c r="AD83" s="215"/>
      <c r="AE83" s="45">
        <f ca="1">TblExplore[[#This Row],[Land]]-TblExplore[[#This Row],[Land Bonus]]*20</f>
        <v>50</v>
      </c>
      <c r="AF83" s="94">
        <f ca="1">ROUND((0.6*TblExplore[[#This Row],[Land-DB]]^1.299 + IF(TblExplore[[#This Row],[Land-DB]]&lt;1520, (-0.001*(TblExplore[[#This Row],[Land-DB]]^2)+1.91*TblExplore[[#This Row],[Land-DB]]-593), 0))*(1+ tech_2_6*Techs!AC83 + tech_2_9*Techs!AF83 + tech_3_7*Techs!AN83 + Overview!$I$33),0)</f>
        <v>-403</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-471</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46183.333333333139</v>
      </c>
      <c r="AB84" s="94">
        <f ca="1">TblMili[[#This Row],[Draftees]]</f>
        <v>556</v>
      </c>
      <c r="AC84" s="94">
        <f ca="1">TblProd[[#This Row],[Platinum]]</f>
        <v>190111</v>
      </c>
      <c r="AD84" s="215"/>
      <c r="AE84" s="45">
        <f ca="1">TblExplore[[#This Row],[Land]]-TblExplore[[#This Row],[Land Bonus]]*20</f>
        <v>50</v>
      </c>
      <c r="AF84" s="94">
        <f ca="1">ROUND((0.6*TblExplore[[#This Row],[Land-DB]]^1.299 + IF(TblExplore[[#This Row],[Land-DB]]&lt;1520, (-0.001*(TblExplore[[#This Row],[Land-DB]]^2)+1.91*TblExplore[[#This Row],[Land-DB]]-593), 0))*(1+ tech_2_6*Techs!AC84 + tech_2_9*Techs!AF84 + tech_3_7*Techs!AN84 + Overview!$I$33),0)</f>
        <v>-403</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-472</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46183.374999999804</v>
      </c>
      <c r="AB85" s="94">
        <f ca="1">TblMili[[#This Row],[Draftees]]</f>
        <v>558</v>
      </c>
      <c r="AC85" s="94">
        <f ca="1">TblProd[[#This Row],[Platinum]]</f>
        <v>190686</v>
      </c>
      <c r="AD85" s="215"/>
      <c r="AE85" s="45">
        <f ca="1">TblExplore[[#This Row],[Land]]-TblExplore[[#This Row],[Land Bonus]]*20</f>
        <v>50</v>
      </c>
      <c r="AF85" s="94">
        <f ca="1">ROUND((0.6*TblExplore[[#This Row],[Land-DB]]^1.299 + IF(TblExplore[[#This Row],[Land-DB]]&lt;1520, (-0.001*(TblExplore[[#This Row],[Land-DB]]^2)+1.91*TblExplore[[#This Row],[Land-DB]]-593), 0))*(1+ tech_2_6*Techs!AC85 + tech_2_9*Techs!AF85 + tech_3_7*Techs!AN85 + Overview!$I$33),0)</f>
        <v>-403</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-474</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46183.416666666468</v>
      </c>
      <c r="AB86" s="94">
        <f ca="1">TblMili[[#This Row],[Draftees]]</f>
        <v>560</v>
      </c>
      <c r="AC86" s="94">
        <f ca="1">TblProd[[#This Row],[Platinum]]</f>
        <v>191255</v>
      </c>
      <c r="AD86" s="215"/>
      <c r="AE86" s="45">
        <f ca="1">TblExplore[[#This Row],[Land]]-TblExplore[[#This Row],[Land Bonus]]*20</f>
        <v>50</v>
      </c>
      <c r="AF86" s="94">
        <f ca="1">ROUND((0.6*TblExplore[[#This Row],[Land-DB]]^1.299 + IF(TblExplore[[#This Row],[Land-DB]]&lt;1520, (-0.001*(TblExplore[[#This Row],[Land-DB]]^2)+1.91*TblExplore[[#This Row],[Land-DB]]-593), 0))*(1+ tech_2_6*Techs!AC86 + tech_2_9*Techs!AF86 + tech_3_7*Techs!AN86 + Overview!$I$33),0)</f>
        <v>-403</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-475</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46183.458333333132</v>
      </c>
      <c r="AB87" s="94">
        <f ca="1">TblMili[[#This Row],[Draftees]]</f>
        <v>562</v>
      </c>
      <c r="AC87" s="94">
        <f ca="1">TblProd[[#This Row],[Platinum]]</f>
        <v>191819</v>
      </c>
      <c r="AD87" s="215"/>
      <c r="AE87" s="45">
        <f ca="1">TblExplore[[#This Row],[Land]]-TblExplore[[#This Row],[Land Bonus]]*20</f>
        <v>50</v>
      </c>
      <c r="AF87" s="94">
        <f ca="1">ROUND((0.6*TblExplore[[#This Row],[Land-DB]]^1.299 + IF(TblExplore[[#This Row],[Land-DB]]&lt;1520, (-0.001*(TblExplore[[#This Row],[Land-DB]]^2)+1.91*TblExplore[[#This Row],[Land-DB]]-593), 0))*(1+ tech_2_6*Techs!AC87 + tech_2_9*Techs!AF87 + tech_3_7*Techs!AN87 + Overview!$I$33),0)</f>
        <v>-403</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-476</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46183.499999999796</v>
      </c>
      <c r="AB88" s="94">
        <f ca="1">TblMili[[#This Row],[Draftees]]</f>
        <v>564</v>
      </c>
      <c r="AC88" s="94">
        <f ca="1">TblProd[[#This Row],[Platinum]]</f>
        <v>192377</v>
      </c>
      <c r="AD88" s="215"/>
      <c r="AE88" s="45">
        <f ca="1">TblExplore[[#This Row],[Land]]-TblExplore[[#This Row],[Land Bonus]]*20</f>
        <v>50</v>
      </c>
      <c r="AF88" s="94">
        <f ca="1">ROUND((0.6*TblExplore[[#This Row],[Land-DB]]^1.299 + IF(TblExplore[[#This Row],[Land-DB]]&lt;1520, (-0.001*(TblExplore[[#This Row],[Land-DB]]^2)+1.91*TblExplore[[#This Row],[Land-DB]]-593), 0))*(1+ tech_2_6*Techs!AC88 + tech_2_9*Techs!AF88 + tech_3_7*Techs!AN88 + Overview!$I$33),0)</f>
        <v>-403</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-478</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46183.541666666461</v>
      </c>
      <c r="AB89" s="94">
        <f ca="1">TblMili[[#This Row],[Draftees]]</f>
        <v>566</v>
      </c>
      <c r="AC89" s="94">
        <f ca="1">TblProd[[#This Row],[Platinum]]</f>
        <v>192930</v>
      </c>
      <c r="AD89" s="215"/>
      <c r="AE89" s="45">
        <f ca="1">TblExplore[[#This Row],[Land]]-TblExplore[[#This Row],[Land Bonus]]*20</f>
        <v>50</v>
      </c>
      <c r="AF89" s="94">
        <f ca="1">ROUND((0.6*TblExplore[[#This Row],[Land-DB]]^1.299 + IF(TblExplore[[#This Row],[Land-DB]]&lt;1520, (-0.001*(TblExplore[[#This Row],[Land-DB]]^2)+1.91*TblExplore[[#This Row],[Land-DB]]-593), 0))*(1+ tech_2_6*Techs!AC89 + tech_2_9*Techs!AF89 + tech_3_7*Techs!AN89 + Overview!$I$33),0)</f>
        <v>-403</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-479</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46183.583333333125</v>
      </c>
      <c r="AB90" s="94">
        <f ca="1">TblMili[[#This Row],[Draftees]]</f>
        <v>568</v>
      </c>
      <c r="AC90" s="94">
        <f ca="1">TblProd[[#This Row],[Platinum]]</f>
        <v>193478</v>
      </c>
      <c r="AD90" s="215"/>
      <c r="AE90" s="45">
        <f ca="1">TblExplore[[#This Row],[Land]]-TblExplore[[#This Row],[Land Bonus]]*20</f>
        <v>50</v>
      </c>
      <c r="AF90" s="94">
        <f ca="1">ROUND((0.6*TblExplore[[#This Row],[Land-DB]]^1.299 + IF(TblExplore[[#This Row],[Land-DB]]&lt;1520, (-0.001*(TblExplore[[#This Row],[Land-DB]]^2)+1.91*TblExplore[[#This Row],[Land-DB]]-593), 0))*(1+ tech_2_6*Techs!AC90 + tech_2_9*Techs!AF90 + tech_3_7*Techs!AN90 + Overview!$I$33),0)</f>
        <v>-403</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-481</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46183.624999999789</v>
      </c>
      <c r="AB91" s="94">
        <f ca="1">TblMili[[#This Row],[Draftees]]</f>
        <v>570</v>
      </c>
      <c r="AC91" s="94">
        <f ca="1">TblProd[[#This Row],[Platinum]]</f>
        <v>194020</v>
      </c>
      <c r="AD91" s="215"/>
      <c r="AE91" s="45">
        <f ca="1">TblExplore[[#This Row],[Land]]-TblExplore[[#This Row],[Land Bonus]]*20</f>
        <v>50</v>
      </c>
      <c r="AF91" s="94">
        <f ca="1">ROUND((0.6*TblExplore[[#This Row],[Land-DB]]^1.299 + IF(TblExplore[[#This Row],[Land-DB]]&lt;1520, (-0.001*(TblExplore[[#This Row],[Land-DB]]^2)+1.91*TblExplore[[#This Row],[Land-DB]]-593), 0))*(1+ tech_2_6*Techs!AC91 + tech_2_9*Techs!AF91 + tech_3_7*Techs!AN91 + Overview!$I$33),0)</f>
        <v>-403</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-482</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46183.666666666453</v>
      </c>
      <c r="AB92" s="94">
        <f ca="1">TblMili[[#This Row],[Draftees]]</f>
        <v>572</v>
      </c>
      <c r="AC92" s="94">
        <f ca="1">TblProd[[#This Row],[Platinum]]</f>
        <v>194557</v>
      </c>
      <c r="AD92" s="215"/>
      <c r="AE92" s="45">
        <f ca="1">TblExplore[[#This Row],[Land]]-TblExplore[[#This Row],[Land Bonus]]*20</f>
        <v>50</v>
      </c>
      <c r="AF92" s="94">
        <f ca="1">ROUND((0.6*TblExplore[[#This Row],[Land-DB]]^1.299 + IF(TblExplore[[#This Row],[Land-DB]]&lt;1520, (-0.001*(TblExplore[[#This Row],[Land-DB]]^2)+1.91*TblExplore[[#This Row],[Land-DB]]-593), 0))*(1+ tech_2_6*Techs!AC92 + tech_2_9*Techs!AF92 + tech_3_7*Techs!AN92 + Overview!$I$33),0)</f>
        <v>-403</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-483</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46183.708333333117</v>
      </c>
      <c r="AB93" s="94">
        <f ca="1">TblMili[[#This Row],[Draftees]]</f>
        <v>574</v>
      </c>
      <c r="AC93" s="94">
        <f ca="1">TblProd[[#This Row],[Platinum]]</f>
        <v>195088</v>
      </c>
      <c r="AD93" s="215"/>
      <c r="AE93" s="45">
        <f ca="1">TblExplore[[#This Row],[Land]]-TblExplore[[#This Row],[Land Bonus]]*20</f>
        <v>50</v>
      </c>
      <c r="AF93" s="94">
        <f ca="1">ROUND((0.6*TblExplore[[#This Row],[Land-DB]]^1.299 + IF(TblExplore[[#This Row],[Land-DB]]&lt;1520, (-0.001*(TblExplore[[#This Row],[Land-DB]]^2)+1.91*TblExplore[[#This Row],[Land-DB]]-593), 0))*(1+ tech_2_6*Techs!AC93 + tech_2_9*Techs!AF93 + tech_3_7*Techs!AN93 + Overview!$I$33),0)</f>
        <v>-403</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-485</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46183.749999999782</v>
      </c>
      <c r="AB94" s="94">
        <f ca="1">TblMili[[#This Row],[Draftees]]</f>
        <v>576</v>
      </c>
      <c r="AC94" s="94">
        <f ca="1">TblProd[[#This Row],[Platinum]]</f>
        <v>195614</v>
      </c>
      <c r="AD94" s="215"/>
      <c r="AE94" s="45">
        <f ca="1">TblExplore[[#This Row],[Land]]-TblExplore[[#This Row],[Land Bonus]]*20</f>
        <v>50</v>
      </c>
      <c r="AF94" s="94">
        <f ca="1">ROUND((0.6*TblExplore[[#This Row],[Land-DB]]^1.299 + IF(TblExplore[[#This Row],[Land-DB]]&lt;1520, (-0.001*(TblExplore[[#This Row],[Land-DB]]^2)+1.91*TblExplore[[#This Row],[Land-DB]]-593), 0))*(1+ tech_2_6*Techs!AC94 + tech_2_9*Techs!AF94 + tech_3_7*Techs!AN94 + Overview!$I$33),0)</f>
        <v>-403</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-486</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46183.791666666446</v>
      </c>
      <c r="AB95" s="94">
        <f ca="1">TblMili[[#This Row],[Draftees]]</f>
        <v>578</v>
      </c>
      <c r="AC95" s="94">
        <f ca="1">TblProd[[#This Row],[Platinum]]</f>
        <v>196135</v>
      </c>
      <c r="AD95" s="215"/>
      <c r="AE95" s="45">
        <f ca="1">TblExplore[[#This Row],[Land]]-TblExplore[[#This Row],[Land Bonus]]*20</f>
        <v>50</v>
      </c>
      <c r="AF95" s="94">
        <f ca="1">ROUND((0.6*TblExplore[[#This Row],[Land-DB]]^1.299 + IF(TblExplore[[#This Row],[Land-DB]]&lt;1520, (-0.001*(TblExplore[[#This Row],[Land-DB]]^2)+1.91*TblExplore[[#This Row],[Land-DB]]-593), 0))*(1+ tech_2_6*Techs!AC95 + tech_2_9*Techs!AF95 + tech_3_7*Techs!AN95 + Overview!$I$33),0)</f>
        <v>-403</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-487</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46183.83333333311</v>
      </c>
      <c r="AB96" s="94">
        <f ca="1">TblMili[[#This Row],[Draftees]]</f>
        <v>580</v>
      </c>
      <c r="AC96" s="94">
        <f ca="1">TblProd[[#This Row],[Platinum]]</f>
        <v>196650</v>
      </c>
      <c r="AD96" s="215"/>
      <c r="AE96" s="45">
        <f ca="1">TblExplore[[#This Row],[Land]]-TblExplore[[#This Row],[Land Bonus]]*20</f>
        <v>50</v>
      </c>
      <c r="AF96" s="94">
        <f ca="1">ROUND((0.6*TblExplore[[#This Row],[Land-DB]]^1.299 + IF(TblExplore[[#This Row],[Land-DB]]&lt;1520, (-0.001*(TblExplore[[#This Row],[Land-DB]]^2)+1.91*TblExplore[[#This Row],[Land-DB]]-593), 0))*(1+ tech_2_6*Techs!AC96 + tech_2_9*Techs!AF96 + tech_3_7*Techs!AN96 + Overview!$I$33),0)</f>
        <v>-403</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-488</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46183.874999999774</v>
      </c>
      <c r="AB97" s="94">
        <f ca="1">TblMili[[#This Row],[Draftees]]</f>
        <v>582</v>
      </c>
      <c r="AC97" s="94">
        <f ca="1">TblProd[[#This Row],[Platinum]]</f>
        <v>197160</v>
      </c>
      <c r="AD97" s="215"/>
      <c r="AE97" s="45">
        <f ca="1">TblExplore[[#This Row],[Land]]-TblExplore[[#This Row],[Land Bonus]]*20</f>
        <v>50</v>
      </c>
      <c r="AF97" s="94">
        <f ca="1">ROUND((0.6*TblExplore[[#This Row],[Land-DB]]^1.299 + IF(TblExplore[[#This Row],[Land-DB]]&lt;1520, (-0.001*(TblExplore[[#This Row],[Land-DB]]^2)+1.91*TblExplore[[#This Row],[Land-DB]]-593), 0))*(1+ tech_2_6*Techs!AC97 + tech_2_9*Techs!AF97 + tech_3_7*Techs!AN97 + Overview!$I$33),0)</f>
        <v>-403</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-490</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46183.916666666439</v>
      </c>
      <c r="AB98" s="94">
        <f ca="1">TblMili[[#This Row],[Draftees]]</f>
        <v>584</v>
      </c>
      <c r="AC98" s="94">
        <f ca="1">TblProd[[#This Row],[Platinum]]</f>
        <v>197664</v>
      </c>
      <c r="AD98" s="215"/>
      <c r="AE98" s="45">
        <f ca="1">TblExplore[[#This Row],[Land]]-TblExplore[[#This Row],[Land Bonus]]*20</f>
        <v>50</v>
      </c>
      <c r="AF98" s="94">
        <f ca="1">ROUND((0.6*TblExplore[[#This Row],[Land-DB]]^1.299 + IF(TblExplore[[#This Row],[Land-DB]]&lt;1520, (-0.001*(TblExplore[[#This Row],[Land-DB]]^2)+1.91*TblExplore[[#This Row],[Land-DB]]-593), 0))*(1+ tech_2_6*Techs!AC98 + tech_2_9*Techs!AF98 + tech_3_7*Techs!AN98 + Overview!$I$33),0)</f>
        <v>-403</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-491</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46183.958333333103</v>
      </c>
      <c r="AB99" s="94">
        <f ca="1">TblMili[[#This Row],[Draftees]]</f>
        <v>586</v>
      </c>
      <c r="AC99" s="94">
        <f ca="1">TblProd[[#This Row],[Platinum]]</f>
        <v>198163</v>
      </c>
      <c r="AD99" s="215"/>
      <c r="AE99" s="45">
        <f ca="1">TblExplore[[#This Row],[Land]]-TblExplore[[#This Row],[Land Bonus]]*20</f>
        <v>50</v>
      </c>
      <c r="AF99" s="94">
        <f ca="1">ROUND((0.6*TblExplore[[#This Row],[Land-DB]]^1.299 + IF(TblExplore[[#This Row],[Land-DB]]&lt;1520, (-0.001*(TblExplore[[#This Row],[Land-DB]]^2)+1.91*TblExplore[[#This Row],[Land-DB]]-593), 0))*(1+ tech_2_6*Techs!AC99 + tech_2_9*Techs!AF99 + tech_3_7*Techs!AN99 + Overview!$I$33),0)</f>
        <v>-403</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-492</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46183.999999999767</v>
      </c>
      <c r="AB100" s="94">
        <f ca="1">TblMili[[#This Row],[Draftees]]</f>
        <v>588</v>
      </c>
      <c r="AC100" s="94">
        <f ca="1">TblProd[[#This Row],[Platinum]]</f>
        <v>198657</v>
      </c>
      <c r="AD100" s="215"/>
      <c r="AE100" s="45">
        <f ca="1">TblExplore[[#This Row],[Land]]-TblExplore[[#This Row],[Land Bonus]]*20</f>
        <v>50</v>
      </c>
      <c r="AF100" s="94">
        <f ca="1">ROUND((0.6*TblExplore[[#This Row],[Land-DB]]^1.299 + IF(TblExplore[[#This Row],[Land-DB]]&lt;1520, (-0.001*(TblExplore[[#This Row],[Land-DB]]^2)+1.91*TblExplore[[#This Row],[Land-DB]]-593), 0))*(1+ tech_2_6*Techs!AC100 + tech_2_9*Techs!AF100 + tech_3_7*Techs!AN100 + Overview!$I$33),0)</f>
        <v>-403</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-493</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46184.041666666431</v>
      </c>
      <c r="AB101" s="94">
        <f ca="1">TblMili[[#This Row],[Draftees]]</f>
        <v>590</v>
      </c>
      <c r="AC101" s="94">
        <f ca="1">TblProd[[#This Row],[Platinum]]</f>
        <v>199145</v>
      </c>
      <c r="AD101" s="215"/>
      <c r="AE101" s="45">
        <f ca="1">TblExplore[[#This Row],[Land]]-TblExplore[[#This Row],[Land Bonus]]*20</f>
        <v>50</v>
      </c>
      <c r="AF101" s="94">
        <f ca="1">ROUND((0.6*TblExplore[[#This Row],[Land-DB]]^1.299 + IF(TblExplore[[#This Row],[Land-DB]]&lt;1520, (-0.001*(TblExplore[[#This Row],[Land-DB]]^2)+1.91*TblExplore[[#This Row],[Land-DB]]-593), 0))*(1+ tech_2_6*Techs!AC101 + tech_2_9*Techs!AF101 + tech_3_7*Techs!AN101 + Overview!$I$33),0)</f>
        <v>-403</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-495</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46184.083333333096</v>
      </c>
      <c r="AB102" s="94">
        <f ca="1">TblMili[[#This Row],[Draftees]]</f>
        <v>592</v>
      </c>
      <c r="AC102" s="94">
        <f ca="1">TblProd[[#This Row],[Platinum]]</f>
        <v>199628</v>
      </c>
      <c r="AD102" s="215"/>
      <c r="AE102" s="45">
        <f ca="1">TblExplore[[#This Row],[Land]]-TblExplore[[#This Row],[Land Bonus]]*20</f>
        <v>50</v>
      </c>
      <c r="AF102" s="94">
        <f ca="1">ROUND((0.6*TblExplore[[#This Row],[Land-DB]]^1.299 + IF(TblExplore[[#This Row],[Land-DB]]&lt;1520, (-0.001*(TblExplore[[#This Row],[Land-DB]]^2)+1.91*TblExplore[[#This Row],[Land-DB]]-593), 0))*(1+ tech_2_6*Techs!AC102 + tech_2_9*Techs!AF102 + tech_3_7*Techs!AN102 + Overview!$I$33),0)</f>
        <v>-403</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-496</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46184.12499999976</v>
      </c>
      <c r="AB103" s="94">
        <f ca="1">TblMili[[#This Row],[Draftees]]</f>
        <v>594</v>
      </c>
      <c r="AC103" s="94">
        <f ca="1">TblProd[[#This Row],[Platinum]]</f>
        <v>200105</v>
      </c>
      <c r="AD103" s="215"/>
      <c r="AE103" s="45">
        <f ca="1">TblExplore[[#This Row],[Land]]-TblExplore[[#This Row],[Land Bonus]]*20</f>
        <v>50</v>
      </c>
      <c r="AF103" s="94">
        <f ca="1">ROUND((0.6*TblExplore[[#This Row],[Land-DB]]^1.299 + IF(TblExplore[[#This Row],[Land-DB]]&lt;1520, (-0.001*(TblExplore[[#This Row],[Land-DB]]^2)+1.91*TblExplore[[#This Row],[Land-DB]]-593), 0))*(1+ tech_2_6*Techs!AC103 + tech_2_9*Techs!AF103 + tech_3_7*Techs!AN103 + Overview!$I$33),0)</f>
        <v>-403</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-497</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46184.166666666424</v>
      </c>
      <c r="AB104" s="94">
        <f ca="1">TblMili[[#This Row],[Draftees]]</f>
        <v>596</v>
      </c>
      <c r="AC104" s="94">
        <f ca="1">TblProd[[#This Row],[Platinum]]</f>
        <v>200577</v>
      </c>
      <c r="AD104" s="215"/>
      <c r="AE104" s="45">
        <f ca="1">TblExplore[[#This Row],[Land]]-TblExplore[[#This Row],[Land Bonus]]*20</f>
        <v>50</v>
      </c>
      <c r="AF104" s="94">
        <f ca="1">ROUND((0.6*TblExplore[[#This Row],[Land-DB]]^1.299 + IF(TblExplore[[#This Row],[Land-DB]]&lt;1520, (-0.001*(TblExplore[[#This Row],[Land-DB]]^2)+1.91*TblExplore[[#This Row],[Land-DB]]-593), 0))*(1+ tech_2_6*Techs!AC104 + tech_2_9*Techs!AF104 + tech_3_7*Techs!AN104 + Overview!$I$33),0)</f>
        <v>-403</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-498</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46184.208333333088</v>
      </c>
      <c r="AB105" s="94">
        <f ca="1">TblMili[[#This Row],[Draftees]]</f>
        <v>598</v>
      </c>
      <c r="AC105" s="94">
        <f ca="1">TblProd[[#This Row],[Platinum]]</f>
        <v>201044</v>
      </c>
      <c r="AD105" s="215"/>
      <c r="AE105" s="45">
        <f ca="1">TblExplore[[#This Row],[Land]]-TblExplore[[#This Row],[Land Bonus]]*20</f>
        <v>50</v>
      </c>
      <c r="AF105" s="94">
        <f ca="1">ROUND((0.6*TblExplore[[#This Row],[Land-DB]]^1.299 + IF(TblExplore[[#This Row],[Land-DB]]&lt;1520, (-0.001*(TblExplore[[#This Row],[Land-DB]]^2)+1.91*TblExplore[[#This Row],[Land-DB]]-593), 0))*(1+ tech_2_6*Techs!AC105 + tech_2_9*Techs!AF105 + tech_3_7*Techs!AN105 + Overview!$I$33),0)</f>
        <v>-403</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-499</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46184.249999999753</v>
      </c>
      <c r="AB106" s="94">
        <f ca="1">TblMili[[#This Row],[Draftees]]</f>
        <v>600</v>
      </c>
      <c r="AC106" s="94">
        <f ca="1">TblProd[[#This Row],[Platinum]]</f>
        <v>201505</v>
      </c>
      <c r="AD106" s="215"/>
      <c r="AE106" s="45">
        <f ca="1">TblExplore[[#This Row],[Land]]-TblExplore[[#This Row],[Land Bonus]]*20</f>
        <v>50</v>
      </c>
      <c r="AF106" s="94">
        <f ca="1">ROUND((0.6*TblExplore[[#This Row],[Land-DB]]^1.299 + IF(TblExplore[[#This Row],[Land-DB]]&lt;1520, (-0.001*(TblExplore[[#This Row],[Land-DB]]^2)+1.91*TblExplore[[#This Row],[Land-DB]]-593), 0))*(1+ tech_2_6*Techs!AC106 + tech_2_9*Techs!AF106 + tech_3_7*Techs!AN106 + Overview!$I$33),0)</f>
        <v>-403</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-501</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46184.291666666417</v>
      </c>
      <c r="AB107" s="94">
        <f ca="1">TblMili[[#This Row],[Draftees]]</f>
        <v>602</v>
      </c>
      <c r="AC107" s="94">
        <f ca="1">TblProd[[#This Row],[Platinum]]</f>
        <v>201961</v>
      </c>
      <c r="AD107" s="215"/>
      <c r="AE107" s="45">
        <f ca="1">TblExplore[[#This Row],[Land]]-TblExplore[[#This Row],[Land Bonus]]*20</f>
        <v>50</v>
      </c>
      <c r="AF107" s="94">
        <f ca="1">ROUND((0.6*TblExplore[[#This Row],[Land-DB]]^1.299 + IF(TblExplore[[#This Row],[Land-DB]]&lt;1520, (-0.001*(TblExplore[[#This Row],[Land-DB]]^2)+1.91*TblExplore[[#This Row],[Land-DB]]-593), 0))*(1+ tech_2_6*Techs!AC107 + tech_2_9*Techs!AF107 + tech_3_7*Techs!AN107 + Overview!$I$33),0)</f>
        <v>-403</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-502</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46184.333333333081</v>
      </c>
      <c r="AB108" s="94">
        <f ca="1">TblMili[[#This Row],[Draftees]]</f>
        <v>604</v>
      </c>
      <c r="AC108" s="94">
        <f ca="1">TblProd[[#This Row],[Platinum]]</f>
        <v>202411</v>
      </c>
      <c r="AD108" s="215"/>
      <c r="AE108" s="45">
        <f ca="1">TblExplore[[#This Row],[Land]]-TblExplore[[#This Row],[Land Bonus]]*20</f>
        <v>50</v>
      </c>
      <c r="AF108" s="94">
        <f ca="1">ROUND((0.6*TblExplore[[#This Row],[Land-DB]]^1.299 + IF(TblExplore[[#This Row],[Land-DB]]&lt;1520, (-0.001*(TblExplore[[#This Row],[Land-DB]]^2)+1.91*TblExplore[[#This Row],[Land-DB]]-593), 0))*(1+ tech_2_6*Techs!AC108 + tech_2_9*Techs!AF108 + tech_3_7*Techs!AN108 + Overview!$I$33),0)</f>
        <v>-403</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-503</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46184.374999999745</v>
      </c>
      <c r="AB109" s="94">
        <f ca="1">TblMili[[#This Row],[Draftees]]</f>
        <v>606</v>
      </c>
      <c r="AC109" s="94">
        <f ca="1">TblProd[[#This Row],[Platinum]]</f>
        <v>202856</v>
      </c>
      <c r="AD109" s="215"/>
      <c r="AE109" s="45">
        <f ca="1">TblExplore[[#This Row],[Land]]-TblExplore[[#This Row],[Land Bonus]]*20</f>
        <v>50</v>
      </c>
      <c r="AF109" s="94">
        <f ca="1">ROUND((0.6*TblExplore[[#This Row],[Land-DB]]^1.299 + IF(TblExplore[[#This Row],[Land-DB]]&lt;1520, (-0.001*(TblExplore[[#This Row],[Land-DB]]^2)+1.91*TblExplore[[#This Row],[Land-DB]]-593), 0))*(1+ tech_2_6*Techs!AC109 + tech_2_9*Techs!AF109 + tech_3_7*Techs!AN109 + Overview!$I$33),0)</f>
        <v>-403</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-504</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46184.41666666641</v>
      </c>
      <c r="AB110" s="94">
        <f ca="1">TblMili[[#This Row],[Draftees]]</f>
        <v>608</v>
      </c>
      <c r="AC110" s="94">
        <f ca="1">TblProd[[#This Row],[Platinum]]</f>
        <v>203296</v>
      </c>
      <c r="AD110" s="215"/>
      <c r="AE110" s="45">
        <f ca="1">TblExplore[[#This Row],[Land]]-TblExplore[[#This Row],[Land Bonus]]*20</f>
        <v>50</v>
      </c>
      <c r="AF110" s="94">
        <f ca="1">ROUND((0.6*TblExplore[[#This Row],[Land-DB]]^1.299 + IF(TblExplore[[#This Row],[Land-DB]]&lt;1520, (-0.001*(TblExplore[[#This Row],[Land-DB]]^2)+1.91*TblExplore[[#This Row],[Land-DB]]-593), 0))*(1+ tech_2_6*Techs!AC110 + tech_2_9*Techs!AF110 + tech_3_7*Techs!AN110 + Overview!$I$33),0)</f>
        <v>-403</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-505</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46184.458333333074</v>
      </c>
      <c r="AB111" s="94">
        <f ca="1">TblMili[[#This Row],[Draftees]]</f>
        <v>610</v>
      </c>
      <c r="AC111" s="94">
        <f ca="1">TblProd[[#This Row],[Platinum]]</f>
        <v>203730</v>
      </c>
      <c r="AD111" s="215"/>
      <c r="AE111" s="45">
        <f ca="1">TblExplore[[#This Row],[Land]]-TblExplore[[#This Row],[Land Bonus]]*20</f>
        <v>50</v>
      </c>
      <c r="AF111" s="94">
        <f ca="1">ROUND((0.6*TblExplore[[#This Row],[Land-DB]]^1.299 + IF(TblExplore[[#This Row],[Land-DB]]&lt;1520, (-0.001*(TblExplore[[#This Row],[Land-DB]]^2)+1.91*TblExplore[[#This Row],[Land-DB]]-593), 0))*(1+ tech_2_6*Techs!AC111 + tech_2_9*Techs!AF111 + tech_3_7*Techs!AN111 + Overview!$I$33),0)</f>
        <v>-403</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-506</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46184.499999999738</v>
      </c>
      <c r="AB112" s="94">
        <f ca="1">TblMili[[#This Row],[Draftees]]</f>
        <v>612</v>
      </c>
      <c r="AC112" s="94">
        <f ca="1">TblProd[[#This Row],[Platinum]]</f>
        <v>204159</v>
      </c>
      <c r="AD112" s="215"/>
      <c r="AE112" s="45">
        <f ca="1">TblExplore[[#This Row],[Land]]-TblExplore[[#This Row],[Land Bonus]]*20</f>
        <v>50</v>
      </c>
      <c r="AF112" s="94">
        <f ca="1">ROUND((0.6*TblExplore[[#This Row],[Land-DB]]^1.299 + IF(TblExplore[[#This Row],[Land-DB]]&lt;1520, (-0.001*(TblExplore[[#This Row],[Land-DB]]^2)+1.91*TblExplore[[#This Row],[Land-DB]]-593), 0))*(1+ tech_2_6*Techs!AC112 + tech_2_9*Techs!AF112 + tech_3_7*Techs!AN112 + Overview!$I$33),0)</f>
        <v>-403</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-507</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46184.541666666402</v>
      </c>
      <c r="AB113" s="94">
        <f ca="1">TblMili[[#This Row],[Draftees]]</f>
        <v>614</v>
      </c>
      <c r="AC113" s="94">
        <f ca="1">TblProd[[#This Row],[Platinum]]</f>
        <v>204582</v>
      </c>
      <c r="AD113" s="215"/>
      <c r="AE113" s="45">
        <f ca="1">TblExplore[[#This Row],[Land]]-TblExplore[[#This Row],[Land Bonus]]*20</f>
        <v>50</v>
      </c>
      <c r="AF113" s="94">
        <f ca="1">ROUND((0.6*TblExplore[[#This Row],[Land-DB]]^1.299 + IF(TblExplore[[#This Row],[Land-DB]]&lt;1520, (-0.001*(TblExplore[[#This Row],[Land-DB]]^2)+1.91*TblExplore[[#This Row],[Land-DB]]-593), 0))*(1+ tech_2_6*Techs!AC113 + tech_2_9*Techs!AF113 + tech_3_7*Techs!AN113 + Overview!$I$33),0)</f>
        <v>-403</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-508</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46184.583333333067</v>
      </c>
      <c r="AB114" s="94">
        <f ca="1">TblMili[[#This Row],[Draftees]]</f>
        <v>616</v>
      </c>
      <c r="AC114" s="94">
        <f ca="1">TblProd[[#This Row],[Platinum]]</f>
        <v>205000</v>
      </c>
      <c r="AD114" s="215"/>
      <c r="AE114" s="45">
        <f ca="1">TblExplore[[#This Row],[Land]]-TblExplore[[#This Row],[Land Bonus]]*20</f>
        <v>50</v>
      </c>
      <c r="AF114" s="94">
        <f ca="1">ROUND((0.6*TblExplore[[#This Row],[Land-DB]]^1.299 + IF(TblExplore[[#This Row],[Land-DB]]&lt;1520, (-0.001*(TblExplore[[#This Row],[Land-DB]]^2)+1.91*TblExplore[[#This Row],[Land-DB]]-593), 0))*(1+ tech_2_6*Techs!AC114 + tech_2_9*Techs!AF114 + tech_3_7*Techs!AN114 + Overview!$I$33),0)</f>
        <v>-403</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-509</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46184.624999999731</v>
      </c>
      <c r="AB115" s="94">
        <f ca="1">TblMili[[#This Row],[Draftees]]</f>
        <v>618</v>
      </c>
      <c r="AC115" s="94">
        <f ca="1">TblProd[[#This Row],[Platinum]]</f>
        <v>205413</v>
      </c>
      <c r="AD115" s="215"/>
      <c r="AE115" s="45">
        <f ca="1">TblExplore[[#This Row],[Land]]-TblExplore[[#This Row],[Land Bonus]]*20</f>
        <v>50</v>
      </c>
      <c r="AF115" s="94">
        <f ca="1">ROUND((0.6*TblExplore[[#This Row],[Land-DB]]^1.299 + IF(TblExplore[[#This Row],[Land-DB]]&lt;1520, (-0.001*(TblExplore[[#This Row],[Land-DB]]^2)+1.91*TblExplore[[#This Row],[Land-DB]]-593), 0))*(1+ tech_2_6*Techs!AC115 + tech_2_9*Techs!AF115 + tech_3_7*Techs!AN115 + Overview!$I$33),0)</f>
        <v>-403</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-510</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46184.666666666395</v>
      </c>
      <c r="AB116" s="94">
        <f ca="1">TblMili[[#This Row],[Draftees]]</f>
        <v>620</v>
      </c>
      <c r="AC116" s="94">
        <f ca="1">TblProd[[#This Row],[Platinum]]</f>
        <v>205820</v>
      </c>
      <c r="AD116" s="215"/>
      <c r="AE116" s="45">
        <f ca="1">TblExplore[[#This Row],[Land]]-TblExplore[[#This Row],[Land Bonus]]*20</f>
        <v>50</v>
      </c>
      <c r="AF116" s="94">
        <f ca="1">ROUND((0.6*TblExplore[[#This Row],[Land-DB]]^1.299 + IF(TblExplore[[#This Row],[Land-DB]]&lt;1520, (-0.001*(TblExplore[[#This Row],[Land-DB]]^2)+1.91*TblExplore[[#This Row],[Land-DB]]-593), 0))*(1+ tech_2_6*Techs!AC116 + tech_2_9*Techs!AF116 + tech_3_7*Techs!AN116 + Overview!$I$33),0)</f>
        <v>-403</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-511</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46184.708333333059</v>
      </c>
      <c r="AB117" s="94">
        <f ca="1">TblMili[[#This Row],[Draftees]]</f>
        <v>621</v>
      </c>
      <c r="AC117" s="94">
        <f ca="1">TblProd[[#This Row],[Platinum]]</f>
        <v>206222</v>
      </c>
      <c r="AD117" s="215"/>
      <c r="AE117" s="45">
        <f ca="1">TblExplore[[#This Row],[Land]]-TblExplore[[#This Row],[Land Bonus]]*20</f>
        <v>50</v>
      </c>
      <c r="AF117" s="94">
        <f ca="1">ROUND((0.6*TblExplore[[#This Row],[Land-DB]]^1.299 + IF(TblExplore[[#This Row],[Land-DB]]&lt;1520, (-0.001*(TblExplore[[#This Row],[Land-DB]]^2)+1.91*TblExplore[[#This Row],[Land-DB]]-593), 0))*(1+ tech_2_6*Techs!AC117 + tech_2_9*Techs!AF117 + tech_3_7*Techs!AN117 + Overview!$I$33),0)</f>
        <v>-403</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-512</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46184.749999999724</v>
      </c>
      <c r="AB118" s="94">
        <f ca="1">TblMili[[#This Row],[Draftees]]</f>
        <v>622</v>
      </c>
      <c r="AC118" s="94">
        <f ca="1">TblProd[[#This Row],[Platinum]]</f>
        <v>206621</v>
      </c>
      <c r="AD118" s="215"/>
      <c r="AE118" s="45">
        <f ca="1">TblExplore[[#This Row],[Land]]-TblExplore[[#This Row],[Land Bonus]]*20</f>
        <v>50</v>
      </c>
      <c r="AF118" s="94">
        <f ca="1">ROUND((0.6*TblExplore[[#This Row],[Land-DB]]^1.299 + IF(TblExplore[[#This Row],[Land-DB]]&lt;1520, (-0.001*(TblExplore[[#This Row],[Land-DB]]^2)+1.91*TblExplore[[#This Row],[Land-DB]]-593), 0))*(1+ tech_2_6*Techs!AC118 + tech_2_9*Techs!AF118 + tech_3_7*Techs!AN118 + Overview!$I$33),0)</f>
        <v>-403</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-513</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46184.791666666388</v>
      </c>
      <c r="AB119" s="94">
        <f ca="1">TblMili[[#This Row],[Draftees]]</f>
        <v>623</v>
      </c>
      <c r="AC119" s="94">
        <f ca="1">TblProd[[#This Row],[Platinum]]</f>
        <v>207017</v>
      </c>
      <c r="AD119" s="215"/>
      <c r="AE119" s="45">
        <f ca="1">TblExplore[[#This Row],[Land]]-TblExplore[[#This Row],[Land Bonus]]*20</f>
        <v>50</v>
      </c>
      <c r="AF119" s="94">
        <f ca="1">ROUND((0.6*TblExplore[[#This Row],[Land-DB]]^1.299 + IF(TblExplore[[#This Row],[Land-DB]]&lt;1520, (-0.001*(TblExplore[[#This Row],[Land-DB]]^2)+1.91*TblExplore[[#This Row],[Land-DB]]-593), 0))*(1+ tech_2_6*Techs!AC119 + tech_2_9*Techs!AF119 + tech_3_7*Techs!AN119 + Overview!$I$33),0)</f>
        <v>-403</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-514</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46184.833333333052</v>
      </c>
      <c r="AB120" s="94">
        <f ca="1">TblMili[[#This Row],[Draftees]]</f>
        <v>624</v>
      </c>
      <c r="AC120" s="94">
        <f ca="1">TblProd[[#This Row],[Platinum]]</f>
        <v>207411</v>
      </c>
      <c r="AD120" s="215"/>
      <c r="AE120" s="45">
        <f ca="1">TblExplore[[#This Row],[Land]]-TblExplore[[#This Row],[Land Bonus]]*20</f>
        <v>50</v>
      </c>
      <c r="AF120" s="94">
        <f ca="1">ROUND((0.6*TblExplore[[#This Row],[Land-DB]]^1.299 + IF(TblExplore[[#This Row],[Land-DB]]&lt;1520, (-0.001*(TblExplore[[#This Row],[Land-DB]]^2)+1.91*TblExplore[[#This Row],[Land-DB]]-593), 0))*(1+ tech_2_6*Techs!AC120 + tech_2_9*Techs!AF120 + tech_3_7*Techs!AN120 + Overview!$I$33),0)</f>
        <v>-403</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-515</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46184.874999999716</v>
      </c>
      <c r="AB121" s="94">
        <f ca="1">TblMili[[#This Row],[Draftees]]</f>
        <v>625</v>
      </c>
      <c r="AC121" s="94">
        <f ca="1">TblProd[[#This Row],[Platinum]]</f>
        <v>207802</v>
      </c>
      <c r="AD121" s="215"/>
      <c r="AE121" s="45">
        <f ca="1">TblExplore[[#This Row],[Land]]-TblExplore[[#This Row],[Land Bonus]]*20</f>
        <v>50</v>
      </c>
      <c r="AF121" s="94">
        <f ca="1">ROUND((0.6*TblExplore[[#This Row],[Land-DB]]^1.299 + IF(TblExplore[[#This Row],[Land-DB]]&lt;1520, (-0.001*(TblExplore[[#This Row],[Land-DB]]^2)+1.91*TblExplore[[#This Row],[Land-DB]]-593), 0))*(1+ tech_2_6*Techs!AC121 + tech_2_9*Techs!AF121 + tech_3_7*Techs!AN121 + Overview!$I$33),0)</f>
        <v>-403</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-516</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46184.91666666638</v>
      </c>
      <c r="AB122" s="94">
        <f ca="1">TblMili[[#This Row],[Draftees]]</f>
        <v>626</v>
      </c>
      <c r="AC122" s="94">
        <f ca="1">TblProd[[#This Row],[Platinum]]</f>
        <v>208190</v>
      </c>
      <c r="AD122" s="215"/>
      <c r="AE122" s="45">
        <f ca="1">TblExplore[[#This Row],[Land]]-TblExplore[[#This Row],[Land Bonus]]*20</f>
        <v>50</v>
      </c>
      <c r="AF122" s="94">
        <f ca="1">ROUND((0.6*TblExplore[[#This Row],[Land-DB]]^1.299 + IF(TblExplore[[#This Row],[Land-DB]]&lt;1520, (-0.001*(TblExplore[[#This Row],[Land-DB]]^2)+1.91*TblExplore[[#This Row],[Land-DB]]-593), 0))*(1+ tech_2_6*Techs!AC122 + tech_2_9*Techs!AF122 + tech_3_7*Techs!AN122 + Overview!$I$33),0)</f>
        <v>-403</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-517</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46184.958333333045</v>
      </c>
      <c r="AB123" s="94">
        <f ca="1">TblMili[[#This Row],[Draftees]]</f>
        <v>627</v>
      </c>
      <c r="AC123" s="94">
        <f ca="1">TblProd[[#This Row],[Platinum]]</f>
        <v>208576</v>
      </c>
      <c r="AD123" s="215"/>
      <c r="AE123" s="45">
        <f ca="1">TblExplore[[#This Row],[Land]]-TblExplore[[#This Row],[Land Bonus]]*20</f>
        <v>50</v>
      </c>
      <c r="AF123" s="94">
        <f ca="1">ROUND((0.6*TblExplore[[#This Row],[Land-DB]]^1.299 + IF(TblExplore[[#This Row],[Land-DB]]&lt;1520, (-0.001*(TblExplore[[#This Row],[Land-DB]]^2)+1.91*TblExplore[[#This Row],[Land-DB]]-593), 0))*(1+ tech_2_6*Techs!AC123 + tech_2_9*Techs!AF123 + tech_3_7*Techs!AN123 + Overview!$I$33),0)</f>
        <v>-403</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-518</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46184.999999999709</v>
      </c>
      <c r="AB124" s="94">
        <f ca="1">TblMili[[#This Row],[Draftees]]</f>
        <v>628</v>
      </c>
      <c r="AC124" s="94">
        <f ca="1">TblProd[[#This Row],[Platinum]]</f>
        <v>208959</v>
      </c>
      <c r="AD124" s="215"/>
      <c r="AE124" s="45">
        <f ca="1">TblExplore[[#This Row],[Land]]-TblExplore[[#This Row],[Land Bonus]]*20</f>
        <v>50</v>
      </c>
      <c r="AF124" s="94">
        <f ca="1">ROUND((0.6*TblExplore[[#This Row],[Land-DB]]^1.299 + IF(TblExplore[[#This Row],[Land-DB]]&lt;1520, (-0.001*(TblExplore[[#This Row],[Land-DB]]^2)+1.91*TblExplore[[#This Row],[Land-DB]]-593), 0))*(1+ tech_2_6*Techs!AC124 + tech_2_9*Techs!AF124 + tech_3_7*Techs!AN124 + Overview!$I$33),0)</f>
        <v>-403</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-519</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46185.041666666373</v>
      </c>
      <c r="AB125" s="94">
        <f ca="1">TblMili[[#This Row],[Draftees]]</f>
        <v>629</v>
      </c>
      <c r="AC125" s="94">
        <f ca="1">TblProd[[#This Row],[Platinum]]</f>
        <v>209339</v>
      </c>
      <c r="AD125" s="215"/>
      <c r="AE125" s="45">
        <f ca="1">TblExplore[[#This Row],[Land]]-TblExplore[[#This Row],[Land Bonus]]*20</f>
        <v>50</v>
      </c>
      <c r="AF125" s="94">
        <f ca="1">ROUND((0.6*TblExplore[[#This Row],[Land-DB]]^1.299 + IF(TblExplore[[#This Row],[Land-DB]]&lt;1520, (-0.001*(TblExplore[[#This Row],[Land-DB]]^2)+1.91*TblExplore[[#This Row],[Land-DB]]-593), 0))*(1+ tech_2_6*Techs!AC125 + tech_2_9*Techs!AF125 + tech_3_7*Techs!AN125 + Overview!$I$33),0)</f>
        <v>-403</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-520</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46185.083333333037</v>
      </c>
      <c r="AB126" s="94">
        <f ca="1">TblMili[[#This Row],[Draftees]]</f>
        <v>630</v>
      </c>
      <c r="AC126" s="94">
        <f ca="1">TblProd[[#This Row],[Platinum]]</f>
        <v>209717</v>
      </c>
      <c r="AD126" s="215"/>
      <c r="AE126" s="45">
        <f ca="1">TblExplore[[#This Row],[Land]]-TblExplore[[#This Row],[Land Bonus]]*20</f>
        <v>50</v>
      </c>
      <c r="AF126" s="94">
        <f ca="1">ROUND((0.6*TblExplore[[#This Row],[Land-DB]]^1.299 + IF(TblExplore[[#This Row],[Land-DB]]&lt;1520, (-0.001*(TblExplore[[#This Row],[Land-DB]]^2)+1.91*TblExplore[[#This Row],[Land-DB]]-593), 0))*(1+ tech_2_6*Techs!AC126 + tech_2_9*Techs!AF126 + tech_3_7*Techs!AN126 + Overview!$I$33),0)</f>
        <v>-403</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-521</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46185.124999999702</v>
      </c>
      <c r="AB127" s="94">
        <f ca="1">TblMili[[#This Row],[Draftees]]</f>
        <v>631</v>
      </c>
      <c r="AC127" s="94">
        <f ca="1">TblProd[[#This Row],[Platinum]]</f>
        <v>210092</v>
      </c>
      <c r="AD127" s="215"/>
      <c r="AE127" s="45">
        <f ca="1">TblExplore[[#This Row],[Land]]-TblExplore[[#This Row],[Land Bonus]]*20</f>
        <v>50</v>
      </c>
      <c r="AF127" s="94">
        <f ca="1">ROUND((0.6*TblExplore[[#This Row],[Land-DB]]^1.299 + IF(TblExplore[[#This Row],[Land-DB]]&lt;1520, (-0.001*(TblExplore[[#This Row],[Land-DB]]^2)+1.91*TblExplore[[#This Row],[Land-DB]]-593), 0))*(1+ tech_2_6*Techs!AC127 + tech_2_9*Techs!AF127 + tech_3_7*Techs!AN127 + Overview!$I$33),0)</f>
        <v>-403</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-522</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46185.166666666366</v>
      </c>
      <c r="AB128" s="94">
        <f ca="1">TblMili[[#This Row],[Draftees]]</f>
        <v>632</v>
      </c>
      <c r="AC128" s="94">
        <f ca="1">TblProd[[#This Row],[Platinum]]</f>
        <v>210464</v>
      </c>
      <c r="AD128" s="215"/>
      <c r="AE128" s="45">
        <f ca="1">TblExplore[[#This Row],[Land]]-TblExplore[[#This Row],[Land Bonus]]*20</f>
        <v>50</v>
      </c>
      <c r="AF128" s="94">
        <f ca="1">ROUND((0.6*TblExplore[[#This Row],[Land-DB]]^1.299 + IF(TblExplore[[#This Row],[Land-DB]]&lt;1520, (-0.001*(TblExplore[[#This Row],[Land-DB]]^2)+1.91*TblExplore[[#This Row],[Land-DB]]-593), 0))*(1+ tech_2_6*Techs!AC128 + tech_2_9*Techs!AF128 + tech_3_7*Techs!AN128 + Overview!$I$33),0)</f>
        <v>-403</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-523</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46185.20833333303</v>
      </c>
      <c r="AB129" s="94">
        <f ca="1">TblMili[[#This Row],[Draftees]]</f>
        <v>633</v>
      </c>
      <c r="AC129" s="94">
        <f ca="1">TblProd[[#This Row],[Platinum]]</f>
        <v>210833</v>
      </c>
      <c r="AD129" s="215"/>
      <c r="AE129" s="45">
        <f ca="1">TblExplore[[#This Row],[Land]]-TblExplore[[#This Row],[Land Bonus]]*20</f>
        <v>50</v>
      </c>
      <c r="AF129" s="94">
        <f ca="1">ROUND((0.6*TblExplore[[#This Row],[Land-DB]]^1.299 + IF(TblExplore[[#This Row],[Land-DB]]&lt;1520, (-0.001*(TblExplore[[#This Row],[Land-DB]]^2)+1.91*TblExplore[[#This Row],[Land-DB]]-593), 0))*(1+ tech_2_6*Techs!AC129 + tech_2_9*Techs!AF129 + tech_3_7*Techs!AN129 + Overview!$I$33),0)</f>
        <v>-403</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-524</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46185.249999999694</v>
      </c>
      <c r="AB130" s="94">
        <f ca="1">TblMili[[#This Row],[Draftees]]</f>
        <v>634</v>
      </c>
      <c r="AC130" s="94">
        <f ca="1">TblProd[[#This Row],[Platinum]]</f>
        <v>211200</v>
      </c>
      <c r="AD130" s="215"/>
      <c r="AE130" s="45">
        <f ca="1">TblExplore[[#This Row],[Land]]-TblExplore[[#This Row],[Land Bonus]]*20</f>
        <v>50</v>
      </c>
      <c r="AF130" s="94">
        <f ca="1">ROUND((0.6*TblExplore[[#This Row],[Land-DB]]^1.299 + IF(TblExplore[[#This Row],[Land-DB]]&lt;1520, (-0.001*(TblExplore[[#This Row],[Land-DB]]^2)+1.91*TblExplore[[#This Row],[Land-DB]]-593), 0))*(1+ tech_2_6*Techs!AC130 + tech_2_9*Techs!AF130 + tech_3_7*Techs!AN130 + Overview!$I$33),0)</f>
        <v>-403</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-525</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46185.291666666359</v>
      </c>
      <c r="AB131" s="94">
        <f ca="1">TblMili[[#This Row],[Draftees]]</f>
        <v>635</v>
      </c>
      <c r="AC131" s="94">
        <f ca="1">TblProd[[#This Row],[Platinum]]</f>
        <v>211564</v>
      </c>
      <c r="AD131" s="215"/>
      <c r="AE131" s="45">
        <f ca="1">TblExplore[[#This Row],[Land]]-TblExplore[[#This Row],[Land Bonus]]*20</f>
        <v>50</v>
      </c>
      <c r="AF131" s="94">
        <f ca="1">ROUND((0.6*TblExplore[[#This Row],[Land-DB]]^1.299 + IF(TblExplore[[#This Row],[Land-DB]]&lt;1520, (-0.001*(TblExplore[[#This Row],[Land-DB]]^2)+1.91*TblExplore[[#This Row],[Land-DB]]-593), 0))*(1+ tech_2_6*Techs!AC131 + tech_2_9*Techs!AF131 + tech_3_7*Techs!AN131 + Overview!$I$33),0)</f>
        <v>-403</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-525</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46185.333333333023</v>
      </c>
      <c r="AB132" s="94">
        <f ca="1">TblMili[[#This Row],[Draftees]]</f>
        <v>636</v>
      </c>
      <c r="AC132" s="94">
        <f ca="1">TblProd[[#This Row],[Platinum]]</f>
        <v>211925</v>
      </c>
      <c r="AD132" s="215"/>
      <c r="AE132" s="45">
        <f ca="1">TblExplore[[#This Row],[Land]]-TblExplore[[#This Row],[Land Bonus]]*20</f>
        <v>50</v>
      </c>
      <c r="AF132" s="94">
        <f ca="1">ROUND((0.6*TblExplore[[#This Row],[Land-DB]]^1.299 + IF(TblExplore[[#This Row],[Land-DB]]&lt;1520, (-0.001*(TblExplore[[#This Row],[Land-DB]]^2)+1.91*TblExplore[[#This Row],[Land-DB]]-593), 0))*(1+ tech_2_6*Techs!AC132 + tech_2_9*Techs!AF132 + tech_3_7*Techs!AN132 + Overview!$I$33),0)</f>
        <v>-403</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-526</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46185.374999999687</v>
      </c>
      <c r="AB133" s="94">
        <f ca="1">TblMili[[#This Row],[Draftees]]</f>
        <v>637</v>
      </c>
      <c r="AC133" s="94">
        <f ca="1">TblProd[[#This Row],[Platinum]]</f>
        <v>212284</v>
      </c>
      <c r="AD133" s="215"/>
      <c r="AE133" s="45">
        <f ca="1">TblExplore[[#This Row],[Land]]-TblExplore[[#This Row],[Land Bonus]]*20</f>
        <v>50</v>
      </c>
      <c r="AF133" s="94">
        <f ca="1">ROUND((0.6*TblExplore[[#This Row],[Land-DB]]^1.299 + IF(TblExplore[[#This Row],[Land-DB]]&lt;1520, (-0.001*(TblExplore[[#This Row],[Land-DB]]^2)+1.91*TblExplore[[#This Row],[Land-DB]]-593), 0))*(1+ tech_2_6*Techs!AC133 + tech_2_9*Techs!AF133 + tech_3_7*Techs!AN133 + Overview!$I$33),0)</f>
        <v>-403</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-527</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46185.416666666351</v>
      </c>
      <c r="AB134" s="94">
        <f ca="1">TblMili[[#This Row],[Draftees]]</f>
        <v>638</v>
      </c>
      <c r="AC134" s="94">
        <f ca="1">TblProd[[#This Row],[Platinum]]</f>
        <v>212640</v>
      </c>
      <c r="AD134" s="215"/>
      <c r="AE134" s="45">
        <f ca="1">TblExplore[[#This Row],[Land]]-TblExplore[[#This Row],[Land Bonus]]*20</f>
        <v>50</v>
      </c>
      <c r="AF134" s="94">
        <f ca="1">ROUND((0.6*TblExplore[[#This Row],[Land-DB]]^1.299 + IF(TblExplore[[#This Row],[Land-DB]]&lt;1520, (-0.001*(TblExplore[[#This Row],[Land-DB]]^2)+1.91*TblExplore[[#This Row],[Land-DB]]-593), 0))*(1+ tech_2_6*Techs!AC134 + tech_2_9*Techs!AF134 + tech_3_7*Techs!AN134 + Overview!$I$33),0)</f>
        <v>-403</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-528</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46185.458333333016</v>
      </c>
      <c r="AB135" s="94">
        <f ca="1">TblMili[[#This Row],[Draftees]]</f>
        <v>639</v>
      </c>
      <c r="AC135" s="94">
        <f ca="1">TblProd[[#This Row],[Platinum]]</f>
        <v>212993</v>
      </c>
      <c r="AD135" s="215"/>
      <c r="AE135" s="45">
        <f ca="1">TblExplore[[#This Row],[Land]]-TblExplore[[#This Row],[Land Bonus]]*20</f>
        <v>50</v>
      </c>
      <c r="AF135" s="94">
        <f ca="1">ROUND((0.6*TblExplore[[#This Row],[Land-DB]]^1.299 + IF(TblExplore[[#This Row],[Land-DB]]&lt;1520, (-0.001*(TblExplore[[#This Row],[Land-DB]]^2)+1.91*TblExplore[[#This Row],[Land-DB]]-593), 0))*(1+ tech_2_6*Techs!AC135 + tech_2_9*Techs!AF135 + tech_3_7*Techs!AN135 + Overview!$I$33),0)</f>
        <v>-403</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-529</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46185.49999999968</v>
      </c>
      <c r="AB136" s="94">
        <f ca="1">TblMili[[#This Row],[Draftees]]</f>
        <v>640</v>
      </c>
      <c r="AC136" s="94">
        <f ca="1">TblProd[[#This Row],[Platinum]]</f>
        <v>213344</v>
      </c>
      <c r="AD136" s="215"/>
      <c r="AE136" s="45">
        <f ca="1">TblExplore[[#This Row],[Land]]-TblExplore[[#This Row],[Land Bonus]]*20</f>
        <v>50</v>
      </c>
      <c r="AF136" s="94">
        <f ca="1">ROUND((0.6*TblExplore[[#This Row],[Land-DB]]^1.299 + IF(TblExplore[[#This Row],[Land-DB]]&lt;1520, (-0.001*(TblExplore[[#This Row],[Land-DB]]^2)+1.91*TblExplore[[#This Row],[Land-DB]]-593), 0))*(1+ tech_2_6*Techs!AC136 + tech_2_9*Techs!AF136 + tech_3_7*Techs!AN136 + Overview!$I$33),0)</f>
        <v>-403</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-530</v>
      </c>
    </row>
    <row r="1269" spans="2:13" x14ac:dyDescent="0.2">
      <c r="B1269" s="531" t="s">
        <v>314</v>
      </c>
      <c r="C1269" s="531"/>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8" priority="19" stopIfTrue="1">
      <formula>$M26&lt;$M17</formula>
    </cfRule>
    <cfRule type="expression" dxfId="487" priority="20" stopIfTrue="1">
      <formula>$M17&lt;$M26</formula>
    </cfRule>
  </conditionalFormatting>
  <conditionalFormatting sqref="C1270 D1269:AJ1270 A1269:B1270">
    <cfRule type="expression" dxfId="486" priority="17" stopIfTrue="1">
      <formula>$B$1270&gt;144</formula>
    </cfRule>
  </conditionalFormatting>
  <conditionalFormatting sqref="A4:J136 N4:AJ12 N49:AJ136 N41:S48 U41:AJ48 N16:AJ23 N13:V15 X13:AJ15 N27:AJ40 N24:V26 X24:AJ26">
    <cfRule type="expression" dxfId="485" priority="7" stopIfTrue="1">
      <formula>ROW()-3=$B$1270</formula>
    </cfRule>
  </conditionalFormatting>
  <conditionalFormatting sqref="D4:J136">
    <cfRule type="expression" dxfId="484" priority="8" stopIfTrue="1">
      <formula>OR(ROW()-3=$B$1270,D4&lt;0)</formula>
    </cfRule>
  </conditionalFormatting>
  <conditionalFormatting sqref="A1:XFD3">
    <cfRule type="expression" dxfId="483" priority="22" stopIfTrue="1">
      <formula>$B$1270&lt;0</formula>
    </cfRule>
  </conditionalFormatting>
  <conditionalFormatting sqref="A4:AJ12 A41:S48 U41:AJ48 A16:AJ23 A13:V15 X13:AJ15 A27:AJ40 A24:V26 X24:AJ26 A49:AJ136">
    <cfRule type="expression" dxfId="482" priority="9">
      <formula>$A4=49</formula>
    </cfRule>
    <cfRule type="expression" dxfId="481" priority="16">
      <formula>ROUND(($A4-1)/12,0)=INT($A4-1)/12</formula>
    </cfRule>
  </conditionalFormatting>
  <conditionalFormatting sqref="W13:W15">
    <cfRule type="expression" dxfId="480" priority="4" stopIfTrue="1">
      <formula>ROW()-3=$A$1270</formula>
    </cfRule>
    <cfRule type="expression" dxfId="479" priority="5">
      <formula>$A13=49</formula>
    </cfRule>
    <cfRule type="expression" dxfId="478" priority="6">
      <formula>ROUND(($A13-1)/12,0)=INT($A13-1)/12</formula>
    </cfRule>
  </conditionalFormatting>
  <conditionalFormatting sqref="W24:W26">
    <cfRule type="expression" dxfId="477" priority="1" stopIfTrue="1">
      <formula>ROW()-3=$B$1270</formula>
    </cfRule>
  </conditionalFormatting>
  <conditionalFormatting sqref="W24:W26">
    <cfRule type="expression" dxfId="476" priority="2">
      <formula>$A24=49</formula>
    </cfRule>
    <cfRule type="expression" dxfId="475"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765</v>
      </c>
      <c r="J3" s="135" t="s">
        <v>0</v>
      </c>
      <c r="K3" s="135" t="s">
        <v>309</v>
      </c>
      <c r="L3" s="135" t="s">
        <v>1016</v>
      </c>
      <c r="M3" s="135" t="s">
        <v>1017</v>
      </c>
      <c r="N3" s="135" t="s">
        <v>1018</v>
      </c>
      <c r="O3" s="135" t="s">
        <v>1019</v>
      </c>
      <c r="P3" s="135" t="s">
        <v>1020</v>
      </c>
      <c r="Q3" s="135" t="s">
        <v>1021</v>
      </c>
      <c r="R3" s="135" t="s">
        <v>1022</v>
      </c>
      <c r="S3" s="135" t="s">
        <v>300</v>
      </c>
      <c r="T3" s="135" t="s">
        <v>193</v>
      </c>
      <c r="U3" s="135" t="s">
        <v>766</v>
      </c>
      <c r="V3" s="135" t="s">
        <v>2</v>
      </c>
      <c r="W3" s="135" t="s">
        <v>767</v>
      </c>
      <c r="X3" s="135" t="s">
        <v>57</v>
      </c>
      <c r="Y3" s="135" t="s">
        <v>891</v>
      </c>
      <c r="Z3" s="135" t="s">
        <v>780</v>
      </c>
      <c r="AA3" s="135" t="s">
        <v>259</v>
      </c>
      <c r="AB3" s="135" t="s">
        <v>781</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46180</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46180.041666666664</v>
      </c>
      <c r="L5" s="179"/>
      <c r="M5" s="179"/>
      <c r="N5" s="179"/>
      <c r="O5" s="179"/>
      <c r="P5" s="179"/>
      <c r="Q5" s="179"/>
      <c r="R5" s="179"/>
      <c r="S5" s="94">
        <f>SUMIF(TblRezone[[#This Row],[Plains Rezone]:[Water Rezone]],"&gt;0")</f>
        <v>0</v>
      </c>
      <c r="T5" s="61" t="str">
        <f>IF(SUM(TblRezone[[#This Row],[Plains Rezone]:[Water Rezone]])=0,"Ok","Nope")</f>
        <v>Ok</v>
      </c>
      <c r="U5" s="215"/>
      <c r="V5" s="94">
        <f ca="1">TblProd[[#This Row],[Platinum]]</f>
        <v>121266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46180.083333333328</v>
      </c>
      <c r="L6" s="179"/>
      <c r="M6" s="179"/>
      <c r="N6" s="179"/>
      <c r="O6" s="179"/>
      <c r="P6" s="179"/>
      <c r="Q6" s="179"/>
      <c r="R6" s="179"/>
      <c r="S6" s="94">
        <f>SUMIF(TblRezone[[#This Row],[Plains Rezone]:[Water Rezone]],"&gt;0")</f>
        <v>0</v>
      </c>
      <c r="T6" s="61" t="str">
        <f>IF(SUM(TblRezone[[#This Row],[Plains Rezone]:[Water Rezone]])=0,"Ok","Nope")</f>
        <v>Ok</v>
      </c>
      <c r="U6" s="215"/>
      <c r="V6" s="94">
        <f ca="1">TblProd[[#This Row],[Platinum]]</f>
        <v>122518</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46180.124999999993</v>
      </c>
      <c r="L7" s="179"/>
      <c r="M7" s="179"/>
      <c r="N7" s="179"/>
      <c r="O7" s="179"/>
      <c r="P7" s="179"/>
      <c r="Q7" s="179"/>
      <c r="R7" s="179"/>
      <c r="S7" s="94">
        <f>SUMIF(TblRezone[[#This Row],[Plains Rezone]:[Water Rezone]],"&gt;0")</f>
        <v>0</v>
      </c>
      <c r="T7" s="61" t="str">
        <f>IF(SUM(TblRezone[[#This Row],[Plains Rezone]:[Water Rezone]])=0,"Ok","Nope")</f>
        <v>Ok</v>
      </c>
      <c r="U7" s="215"/>
      <c r="V7" s="94">
        <f ca="1">TblProd[[#This Row],[Platinum]]</f>
        <v>123757</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46180.166666666657</v>
      </c>
      <c r="L8" s="179"/>
      <c r="M8" s="179"/>
      <c r="N8" s="179"/>
      <c r="O8" s="179"/>
      <c r="P8" s="179"/>
      <c r="Q8" s="179"/>
      <c r="R8" s="179"/>
      <c r="S8" s="94">
        <f>SUMIF(TblRezone[[#This Row],[Plains Rezone]:[Water Rezone]],"&gt;0")</f>
        <v>0</v>
      </c>
      <c r="T8" s="61" t="str">
        <f>IF(SUM(TblRezone[[#This Row],[Plains Rezone]:[Water Rezone]])=0,"Ok","Nope")</f>
        <v>Ok</v>
      </c>
      <c r="U8" s="215"/>
      <c r="V8" s="94">
        <f ca="1">TblProd[[#This Row],[Platinum]]</f>
        <v>124982</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46180.208333333321</v>
      </c>
      <c r="L9" s="179"/>
      <c r="M9" s="179"/>
      <c r="N9" s="179"/>
      <c r="O9" s="179"/>
      <c r="P9" s="179"/>
      <c r="Q9" s="179"/>
      <c r="R9" s="179"/>
      <c r="S9" s="94">
        <f>SUMIF(TblRezone[[#This Row],[Plains Rezone]:[Water Rezone]],"&gt;0")</f>
        <v>0</v>
      </c>
      <c r="T9" s="61" t="str">
        <f>IF(SUM(TblRezone[[#This Row],[Plains Rezone]:[Water Rezone]])=0,"Ok","Nope")</f>
        <v>Ok</v>
      </c>
      <c r="U9" s="215"/>
      <c r="V9" s="94">
        <f ca="1">TblProd[[#This Row],[Platinum]]</f>
        <v>126194</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46180.249999999985</v>
      </c>
      <c r="L10" s="179"/>
      <c r="M10" s="179"/>
      <c r="N10" s="179"/>
      <c r="O10" s="179"/>
      <c r="P10" s="179"/>
      <c r="Q10" s="179"/>
      <c r="R10" s="179"/>
      <c r="S10" s="94">
        <f>SUMIF(TblRezone[[#This Row],[Plains Rezone]:[Water Rezone]],"&gt;0")</f>
        <v>0</v>
      </c>
      <c r="T10" s="61" t="str">
        <f>IF(SUM(TblRezone[[#This Row],[Plains Rezone]:[Water Rezone]])=0,"Ok","Nope")</f>
        <v>Ok</v>
      </c>
      <c r="U10" s="215"/>
      <c r="V10" s="94">
        <f ca="1">TblProd[[#This Row],[Platinum]]</f>
        <v>127395</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46180.29166666665</v>
      </c>
      <c r="L11" s="179"/>
      <c r="M11" s="179"/>
      <c r="N11" s="179"/>
      <c r="O11" s="179"/>
      <c r="P11" s="179"/>
      <c r="Q11" s="179"/>
      <c r="R11" s="179"/>
      <c r="S11" s="94">
        <f>SUMIF(TblRezone[[#This Row],[Plains Rezone]:[Water Rezone]],"&gt;0")</f>
        <v>0</v>
      </c>
      <c r="T11" s="61" t="str">
        <f>IF(SUM(TblRezone[[#This Row],[Plains Rezone]:[Water Rezone]])=0,"Ok","Nope")</f>
        <v>Ok</v>
      </c>
      <c r="U11" s="215"/>
      <c r="V11" s="94">
        <f ca="1">TblProd[[#This Row],[Platinum]]</f>
        <v>128585</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46180.333333333314</v>
      </c>
      <c r="L12" s="179"/>
      <c r="M12" s="179"/>
      <c r="N12" s="179"/>
      <c r="O12" s="179"/>
      <c r="P12" s="179"/>
      <c r="Q12" s="179"/>
      <c r="R12" s="179"/>
      <c r="S12" s="94">
        <f>SUMIF(TblRezone[[#This Row],[Plains Rezone]:[Water Rezone]],"&gt;0")</f>
        <v>0</v>
      </c>
      <c r="T12" s="61" t="str">
        <f>IF(SUM(TblRezone[[#This Row],[Plains Rezone]:[Water Rezone]])=0,"Ok","Nope")</f>
        <v>Ok</v>
      </c>
      <c r="U12" s="215"/>
      <c r="V12" s="94">
        <f ca="1">TblProd[[#This Row],[Platinum]]</f>
        <v>129764</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46180.374999999978</v>
      </c>
      <c r="L13" s="179"/>
      <c r="M13" s="179"/>
      <c r="N13" s="179"/>
      <c r="O13" s="179"/>
      <c r="P13" s="179"/>
      <c r="Q13" s="179"/>
      <c r="R13" s="179"/>
      <c r="S13" s="94">
        <f>SUMIF(TblRezone[[#This Row],[Plains Rezone]:[Water Rezone]],"&gt;0")</f>
        <v>0</v>
      </c>
      <c r="T13" s="61" t="str">
        <f>IF(SUM(TblRezone[[#This Row],[Plains Rezone]:[Water Rezone]])=0,"Ok","Nope")</f>
        <v>Ok</v>
      </c>
      <c r="U13" s="215"/>
      <c r="V13" s="94">
        <f ca="1">TblProd[[#This Row],[Platinum]]</f>
        <v>130933</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46180.416666666642</v>
      </c>
      <c r="L14" s="179"/>
      <c r="M14" s="179"/>
      <c r="N14" s="179"/>
      <c r="O14" s="179"/>
      <c r="P14" s="179"/>
      <c r="Q14" s="179"/>
      <c r="R14" s="179"/>
      <c r="S14" s="94">
        <f>SUMIF(TblRezone[[#This Row],[Plains Rezone]:[Water Rezone]],"&gt;0")</f>
        <v>0</v>
      </c>
      <c r="T14" s="61" t="str">
        <f>IF(SUM(TblRezone[[#This Row],[Plains Rezone]:[Water Rezone]])=0,"Ok","Nope")</f>
        <v>Ok</v>
      </c>
      <c r="U14" s="215"/>
      <c r="V14" s="94">
        <f ca="1">TblProd[[#This Row],[Platinum]]</f>
        <v>132091</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46180.458333333307</v>
      </c>
      <c r="L15" s="179"/>
      <c r="M15" s="179"/>
      <c r="N15" s="179"/>
      <c r="O15" s="179"/>
      <c r="P15" s="179"/>
      <c r="Q15" s="179"/>
      <c r="R15" s="179"/>
      <c r="S15" s="94">
        <f>SUMIF(TblRezone[[#This Row],[Plains Rezone]:[Water Rezone]],"&gt;0")</f>
        <v>0</v>
      </c>
      <c r="T15" s="61" t="str">
        <f>IF(SUM(TblRezone[[#This Row],[Plains Rezone]:[Water Rezone]])=0,"Ok","Nope")</f>
        <v>Ok</v>
      </c>
      <c r="U15" s="215"/>
      <c r="V15" s="94">
        <f ca="1">TblProd[[#This Row],[Platinum]]</f>
        <v>133238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46180.499999999971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46180.541666666635</v>
      </c>
      <c r="L17" s="179"/>
      <c r="M17" s="179"/>
      <c r="N17" s="179"/>
      <c r="O17" s="179"/>
      <c r="P17" s="179"/>
      <c r="Q17" s="179"/>
      <c r="R17" s="179"/>
      <c r="S17" s="94">
        <f>SUMIF(TblRezone[[#This Row],[Plains Rezone]:[Water Rezone]],"&gt;0")</f>
        <v>0</v>
      </c>
      <c r="T17" s="61" t="str">
        <f>IF(SUM(TblRezone[[#This Row],[Plains Rezone]:[Water Rezone]])=0,"Ok","Nope")</f>
        <v>Ok</v>
      </c>
      <c r="U17" s="215"/>
      <c r="V17" s="94">
        <f ca="1">TblProd[[#This Row],[Platinum]]</f>
        <v>135499</v>
      </c>
      <c r="W17" s="215"/>
      <c r="X17" s="94">
        <f ca="1">ROUND(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46180.583333333299</v>
      </c>
      <c r="L18" s="179"/>
      <c r="M18" s="179"/>
      <c r="N18" s="179"/>
      <c r="O18" s="179"/>
      <c r="P18" s="179"/>
      <c r="Q18" s="179"/>
      <c r="R18" s="179"/>
      <c r="S18" s="94">
        <f>SUMIF(TblRezone[[#This Row],[Plains Rezone]:[Water Rezone]],"&gt;0")</f>
        <v>0</v>
      </c>
      <c r="T18" s="61" t="str">
        <f>IF(SUM(TblRezone[[#This Row],[Plains Rezone]:[Water Rezone]])=0,"Ok","Nope")</f>
        <v>Ok</v>
      </c>
      <c r="U18" s="215"/>
      <c r="V18" s="94">
        <f ca="1">TblProd[[#This Row],[Platinum]]</f>
        <v>136614</v>
      </c>
      <c r="W18" s="215"/>
      <c r="X18" s="94">
        <f ca="1">ROUND(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46180.624999999964</v>
      </c>
      <c r="L19" s="179"/>
      <c r="M19" s="179"/>
      <c r="N19" s="179"/>
      <c r="O19" s="179"/>
      <c r="P19" s="179"/>
      <c r="Q19" s="179"/>
      <c r="R19" s="179"/>
      <c r="S19" s="94">
        <f>SUMIF(TblRezone[[#This Row],[Plains Rezone]:[Water Rezone]],"&gt;0")</f>
        <v>0</v>
      </c>
      <c r="T19" s="61" t="str">
        <f>IF(SUM(TblRezone[[#This Row],[Plains Rezone]:[Water Rezone]])=0,"Ok","Nope")</f>
        <v>Ok</v>
      </c>
      <c r="U19" s="215"/>
      <c r="V19" s="94">
        <f ca="1">TblProd[[#This Row],[Platinum]]</f>
        <v>137718</v>
      </c>
      <c r="W19" s="215"/>
      <c r="X19" s="94">
        <f ca="1">ROUND(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46180.666666666628</v>
      </c>
      <c r="L20" s="179"/>
      <c r="M20" s="179"/>
      <c r="N20" s="179"/>
      <c r="O20" s="179"/>
      <c r="P20" s="179"/>
      <c r="Q20" s="179"/>
      <c r="R20" s="179"/>
      <c r="S20" s="94">
        <f>SUMIF(TblRezone[[#This Row],[Plains Rezone]:[Water Rezone]],"&gt;0")</f>
        <v>0</v>
      </c>
      <c r="T20" s="61" t="str">
        <f>IF(SUM(TblRezone[[#This Row],[Plains Rezone]:[Water Rezone]])=0,"Ok","Nope")</f>
        <v>Ok</v>
      </c>
      <c r="U20" s="215"/>
      <c r="V20" s="94">
        <f ca="1">TblProd[[#This Row],[Platinum]]</f>
        <v>138811</v>
      </c>
      <c r="W20" s="215"/>
      <c r="X20" s="94">
        <f ca="1">ROUND(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46180.708333333292</v>
      </c>
      <c r="L21" s="179"/>
      <c r="M21" s="179"/>
      <c r="N21" s="179"/>
      <c r="O21" s="179"/>
      <c r="P21" s="179"/>
      <c r="Q21" s="179"/>
      <c r="R21" s="179"/>
      <c r="S21" s="94">
        <f>SUMIF(TblRezone[[#This Row],[Plains Rezone]:[Water Rezone]],"&gt;0")</f>
        <v>0</v>
      </c>
      <c r="T21" s="61" t="str">
        <f>IF(SUM(TblRezone[[#This Row],[Plains Rezone]:[Water Rezone]])=0,"Ok","Nope")</f>
        <v>Ok</v>
      </c>
      <c r="U21" s="215"/>
      <c r="V21" s="94">
        <f ca="1">TblProd[[#This Row],[Platinum]]</f>
        <v>139893</v>
      </c>
      <c r="W21" s="215"/>
      <c r="X21" s="94">
        <f ca="1">ROUND(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46180.749999999956</v>
      </c>
      <c r="L22" s="179"/>
      <c r="M22" s="179"/>
      <c r="N22" s="179"/>
      <c r="O22" s="179"/>
      <c r="P22" s="179"/>
      <c r="Q22" s="179"/>
      <c r="R22" s="179"/>
      <c r="S22" s="94">
        <f>SUMIF(TblRezone[[#This Row],[Plains Rezone]:[Water Rezone]],"&gt;0")</f>
        <v>0</v>
      </c>
      <c r="T22" s="61" t="str">
        <f>IF(SUM(TblRezone[[#This Row],[Plains Rezone]:[Water Rezone]])=0,"Ok","Nope")</f>
        <v>Ok</v>
      </c>
      <c r="U22" s="215"/>
      <c r="V22" s="94">
        <f ca="1">TblProd[[#This Row],[Platinum]]</f>
        <v>140964</v>
      </c>
      <c r="W22" s="215"/>
      <c r="X22" s="94">
        <f ca="1">ROUND(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46180.791666666621</v>
      </c>
      <c r="L23" s="179"/>
      <c r="M23" s="179"/>
      <c r="N23" s="179"/>
      <c r="O23" s="179"/>
      <c r="P23" s="179"/>
      <c r="Q23" s="179"/>
      <c r="R23" s="179"/>
      <c r="S23" s="94">
        <f>SUMIF(TblRezone[[#This Row],[Plains Rezone]:[Water Rezone]],"&gt;0")</f>
        <v>0</v>
      </c>
      <c r="T23" s="61" t="str">
        <f>IF(SUM(TblRezone[[#This Row],[Plains Rezone]:[Water Rezone]])=0,"Ok","Nope")</f>
        <v>Ok</v>
      </c>
      <c r="U23" s="215"/>
      <c r="V23" s="94">
        <f ca="1">TblProd[[#This Row],[Platinum]]</f>
        <v>142025</v>
      </c>
      <c r="W23" s="215"/>
      <c r="X23" s="94">
        <f ca="1">ROUND(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46180.833333333285</v>
      </c>
      <c r="L24" s="179"/>
      <c r="M24" s="179"/>
      <c r="N24" s="179"/>
      <c r="O24" s="179"/>
      <c r="P24" s="179"/>
      <c r="Q24" s="179"/>
      <c r="R24" s="179"/>
      <c r="S24" s="94">
        <f>SUMIF(TblRezone[[#This Row],[Plains Rezone]:[Water Rezone]],"&gt;0")</f>
        <v>0</v>
      </c>
      <c r="T24" s="61" t="str">
        <f>IF(SUM(TblRezone[[#This Row],[Plains Rezone]:[Water Rezone]])=0,"Ok","Nope")</f>
        <v>Ok</v>
      </c>
      <c r="U24" s="215"/>
      <c r="V24" s="94">
        <f ca="1">TblProd[[#This Row],[Platinum]]</f>
        <v>143075</v>
      </c>
      <c r="W24" s="215"/>
      <c r="X24" s="94">
        <f ca="1">ROUND(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46180.874999999949</v>
      </c>
      <c r="L25" s="179"/>
      <c r="M25" s="179"/>
      <c r="N25" s="179"/>
      <c r="O25" s="179"/>
      <c r="P25" s="179"/>
      <c r="Q25" s="179"/>
      <c r="R25" s="179"/>
      <c r="S25" s="94">
        <f>SUMIF(TblRezone[[#This Row],[Plains Rezone]:[Water Rezone]],"&gt;0")</f>
        <v>0</v>
      </c>
      <c r="T25" s="61" t="str">
        <f>IF(SUM(TblRezone[[#This Row],[Plains Rezone]:[Water Rezone]])=0,"Ok","Nope")</f>
        <v>Ok</v>
      </c>
      <c r="U25" s="215"/>
      <c r="V25" s="94">
        <f ca="1">TblProd[[#This Row],[Platinum]]</f>
        <v>144114</v>
      </c>
      <c r="W25" s="215"/>
      <c r="X25" s="94">
        <f ca="1">ROUND(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46180.916666666613</v>
      </c>
      <c r="L26" s="179"/>
      <c r="M26" s="179"/>
      <c r="N26" s="179"/>
      <c r="O26" s="179"/>
      <c r="P26" s="179"/>
      <c r="Q26" s="179"/>
      <c r="R26" s="179"/>
      <c r="S26" s="94">
        <f>SUMIF(TblRezone[[#This Row],[Plains Rezone]:[Water Rezone]],"&gt;0")</f>
        <v>0</v>
      </c>
      <c r="T26" s="61" t="str">
        <f>IF(SUM(TblRezone[[#This Row],[Plains Rezone]:[Water Rezone]])=0,"Ok","Nope")</f>
        <v>Ok</v>
      </c>
      <c r="U26" s="215"/>
      <c r="V26" s="94">
        <f ca="1">TblProd[[#This Row],[Platinum]]</f>
        <v>145142</v>
      </c>
      <c r="W26" s="215"/>
      <c r="X26" s="94">
        <f ca="1">ROUND(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46180.958333333278</v>
      </c>
      <c r="L27" s="179"/>
      <c r="M27" s="179"/>
      <c r="N27" s="179"/>
      <c r="O27" s="179"/>
      <c r="P27" s="179"/>
      <c r="Q27" s="179"/>
      <c r="R27" s="179"/>
      <c r="S27" s="94">
        <f>SUMIF(TblRezone[[#This Row],[Plains Rezone]:[Water Rezone]],"&gt;0")</f>
        <v>0</v>
      </c>
      <c r="T27" s="61" t="str">
        <f>IF(SUM(TblRezone[[#This Row],[Plains Rezone]:[Water Rezone]])=0,"Ok","Nope")</f>
        <v>Ok</v>
      </c>
      <c r="U27" s="215"/>
      <c r="V27" s="94">
        <f ca="1">TblProd[[#This Row],[Platinum]]</f>
        <v>146159</v>
      </c>
      <c r="W27" s="215"/>
      <c r="X27" s="94">
        <f ca="1">ROUND(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46180.999999999942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46181.041666666606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46181.08333333327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46181.124999999935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46181.166666666599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46181.208333333263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46181.249999999927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46181.291666666591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46181.333333333256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46181.37499999992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46181.416666666584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46181.458333333248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x14ac:dyDescent="0.2">
      <c r="A40" s="214">
        <f ca="1">TblConstr[[#This Row],[Land]]</f>
        <v>50</v>
      </c>
      <c r="B40" s="216">
        <f ca="1">TblConstr[[#This Row],[Plain]]</f>
        <v>0</v>
      </c>
      <c r="C40" s="182">
        <f ca="1">TblConstr[[#This Row],[Forest]]</f>
        <v>0</v>
      </c>
      <c r="D40" s="359">
        <f ca="1">TblConstr[[#This Row],[Mountain]]</f>
        <v>0</v>
      </c>
      <c r="E40" s="363">
        <f ca="1">TblConstr[[#This Row],[Hill]]</f>
        <v>0</v>
      </c>
      <c r="F40" s="367">
        <f ca="1">TblConstr[[#This Row],[Swamp]]</f>
        <v>0</v>
      </c>
      <c r="G40" s="185">
        <f ca="1">TblConstr[[#This Row],[Cavern]]</f>
        <v>0</v>
      </c>
      <c r="H40" s="186">
        <f ca="1">TblConstr[[#This Row],[Water]]</f>
        <v>0</v>
      </c>
      <c r="I40" s="215"/>
      <c r="J40" s="175">
        <f t="shared" si="1"/>
        <v>37</v>
      </c>
      <c r="K40" s="236">
        <f ca="1">TblImps[[#This Row],[Real time]]</f>
        <v>46181.499999999913</v>
      </c>
      <c r="L40" s="179"/>
      <c r="M40" s="179"/>
      <c r="N40" s="179"/>
      <c r="O40" s="179"/>
      <c r="P40" s="179"/>
      <c r="Q40" s="179"/>
      <c r="R40" s="179"/>
      <c r="S40" s="94">
        <f>SUMIF(TblRezone[[#This Row],[Plains Rezone]:[Water Rezone]],"&gt;0")</f>
        <v>0</v>
      </c>
      <c r="T40" s="61" t="str">
        <f>IF(SUM(TblRezone[[#This Row],[Plains Rezone]:[Water Rezone]])=0,"Ok","Nope")</f>
        <v>Ok</v>
      </c>
      <c r="U40" s="215"/>
      <c r="V40" s="94">
        <f ca="1">TblProd[[#This Row],[Platinum]]</f>
        <v>158460</v>
      </c>
      <c r="W40" s="215"/>
      <c r="X40" s="94">
        <f ca="1">ROUND( (1-MIN(ROUND(facs_rezone_factor*TblRezone[[#This Row],[Facs]],4),facs_rezone_max) + tech_6_4*TblTech[[#This Row],[6-4]] + tech_10_2*TblTech[[#This Row],[10-2]] - IF(TblMagic[[#This Row],[Active Mechanical Genius]]&gt;0,mech_genius_bonus,0) + race_rezone_cost) * TblRezone[[#This Row],[Plat/acre*]],0)</f>
        <v>130</v>
      </c>
      <c r="Y40" s="94">
        <f ca="1">TblRezone[[#This Row],[Total acres]]*TblRezone[[#This Row],[Plat/acre]]</f>
        <v>0</v>
      </c>
      <c r="Z40" s="215"/>
      <c r="AA40" s="94">
        <f ca="1">(250+0.6*(TblRezone[[#This Row],[Land]]-250))</f>
        <v>130</v>
      </c>
      <c r="AB40" s="215"/>
      <c r="AC40" s="157">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46181.541666666577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46181.583333333241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46181.624999999905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46181.66666666657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46181.708333333234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46181.749999999898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46181.791666666562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46181.833333333227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46181.874999999891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46181.916666666555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46181.958333333219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s="5" customFormat="1" x14ac:dyDescent="0.2">
      <c r="A52" s="230">
        <f ca="1">TblConstr[[#This Row],[Land]]</f>
        <v>50</v>
      </c>
      <c r="B52" s="232">
        <f ca="1">TblConstr[[#This Row],[Plain]]</f>
        <v>0</v>
      </c>
      <c r="C52" s="196">
        <f ca="1">TblConstr[[#This Row],[Forest]]</f>
        <v>0</v>
      </c>
      <c r="D52" s="360">
        <f ca="1">TblConstr[[#This Row],[Mountain]]</f>
        <v>0</v>
      </c>
      <c r="E52" s="364">
        <f ca="1">TblConstr[[#This Row],[Hill]]</f>
        <v>0</v>
      </c>
      <c r="F52" s="368">
        <f ca="1">TblConstr[[#This Row],[Swamp]]</f>
        <v>0</v>
      </c>
      <c r="G52" s="199">
        <f ca="1">TblConstr[[#This Row],[Cavern]]</f>
        <v>0</v>
      </c>
      <c r="H52" s="200">
        <f ca="1">TblConstr[[#This Row],[Water]]</f>
        <v>0</v>
      </c>
      <c r="I52" s="231"/>
      <c r="J52" s="193">
        <f t="shared" si="1"/>
        <v>49</v>
      </c>
      <c r="K52" s="237">
        <f ca="1">TblImps[[#This Row],[Real time]]</f>
        <v>46181.999999999884</v>
      </c>
      <c r="L52" s="201"/>
      <c r="M52" s="201"/>
      <c r="N52" s="201"/>
      <c r="O52" s="201"/>
      <c r="P52" s="201"/>
      <c r="Q52" s="201"/>
      <c r="R52" s="201"/>
      <c r="S52" s="35">
        <f>SUMIF(TblRezone[[#This Row],[Plains Rezone]:[Water Rezone]],"&gt;0")</f>
        <v>0</v>
      </c>
      <c r="T52" s="148" t="str">
        <f>IF(SUM(TblRezone[[#This Row],[Plains Rezone]:[Water Rezone]])=0,"Ok","Nope")</f>
        <v>Ok</v>
      </c>
      <c r="U52" s="231"/>
      <c r="V52" s="35">
        <f ca="1">TblProd[[#This Row],[Platinum]]</f>
        <v>168547</v>
      </c>
      <c r="W52" s="231"/>
      <c r="X52" s="35">
        <f ca="1">ROUND( (1-MIN(ROUND(facs_rezone_factor*TblRezone[[#This Row],[Facs]],4),facs_rezone_max) + tech_6_4*TblTech[[#This Row],[6-4]] + tech_10_2*TblTech[[#This Row],[10-2]] - IF(TblMagic[[#This Row],[Active Mechanical Genius]]&gt;0,mech_genius_bonus,0) + race_rezone_cost) * TblRezone[[#This Row],[Plat/acre*]],0)</f>
        <v>130</v>
      </c>
      <c r="Y52" s="35">
        <f ca="1">TblRezone[[#This Row],[Total acres]]*TblRezone[[#This Row],[Plat/acre]]</f>
        <v>0</v>
      </c>
      <c r="Z52" s="231"/>
      <c r="AA52" s="35">
        <f ca="1">(250+0.6*(TblRezone[[#This Row],[Land]]-250))</f>
        <v>130</v>
      </c>
      <c r="AB52" s="231"/>
      <c r="AC52" s="165">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46182.041666666548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46182.083333333212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46182.124999999876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46182.166666666541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46182.208333333205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46182.249999999869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46182.291666666533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46182.333333333198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46182.374999999862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46182.416666666526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46182.45833333319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46182.499999999854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46182.541666666519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46182.583333333183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46182.624999999847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46182.666666666511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46182.708333333176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46182.74999999984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46182.791666666504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46182.833333333168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46182.874999999833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46182.916666666497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46182.958333333161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46182.999999999825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2">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46183.04166666649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46183.083333333154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46183.124999999818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46183.166666666482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46183.208333333147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46183.249999999811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46183.291666666475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46183.333333333139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46183.374999999804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46183.416666666468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46183.458333333132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46183.499999999796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46183.541666666461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46183.583333333125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46183.624999999789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46183.666666666453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46183.708333333117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46183.749999999782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46183.791666666446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46183.83333333311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46183.874999999774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46183.916666666439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46183.958333333103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46183.999999999767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46184.041666666431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46184.083333333096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46184.12499999976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46184.166666666424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46184.208333333088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46184.249999999753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46184.291666666417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46184.333333333081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46184.374999999745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46184.41666666641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46184.458333333074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46184.499999999738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46184.541666666402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46184.583333333067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46184.624999999731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46184.666666666395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46184.708333333059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46184.749999999724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46184.791666666388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46184.833333333052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46184.874999999716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46184.91666666638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46184.958333333045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46184.999999999709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46185.041666666373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46185.083333333037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46185.124999999702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46185.166666666366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46185.20833333303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46185.249999999694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46185.291666666359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46185.333333333023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46185.374999999687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46185.416666666351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46185.458333333016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46185.49999999968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31" t="s">
        <v>314</v>
      </c>
      <c r="B1269" s="531"/>
      <c r="I1269" s="238" t="s">
        <v>304</v>
      </c>
      <c r="L1269" s="239"/>
      <c r="M1269" s="239">
        <v>-10</v>
      </c>
      <c r="N1269" s="239">
        <v>10</v>
      </c>
      <c r="O1269" s="239"/>
      <c r="P1269" s="239"/>
      <c r="Q1269" s="239"/>
      <c r="R1269" s="239"/>
    </row>
    <row r="1270" spans="1:18" x14ac:dyDescent="0.2">
      <c r="A1270" s="28">
        <f>Overview!E17</f>
        <v>0</v>
      </c>
      <c r="B1270" s="28"/>
      <c r="L1270" s="536" t="s">
        <v>303</v>
      </c>
      <c r="M1270" s="487"/>
      <c r="N1270" s="487"/>
      <c r="O1270" s="487"/>
      <c r="P1270" s="487"/>
      <c r="Q1270" s="487"/>
      <c r="R1270" s="487"/>
    </row>
  </sheetData>
  <mergeCells count="2">
    <mergeCell ref="L1270:R1270"/>
    <mergeCell ref="A1269:B1269"/>
  </mergeCells>
  <phoneticPr fontId="0" type="noConversion"/>
  <conditionalFormatting sqref="A1271:AC60158 A137:AC1268">
    <cfRule type="expression" dxfId="435" priority="14" stopIfTrue="1">
      <formula>ROW()-2=#REF!</formula>
    </cfRule>
  </conditionalFormatting>
  <conditionalFormatting sqref="A1269:AC1270">
    <cfRule type="expression" dxfId="434" priority="15" stopIfTrue="1">
      <formula>$A$1270&gt;144</formula>
    </cfRule>
  </conditionalFormatting>
  <conditionalFormatting sqref="A1:AC3">
    <cfRule type="expression" dxfId="433" priority="19" stopIfTrue="1">
      <formula>$A$1270&lt;0</formula>
    </cfRule>
  </conditionalFormatting>
  <conditionalFormatting sqref="A4:AC136">
    <cfRule type="expression" dxfId="432" priority="1" stopIfTrue="1">
      <formula>ROW()-3=$A$1270</formula>
    </cfRule>
    <cfRule type="expression" dxfId="431" priority="2" stopIfTrue="1">
      <formula>OR(AND(ROW()-3=$A$1270,A4="Ok",XFD4&lt;&gt;0),A4="Nope")</formula>
    </cfRule>
    <cfRule type="expression" dxfId="430" priority="4">
      <formula>$J4=49</formula>
    </cfRule>
    <cfRule type="expression" dxfId="429" priority="7">
      <formula>ROUND(($J4-1)/12,0)=INT($J4-1)/12</formula>
    </cfRule>
  </conditionalFormatting>
  <conditionalFormatting sqref="T76">
    <cfRule type="expression" dxfId="428" priority="13" stopIfTrue="1">
      <formula>S76=0</formula>
    </cfRule>
  </conditionalFormatting>
  <conditionalFormatting sqref="B4:H136">
    <cfRule type="cellIs" dxfId="42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2" t="s">
        <v>31</v>
      </c>
      <c r="Q1" s="532"/>
      <c r="R1" s="532"/>
      <c r="S1" s="537" t="s">
        <v>472</v>
      </c>
      <c r="T1" s="532"/>
      <c r="U1" s="173"/>
      <c r="V1" s="532" t="s">
        <v>473</v>
      </c>
      <c r="W1" s="532"/>
      <c r="X1" s="5"/>
      <c r="Y1" s="532" t="s">
        <v>24</v>
      </c>
      <c r="Z1" s="532"/>
      <c r="AA1" s="532"/>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2" t="s">
        <v>488</v>
      </c>
      <c r="BJ1" s="532"/>
      <c r="BK1" s="532"/>
      <c r="BL1" s="532"/>
      <c r="BM1" s="532"/>
      <c r="BN1" s="532"/>
      <c r="BO1" s="532"/>
      <c r="BP1" s="532"/>
      <c r="BQ1" s="533"/>
      <c r="BR1" s="533"/>
      <c r="BS1" s="533"/>
      <c r="BT1" s="533"/>
      <c r="BU1" s="5"/>
      <c r="BW1" s="534" t="s">
        <v>296</v>
      </c>
      <c r="BX1" s="487"/>
      <c r="BY1" s="487"/>
      <c r="BZ1" s="28"/>
      <c r="CA1" s="5"/>
      <c r="CB1" s="5"/>
      <c r="CC1" s="28"/>
      <c r="CD1" s="28"/>
      <c r="CE1" s="28"/>
      <c r="CF1" s="28"/>
      <c r="CG1" s="28"/>
      <c r="CH1" s="28"/>
      <c r="CI1" s="28"/>
      <c r="CJ1" s="28"/>
      <c r="CK1" s="5"/>
      <c r="CL1" s="5"/>
      <c r="CM1" s="5"/>
      <c r="CO1" s="532" t="s">
        <v>310</v>
      </c>
      <c r="CP1" s="532"/>
      <c r="CQ1" s="532"/>
      <c r="CR1" s="533"/>
      <c r="CS1" s="533"/>
      <c r="CT1" s="533"/>
      <c r="CU1" s="533"/>
      <c r="CV1" s="533"/>
      <c r="CW1" s="533"/>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1073</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1073</v>
      </c>
      <c r="AM2" s="240" t="s">
        <v>26</v>
      </c>
      <c r="AN2" s="240" t="s">
        <v>27</v>
      </c>
      <c r="AO2" s="5"/>
      <c r="AQ2" s="5"/>
      <c r="AR2" s="242" t="str">
        <f>INDEX(Constants!A138:B159,MATCH(race,Constants!A138:A159,0),2)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1073</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765</v>
      </c>
      <c r="E3" s="135" t="s">
        <v>761</v>
      </c>
      <c r="F3" s="135" t="s">
        <v>762</v>
      </c>
      <c r="G3" s="135" t="s">
        <v>763</v>
      </c>
      <c r="H3" s="135" t="s">
        <v>764</v>
      </c>
      <c r="I3" s="135" t="s">
        <v>25</v>
      </c>
      <c r="J3" s="135" t="s">
        <v>1073</v>
      </c>
      <c r="K3" s="135" t="s">
        <v>26</v>
      </c>
      <c r="L3" s="135" t="s">
        <v>27</v>
      </c>
      <c r="M3" s="135" t="s">
        <v>766</v>
      </c>
      <c r="N3" s="135" t="s">
        <v>230</v>
      </c>
      <c r="O3" s="135" t="s">
        <v>767</v>
      </c>
      <c r="P3" s="135" t="s">
        <v>188</v>
      </c>
      <c r="Q3" s="135" t="s">
        <v>790</v>
      </c>
      <c r="R3" s="135" t="s">
        <v>227</v>
      </c>
      <c r="S3" s="243" t="s">
        <v>474</v>
      </c>
      <c r="T3" s="135" t="s">
        <v>471</v>
      </c>
      <c r="U3" s="135" t="s">
        <v>791</v>
      </c>
      <c r="V3" s="244" t="s">
        <v>859</v>
      </c>
      <c r="W3" s="135" t="s">
        <v>860</v>
      </c>
      <c r="X3" s="135" t="s">
        <v>1</v>
      </c>
      <c r="Y3" s="135" t="s">
        <v>179</v>
      </c>
      <c r="Z3" s="135" t="s">
        <v>178</v>
      </c>
      <c r="AA3" s="135" t="s">
        <v>24</v>
      </c>
      <c r="AB3" s="135" t="s">
        <v>780</v>
      </c>
      <c r="AC3" s="135" t="s">
        <v>183</v>
      </c>
      <c r="AD3" s="135" t="s">
        <v>781</v>
      </c>
      <c r="AE3" s="135" t="s">
        <v>845</v>
      </c>
      <c r="AF3" s="135" t="s">
        <v>309</v>
      </c>
      <c r="AG3" s="135" t="s">
        <v>774</v>
      </c>
      <c r="AH3" s="135" t="s">
        <v>775</v>
      </c>
      <c r="AI3" s="135" t="s">
        <v>776</v>
      </c>
      <c r="AJ3" s="135" t="s">
        <v>777</v>
      </c>
      <c r="AK3" s="135" t="s">
        <v>778</v>
      </c>
      <c r="AL3" s="135" t="s">
        <v>1072</v>
      </c>
      <c r="AM3" s="135" t="s">
        <v>779</v>
      </c>
      <c r="AN3" s="135" t="s">
        <v>1071</v>
      </c>
      <c r="AO3" s="135" t="s">
        <v>1106</v>
      </c>
      <c r="AP3" s="135" t="s">
        <v>1037</v>
      </c>
      <c r="AQ3" s="135" t="s">
        <v>2</v>
      </c>
      <c r="AR3" s="243" t="s">
        <v>997</v>
      </c>
      <c r="AS3" s="135" t="s">
        <v>792</v>
      </c>
      <c r="AT3" s="243" t="s">
        <v>998</v>
      </c>
      <c r="AU3" s="135" t="s">
        <v>1034</v>
      </c>
      <c r="AV3" s="135" t="s">
        <v>1036</v>
      </c>
      <c r="AW3" s="135" t="s">
        <v>1132</v>
      </c>
      <c r="AX3" s="135" t="s">
        <v>783</v>
      </c>
      <c r="AY3" s="135" t="s">
        <v>784</v>
      </c>
      <c r="AZ3" s="135" t="s">
        <v>785</v>
      </c>
      <c r="BA3" s="135" t="s">
        <v>786</v>
      </c>
      <c r="BB3" s="135" t="s">
        <v>787</v>
      </c>
      <c r="BC3" s="135" t="s">
        <v>788</v>
      </c>
      <c r="BD3" s="135" t="s">
        <v>1074</v>
      </c>
      <c r="BE3" s="135" t="s">
        <v>789</v>
      </c>
      <c r="BF3" s="135" t="s">
        <v>1075</v>
      </c>
      <c r="BG3" s="135" t="s">
        <v>1005</v>
      </c>
      <c r="BH3" s="135" t="s">
        <v>231</v>
      </c>
      <c r="BI3" s="135" t="s">
        <v>352</v>
      </c>
      <c r="BJ3" s="135" t="s">
        <v>489</v>
      </c>
      <c r="BK3" s="135" t="s">
        <v>490</v>
      </c>
      <c r="BL3" s="135" t="s">
        <v>491</v>
      </c>
      <c r="BM3" s="135" t="s">
        <v>492</v>
      </c>
      <c r="BN3" s="135" t="s">
        <v>493</v>
      </c>
      <c r="BO3" s="135" t="s">
        <v>494</v>
      </c>
      <c r="BP3" s="135" t="s">
        <v>495</v>
      </c>
      <c r="BQ3" s="135" t="s">
        <v>496</v>
      </c>
      <c r="BR3" s="135" t="s">
        <v>888</v>
      </c>
      <c r="BS3" s="135" t="s">
        <v>1076</v>
      </c>
      <c r="BT3" s="135" t="s">
        <v>889</v>
      </c>
      <c r="BU3" s="135" t="s">
        <v>890</v>
      </c>
      <c r="BV3" s="135" t="s">
        <v>353</v>
      </c>
      <c r="BW3" s="135" t="s">
        <v>1122</v>
      </c>
      <c r="BX3" s="135" t="s">
        <v>295</v>
      </c>
      <c r="BY3" s="135" t="s">
        <v>124</v>
      </c>
      <c r="BZ3" s="135" t="s">
        <v>1000</v>
      </c>
      <c r="CA3" s="135" t="s">
        <v>999</v>
      </c>
      <c r="CB3" s="135" t="s">
        <v>139</v>
      </c>
      <c r="CC3" s="135" t="s">
        <v>132</v>
      </c>
      <c r="CD3" s="135" t="s">
        <v>1058</v>
      </c>
      <c r="CE3" s="135" t="s">
        <v>1059</v>
      </c>
      <c r="CF3" s="135" t="s">
        <v>326</v>
      </c>
      <c r="CG3" s="135" t="s">
        <v>327</v>
      </c>
      <c r="CH3" s="135" t="s">
        <v>331</v>
      </c>
      <c r="CI3" s="135" t="s">
        <v>332</v>
      </c>
      <c r="CJ3" s="135" t="s">
        <v>143</v>
      </c>
      <c r="CK3" s="135" t="s">
        <v>498</v>
      </c>
      <c r="CL3" s="135" t="s">
        <v>1130</v>
      </c>
      <c r="CM3" s="135" t="s">
        <v>1155</v>
      </c>
      <c r="CN3" s="245" t="s">
        <v>769</v>
      </c>
      <c r="CO3" s="245" t="s">
        <v>770</v>
      </c>
      <c r="CP3" s="245" t="s">
        <v>771</v>
      </c>
      <c r="CQ3" s="135" t="s">
        <v>1001</v>
      </c>
      <c r="CR3" s="135" t="s">
        <v>874</v>
      </c>
      <c r="CS3" s="135" t="s">
        <v>875</v>
      </c>
      <c r="CT3" s="135" t="s">
        <v>876</v>
      </c>
      <c r="CU3" s="135" t="s">
        <v>877</v>
      </c>
      <c r="CV3" s="135" t="s">
        <v>878</v>
      </c>
      <c r="CW3" s="135" t="s">
        <v>879</v>
      </c>
      <c r="CX3" s="135" t="s">
        <v>880</v>
      </c>
      <c r="CY3" s="135" t="s">
        <v>881</v>
      </c>
      <c r="CZ3" s="135" t="s">
        <v>882</v>
      </c>
      <c r="DA3" s="135" t="s">
        <v>883</v>
      </c>
      <c r="DB3" s="135" t="s">
        <v>884</v>
      </c>
      <c r="DC3" s="245" t="s">
        <v>772</v>
      </c>
      <c r="DD3" s="135" t="s">
        <v>1066</v>
      </c>
      <c r="DE3" s="245" t="s">
        <v>773</v>
      </c>
      <c r="DF3" s="135" t="s">
        <v>885</v>
      </c>
      <c r="DG3" s="135" t="s">
        <v>1115</v>
      </c>
      <c r="DH3" s="135" t="s">
        <v>886</v>
      </c>
      <c r="DI3" s="135" t="s">
        <v>887</v>
      </c>
    </row>
    <row r="4" spans="1:113" x14ac:dyDescent="0.2">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46180</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46180</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315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TblMili[[#This Row],[Mystic]]*2</f>
        <v>4</v>
      </c>
      <c r="CR4" s="251">
        <f ca="1">TblMili[[#This Row],[Druid (op)]]*2</f>
        <v>4</v>
      </c>
      <c r="CS4" s="94">
        <f ca="1">TblMili[[#This Row],[Mystic bonus]]*TblMili[[#This Row],[Unit 3]]+TblMili[[#This Row],[Druid bonus]]*TblMili[[#This Row],[Unit 4]]</f>
        <v>0</v>
      </c>
      <c r="CT4" s="155">
        <f ca="1">TblMili[[#This Row],[Dryad]]*2</f>
        <v>5.9999999999999991</v>
      </c>
      <c r="CU4" s="94">
        <f ca="1">sylvan*(TblMili[[#This Row],[Mystic bonus]]*TblMili[[#This Row],[Unit 3]])</f>
        <v>0</v>
      </c>
      <c r="CV4" s="155">
        <f ca="1">TblMili[[#This Row],[Rockapult]]*2</f>
        <v>4</v>
      </c>
      <c r="CW4" s="94">
        <f ca="1">gnome*(TblMili[[#This Row],[Rockapult bonus]]*TblMili[[#This Row],[Unit 3]])</f>
        <v>0</v>
      </c>
      <c r="CX4" s="155">
        <f ca="1">TblMili[[#This Row],[Adept-DP]]*2</f>
        <v>0</v>
      </c>
      <c r="CY4" s="94">
        <f ca="1">dark_elf*(TblMili[[#This Row],[Adept bonus]]*TblMili[[#This Row],[Unit 3]])</f>
        <v>0</v>
      </c>
      <c r="CZ4" s="251">
        <f ca="1">TblMili[[#This Row],[Frost Mage]]*2</f>
        <v>5.9999999999999991</v>
      </c>
      <c r="DA4" s="251">
        <f ca="1">TblMili[[#This Row],[Ice Elemental]]*2</f>
        <v>0</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250"/>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5" s="154"/>
      <c r="AC5" s="180">
        <f ca="1">(TblConstr[[#This Row],[Tot Smi]]+TblConstr[[#This Row],[Dest Smi]])/(TblConstr[[#This Row],[Land]]-TblExplore[[#This Row],[Land Bonus]]*20)</f>
        <v>0</v>
      </c>
      <c r="AD5" s="137"/>
      <c r="AE5" s="246">
        <f>TblMili[[#This Row],[Hour]]</f>
        <v>2</v>
      </c>
      <c r="AF5" s="138">
        <f ca="1">TblExplore[[#This Row],[Time]]</f>
        <v>46180.041666666664</v>
      </c>
      <c r="AG5" s="179"/>
      <c r="AH5" s="179"/>
      <c r="AI5" s="179"/>
      <c r="AJ5" s="179"/>
      <c r="AK5" s="179"/>
      <c r="AL5" s="179"/>
      <c r="AM5" s="179"/>
      <c r="AN5" s="179"/>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46180.041666666664</v>
      </c>
      <c r="AW5" s="94">
        <f ca="1">TblMili[[#This Row],[Draftees]]</f>
        <v>305</v>
      </c>
      <c r="AX5" s="158"/>
      <c r="AY5" s="179"/>
      <c r="AZ5" s="179"/>
      <c r="BA5" s="179"/>
      <c r="BB5" s="179"/>
      <c r="BC5" s="179"/>
      <c r="BD5" s="179"/>
      <c r="BE5" s="179"/>
      <c r="BF5" s="17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315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TblMili[[#This Row],[Mystic]]*2</f>
        <v>4</v>
      </c>
      <c r="CR5" s="251">
        <f ca="1">TblMili[[#This Row],[Druid (op)]]*2</f>
        <v>4</v>
      </c>
      <c r="CS5" s="94">
        <f ca="1">TblMili[[#This Row],[Mystic bonus]]*TblMili[[#This Row],[Unit 3]]+TblMili[[#This Row],[Druid bonus]]*TblMili[[#This Row],[Unit 4]]</f>
        <v>0</v>
      </c>
      <c r="CT5" s="155">
        <f ca="1">TblMili[[#This Row],[Dryad]]*2</f>
        <v>5.9999999999999991</v>
      </c>
      <c r="CU5" s="94">
        <f ca="1">sylvan*(TblMili[[#This Row],[Mystic bonus]]*TblMili[[#This Row],[Unit 3]])</f>
        <v>0</v>
      </c>
      <c r="CV5" s="155">
        <f ca="1">TblMili[[#This Row],[Rockapult]]*2</f>
        <v>4</v>
      </c>
      <c r="CW5" s="94">
        <f ca="1">gnome*(TblMili[[#This Row],[Rockapult bonus]]*TblMili[[#This Row],[Unit 3]])</f>
        <v>0</v>
      </c>
      <c r="CX5" s="155">
        <f ca="1">TblMili[[#This Row],[Adept-DP]]*2</f>
        <v>0</v>
      </c>
      <c r="CY5" s="94">
        <f ca="1">dark_elf*(TblMili[[#This Row],[Adept bonus]]*TblMili[[#This Row],[Unit 3]])</f>
        <v>0</v>
      </c>
      <c r="CZ5" s="155">
        <f ca="1">TblMili[[#This Row],[Frost Mage]]*2</f>
        <v>5.9999999999999991</v>
      </c>
      <c r="DA5" s="155">
        <f ca="1">TblMili[[#This Row],[Ice Elemental]]*2</f>
        <v>0</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250"/>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6" s="154"/>
      <c r="AC6" s="180">
        <f ca="1">(TblConstr[[#This Row],[Tot Smi]]+TblConstr[[#This Row],[Dest Smi]])/(TblConstr[[#This Row],[Land]]-TblExplore[[#This Row],[Land Bonus]]*20)</f>
        <v>0</v>
      </c>
      <c r="AD6" s="137"/>
      <c r="AE6" s="246">
        <f>TblMili[[#This Row],[Hour]]</f>
        <v>3</v>
      </c>
      <c r="AF6" s="138">
        <f ca="1">TblExplore[[#This Row],[Time]]</f>
        <v>46180.083333333328</v>
      </c>
      <c r="AG6" s="179"/>
      <c r="AH6" s="179"/>
      <c r="AI6" s="179"/>
      <c r="AJ6" s="179"/>
      <c r="AK6" s="179"/>
      <c r="AL6" s="179"/>
      <c r="AM6" s="179"/>
      <c r="AN6" s="179"/>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46180.083333333328</v>
      </c>
      <c r="AW6" s="94">
        <f ca="1">TblMili[[#This Row],[Draftees]]</f>
        <v>310</v>
      </c>
      <c r="AX6" s="179"/>
      <c r="AY6" s="179"/>
      <c r="AZ6" s="179"/>
      <c r="BA6" s="179"/>
      <c r="BB6" s="179"/>
      <c r="BC6" s="179"/>
      <c r="BD6" s="179"/>
      <c r="BE6" s="179"/>
      <c r="BF6" s="17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315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TblMili[[#This Row],[Mystic]]*2</f>
        <v>4</v>
      </c>
      <c r="CR6" s="251">
        <f ca="1">TblMili[[#This Row],[Druid (op)]]*2</f>
        <v>4</v>
      </c>
      <c r="CS6" s="94">
        <f ca="1">TblMili[[#This Row],[Mystic bonus]]*TblMili[[#This Row],[Unit 3]]+TblMili[[#This Row],[Druid bonus]]*TblMili[[#This Row],[Unit 4]]</f>
        <v>0</v>
      </c>
      <c r="CT6" s="155">
        <f ca="1">TblMili[[#This Row],[Dryad]]*2</f>
        <v>5.9999999999999991</v>
      </c>
      <c r="CU6" s="94">
        <f ca="1">sylvan*(TblMili[[#This Row],[Mystic bonus]]*TblMili[[#This Row],[Unit 3]])</f>
        <v>0</v>
      </c>
      <c r="CV6" s="155">
        <f ca="1">TblMili[[#This Row],[Rockapult]]*2</f>
        <v>4</v>
      </c>
      <c r="CW6" s="94">
        <f ca="1">gnome*(TblMili[[#This Row],[Rockapult bonus]]*TblMili[[#This Row],[Unit 3]])</f>
        <v>0</v>
      </c>
      <c r="CX6" s="155">
        <f ca="1">TblMili[[#This Row],[Adept-DP]]*2</f>
        <v>0</v>
      </c>
      <c r="CY6" s="94">
        <f ca="1">dark_elf*(TblMili[[#This Row],[Adept bonus]]*TblMili[[#This Row],[Unit 3]])</f>
        <v>0</v>
      </c>
      <c r="CZ6" s="155">
        <f ca="1">TblMili[[#This Row],[Frost Mage]]*2</f>
        <v>5.9999999999999991</v>
      </c>
      <c r="DA6" s="155">
        <f ca="1">TblMili[[#This Row],[Ice Elemental]]*2</f>
        <v>0</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250"/>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7" s="154"/>
      <c r="AC7" s="180">
        <f ca="1">(TblConstr[[#This Row],[Tot Smi]]+TblConstr[[#This Row],[Dest Smi]])/(TblConstr[[#This Row],[Land]]-TblExplore[[#This Row],[Land Bonus]]*20)</f>
        <v>0</v>
      </c>
      <c r="AD7" s="137"/>
      <c r="AE7" s="246">
        <f>TblMili[[#This Row],[Hour]]</f>
        <v>4</v>
      </c>
      <c r="AF7" s="138">
        <f ca="1">TblExplore[[#This Row],[Time]]</f>
        <v>46180.124999999993</v>
      </c>
      <c r="AG7" s="179"/>
      <c r="AH7" s="179"/>
      <c r="AI7" s="179"/>
      <c r="AJ7" s="179"/>
      <c r="AK7" s="179"/>
      <c r="AL7" s="179"/>
      <c r="AM7" s="179"/>
      <c r="AN7" s="179"/>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46180.124999999993</v>
      </c>
      <c r="AW7" s="94">
        <f ca="1">TblMili[[#This Row],[Draftees]]</f>
        <v>315</v>
      </c>
      <c r="AX7" s="179"/>
      <c r="AY7" s="179"/>
      <c r="AZ7" s="179"/>
      <c r="BA7" s="179"/>
      <c r="BB7" s="179"/>
      <c r="BC7" s="179"/>
      <c r="BD7" s="179"/>
      <c r="BE7" s="179"/>
      <c r="BF7" s="17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315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TblMili[[#This Row],[Mystic]]*2</f>
        <v>4</v>
      </c>
      <c r="CR7" s="251">
        <f ca="1">TblMili[[#This Row],[Druid (op)]]*2</f>
        <v>4</v>
      </c>
      <c r="CS7" s="94">
        <f ca="1">TblMili[[#This Row],[Mystic bonus]]*TblMili[[#This Row],[Unit 3]]+TblMili[[#This Row],[Druid bonus]]*TblMili[[#This Row],[Unit 4]]</f>
        <v>0</v>
      </c>
      <c r="CT7" s="155">
        <f ca="1">TblMili[[#This Row],[Dryad]]*2</f>
        <v>5.9999999999999991</v>
      </c>
      <c r="CU7" s="94">
        <f ca="1">sylvan*(TblMili[[#This Row],[Mystic bonus]]*TblMili[[#This Row],[Unit 3]])</f>
        <v>0</v>
      </c>
      <c r="CV7" s="155">
        <f ca="1">TblMili[[#This Row],[Rockapult]]*2</f>
        <v>4</v>
      </c>
      <c r="CW7" s="94">
        <f ca="1">gnome*(TblMili[[#This Row],[Rockapult bonus]]*TblMili[[#This Row],[Unit 3]])</f>
        <v>0</v>
      </c>
      <c r="CX7" s="155">
        <f ca="1">TblMili[[#This Row],[Adept-DP]]*2</f>
        <v>0</v>
      </c>
      <c r="CY7" s="94">
        <f ca="1">dark_elf*(TblMili[[#This Row],[Adept bonus]]*TblMili[[#This Row],[Unit 3]])</f>
        <v>0</v>
      </c>
      <c r="CZ7" s="155">
        <f ca="1">TblMili[[#This Row],[Frost Mage]]*2</f>
        <v>5.9999999999999991</v>
      </c>
      <c r="DA7" s="155">
        <f ca="1">TblMili[[#This Row],[Ice Elemental]]*2</f>
        <v>0</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250"/>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8" s="154"/>
      <c r="AC8" s="180">
        <f ca="1">(TblConstr[[#This Row],[Tot Smi]]+TblConstr[[#This Row],[Dest Smi]])/(TblConstr[[#This Row],[Land]]-TblExplore[[#This Row],[Land Bonus]]*20)</f>
        <v>0</v>
      </c>
      <c r="AD8" s="137"/>
      <c r="AE8" s="246">
        <f>TblMili[[#This Row],[Hour]]</f>
        <v>5</v>
      </c>
      <c r="AF8" s="138">
        <f ca="1">TblExplore[[#This Row],[Time]]</f>
        <v>46180.166666666657</v>
      </c>
      <c r="AG8" s="179"/>
      <c r="AH8" s="179"/>
      <c r="AI8" s="179"/>
      <c r="AJ8" s="179"/>
      <c r="AK8" s="179"/>
      <c r="AL8" s="179"/>
      <c r="AM8" s="179"/>
      <c r="AN8" s="179"/>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46180.166666666657</v>
      </c>
      <c r="AW8" s="94">
        <f ca="1">TblMili[[#This Row],[Draftees]]</f>
        <v>320</v>
      </c>
      <c r="AX8" s="179"/>
      <c r="AY8" s="179"/>
      <c r="AZ8" s="179"/>
      <c r="BA8" s="179"/>
      <c r="BB8" s="179"/>
      <c r="BC8" s="179"/>
      <c r="BD8" s="179"/>
      <c r="BE8" s="179"/>
      <c r="BF8" s="17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315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TblMili[[#This Row],[Mystic]]*2</f>
        <v>4</v>
      </c>
      <c r="CR8" s="251">
        <f ca="1">TblMili[[#This Row],[Druid (op)]]*2</f>
        <v>4</v>
      </c>
      <c r="CS8" s="94">
        <f ca="1">TblMili[[#This Row],[Mystic bonus]]*TblMili[[#This Row],[Unit 3]]+TblMili[[#This Row],[Druid bonus]]*TblMili[[#This Row],[Unit 4]]</f>
        <v>0</v>
      </c>
      <c r="CT8" s="155">
        <f ca="1">TblMili[[#This Row],[Dryad]]*2</f>
        <v>5.9999999999999991</v>
      </c>
      <c r="CU8" s="94">
        <f ca="1">sylvan*(TblMili[[#This Row],[Mystic bonus]]*TblMili[[#This Row],[Unit 3]])</f>
        <v>0</v>
      </c>
      <c r="CV8" s="155">
        <f ca="1">TblMili[[#This Row],[Rockapult]]*2</f>
        <v>4</v>
      </c>
      <c r="CW8" s="94">
        <f ca="1">gnome*(TblMili[[#This Row],[Rockapult bonus]]*TblMili[[#This Row],[Unit 3]])</f>
        <v>0</v>
      </c>
      <c r="CX8" s="155">
        <f ca="1">TblMili[[#This Row],[Adept-DP]]*2</f>
        <v>0</v>
      </c>
      <c r="CY8" s="94">
        <f ca="1">dark_elf*(TblMili[[#This Row],[Adept bonus]]*TblMili[[#This Row],[Unit 3]])</f>
        <v>0</v>
      </c>
      <c r="CZ8" s="155">
        <f ca="1">TblMili[[#This Row],[Frost Mage]]*2</f>
        <v>5.9999999999999991</v>
      </c>
      <c r="DA8" s="155">
        <f ca="1">TblMili[[#This Row],[Ice Elemental]]*2</f>
        <v>0</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250"/>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9" s="154"/>
      <c r="AC9" s="180">
        <f ca="1">(TblConstr[[#This Row],[Tot Smi]]+TblConstr[[#This Row],[Dest Smi]])/(TblConstr[[#This Row],[Land]]-TblExplore[[#This Row],[Land Bonus]]*20)</f>
        <v>0</v>
      </c>
      <c r="AD9" s="137"/>
      <c r="AE9" s="246">
        <f>TblMili[[#This Row],[Hour]]</f>
        <v>6</v>
      </c>
      <c r="AF9" s="138">
        <f ca="1">TblExplore[[#This Row],[Time]]</f>
        <v>46180.208333333321</v>
      </c>
      <c r="AG9" s="179"/>
      <c r="AH9" s="179"/>
      <c r="AI9" s="179"/>
      <c r="AJ9" s="179"/>
      <c r="AK9" s="179"/>
      <c r="AL9" s="179"/>
      <c r="AM9" s="179"/>
      <c r="AN9" s="179"/>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46180.208333333321</v>
      </c>
      <c r="AW9" s="94">
        <f ca="1">TblMili[[#This Row],[Draftees]]</f>
        <v>324</v>
      </c>
      <c r="AX9" s="179"/>
      <c r="AY9" s="179"/>
      <c r="AZ9" s="179"/>
      <c r="BA9" s="179"/>
      <c r="BB9" s="179"/>
      <c r="BC9" s="179"/>
      <c r="BD9" s="179"/>
      <c r="BE9" s="179"/>
      <c r="BF9" s="17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315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TblMili[[#This Row],[Mystic]]*2</f>
        <v>4</v>
      </c>
      <c r="CR9" s="251">
        <f ca="1">TblMili[[#This Row],[Druid (op)]]*2</f>
        <v>4</v>
      </c>
      <c r="CS9" s="94">
        <f ca="1">TblMili[[#This Row],[Mystic bonus]]*TblMili[[#This Row],[Unit 3]]+TblMili[[#This Row],[Druid bonus]]*TblMili[[#This Row],[Unit 4]]</f>
        <v>0</v>
      </c>
      <c r="CT9" s="155">
        <f ca="1">TblMili[[#This Row],[Dryad]]*2</f>
        <v>5.9999999999999991</v>
      </c>
      <c r="CU9" s="94">
        <f ca="1">sylvan*(TblMili[[#This Row],[Mystic bonus]]*TblMili[[#This Row],[Unit 3]])</f>
        <v>0</v>
      </c>
      <c r="CV9" s="155">
        <f ca="1">TblMili[[#This Row],[Rockapult]]*2</f>
        <v>4</v>
      </c>
      <c r="CW9" s="94">
        <f ca="1">gnome*(TblMili[[#This Row],[Rockapult bonus]]*TblMili[[#This Row],[Unit 3]])</f>
        <v>0</v>
      </c>
      <c r="CX9" s="155">
        <f ca="1">TblMili[[#This Row],[Adept-DP]]*2</f>
        <v>0</v>
      </c>
      <c r="CY9" s="94">
        <f ca="1">dark_elf*(TblMili[[#This Row],[Adept bonus]]*TblMili[[#This Row],[Unit 3]])</f>
        <v>0</v>
      </c>
      <c r="CZ9" s="155">
        <f ca="1">TblMili[[#This Row],[Frost Mage]]*2</f>
        <v>5.9999999999999991</v>
      </c>
      <c r="DA9" s="155">
        <f ca="1">TblMili[[#This Row],[Ice Elemental]]*2</f>
        <v>0</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250"/>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10" s="154"/>
      <c r="AC10" s="180">
        <f ca="1">(TblConstr[[#This Row],[Tot Smi]]+TblConstr[[#This Row],[Dest Smi]])/(TblConstr[[#This Row],[Land]]-TblExplore[[#This Row],[Land Bonus]]*20)</f>
        <v>0</v>
      </c>
      <c r="AD10" s="137"/>
      <c r="AE10" s="246">
        <f>TblMili[[#This Row],[Hour]]</f>
        <v>7</v>
      </c>
      <c r="AF10" s="138">
        <f ca="1">TblExplore[[#This Row],[Time]]</f>
        <v>46180.249999999985</v>
      </c>
      <c r="AG10" s="179"/>
      <c r="AH10" s="179"/>
      <c r="AI10" s="179"/>
      <c r="AJ10" s="179"/>
      <c r="AK10" s="179"/>
      <c r="AL10" s="179"/>
      <c r="AM10" s="179"/>
      <c r="AN10" s="179"/>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46180.249999999985</v>
      </c>
      <c r="AW10" s="94">
        <f ca="1">TblMili[[#This Row],[Draftees]]</f>
        <v>328</v>
      </c>
      <c r="AX10" s="179"/>
      <c r="AY10" s="179"/>
      <c r="AZ10" s="179"/>
      <c r="BA10" s="179"/>
      <c r="BB10" s="179"/>
      <c r="BC10" s="179"/>
      <c r="BD10" s="179"/>
      <c r="BE10" s="179"/>
      <c r="BF10" s="17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315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TblMili[[#This Row],[Mystic]]*2</f>
        <v>4</v>
      </c>
      <c r="CR10" s="251">
        <f ca="1">TblMili[[#This Row],[Druid (op)]]*2</f>
        <v>4</v>
      </c>
      <c r="CS10" s="94">
        <f ca="1">TblMili[[#This Row],[Mystic bonus]]*TblMili[[#This Row],[Unit 3]]+TblMili[[#This Row],[Druid bonus]]*TblMili[[#This Row],[Unit 4]]</f>
        <v>0</v>
      </c>
      <c r="CT10" s="155">
        <f ca="1">TblMili[[#This Row],[Dryad]]*2</f>
        <v>5.9999999999999991</v>
      </c>
      <c r="CU10" s="94">
        <f ca="1">sylvan*(TblMili[[#This Row],[Mystic bonus]]*TblMili[[#This Row],[Unit 3]])</f>
        <v>0</v>
      </c>
      <c r="CV10" s="155">
        <f ca="1">TblMili[[#This Row],[Rockapult]]*2</f>
        <v>4</v>
      </c>
      <c r="CW10" s="94">
        <f ca="1">gnome*(TblMili[[#This Row],[Rockapult bonus]]*TblMili[[#This Row],[Unit 3]])</f>
        <v>0</v>
      </c>
      <c r="CX10" s="155">
        <f ca="1">TblMili[[#This Row],[Adept-DP]]*2</f>
        <v>0</v>
      </c>
      <c r="CY10" s="94">
        <f ca="1">dark_elf*(TblMili[[#This Row],[Adept bonus]]*TblMili[[#This Row],[Unit 3]])</f>
        <v>0</v>
      </c>
      <c r="CZ10" s="155">
        <f ca="1">TblMili[[#This Row],[Frost Mage]]*2</f>
        <v>5.9999999999999991</v>
      </c>
      <c r="DA10" s="155">
        <f ca="1">TblMili[[#This Row],[Ice Elemental]]*2</f>
        <v>0</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250"/>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11" s="154"/>
      <c r="AC11" s="180">
        <f ca="1">(TblConstr[[#This Row],[Tot Smi]]+TblConstr[[#This Row],[Dest Smi]])/(TblConstr[[#This Row],[Land]]-TblExplore[[#This Row],[Land Bonus]]*20)</f>
        <v>0</v>
      </c>
      <c r="AD11" s="137"/>
      <c r="AE11" s="246">
        <f>TblMili[[#This Row],[Hour]]</f>
        <v>8</v>
      </c>
      <c r="AF11" s="138">
        <f ca="1">TblExplore[[#This Row],[Time]]</f>
        <v>46180.29166666665</v>
      </c>
      <c r="AG11" s="179"/>
      <c r="AH11" s="179"/>
      <c r="AI11" s="179"/>
      <c r="AJ11" s="179"/>
      <c r="AK11" s="179"/>
      <c r="AL11" s="179"/>
      <c r="AM11" s="179"/>
      <c r="AN11" s="179"/>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46180.29166666665</v>
      </c>
      <c r="AW11" s="94">
        <f ca="1">TblMili[[#This Row],[Draftees]]</f>
        <v>332</v>
      </c>
      <c r="AX11" s="179"/>
      <c r="AY11" s="179"/>
      <c r="AZ11" s="179"/>
      <c r="BA11" s="179"/>
      <c r="BB11" s="179"/>
      <c r="BC11" s="179"/>
      <c r="BD11" s="179"/>
      <c r="BE11" s="179"/>
      <c r="BF11" s="17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315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TblMili[[#This Row],[Mystic]]*2</f>
        <v>4</v>
      </c>
      <c r="CR11" s="251">
        <f ca="1">TblMili[[#This Row],[Druid (op)]]*2</f>
        <v>4</v>
      </c>
      <c r="CS11" s="94">
        <f ca="1">TblMili[[#This Row],[Mystic bonus]]*TblMili[[#This Row],[Unit 3]]+TblMili[[#This Row],[Druid bonus]]*TblMili[[#This Row],[Unit 4]]</f>
        <v>0</v>
      </c>
      <c r="CT11" s="155">
        <f ca="1">TblMili[[#This Row],[Dryad]]*2</f>
        <v>5.9999999999999991</v>
      </c>
      <c r="CU11" s="94">
        <f ca="1">sylvan*(TblMili[[#This Row],[Mystic bonus]]*TblMili[[#This Row],[Unit 3]])</f>
        <v>0</v>
      </c>
      <c r="CV11" s="155">
        <f ca="1">TblMili[[#This Row],[Rockapult]]*2</f>
        <v>4</v>
      </c>
      <c r="CW11" s="94">
        <f ca="1">gnome*(TblMili[[#This Row],[Rockapult bonus]]*TblMili[[#This Row],[Unit 3]])</f>
        <v>0</v>
      </c>
      <c r="CX11" s="155">
        <f ca="1">TblMili[[#This Row],[Adept-DP]]*2</f>
        <v>0</v>
      </c>
      <c r="CY11" s="94">
        <f ca="1">dark_elf*(TblMili[[#This Row],[Adept bonus]]*TblMili[[#This Row],[Unit 3]])</f>
        <v>0</v>
      </c>
      <c r="CZ11" s="155">
        <f ca="1">TblMili[[#This Row],[Frost Mage]]*2</f>
        <v>5.9999999999999991</v>
      </c>
      <c r="DA11" s="155">
        <f ca="1">TblMili[[#This Row],[Ice Elemental]]*2</f>
        <v>0</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250"/>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12" s="154"/>
      <c r="AC12" s="180">
        <f ca="1">(TblConstr[[#This Row],[Tot Smi]]+TblConstr[[#This Row],[Dest Smi]])/(TblConstr[[#This Row],[Land]]-TblExplore[[#This Row],[Land Bonus]]*20)</f>
        <v>0</v>
      </c>
      <c r="AD12" s="137"/>
      <c r="AE12" s="246">
        <f>TblMili[[#This Row],[Hour]]</f>
        <v>9</v>
      </c>
      <c r="AF12" s="138">
        <f ca="1">TblExplore[[#This Row],[Time]]</f>
        <v>46180.333333333314</v>
      </c>
      <c r="AG12" s="179"/>
      <c r="AH12" s="179"/>
      <c r="AI12" s="179"/>
      <c r="AJ12" s="179"/>
      <c r="AK12" s="179"/>
      <c r="AL12" s="179"/>
      <c r="AM12" s="179"/>
      <c r="AN12" s="179"/>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46180.333333333314</v>
      </c>
      <c r="AW12" s="94">
        <f ca="1">TblMili[[#This Row],[Draftees]]</f>
        <v>336</v>
      </c>
      <c r="AX12" s="179"/>
      <c r="AY12" s="179"/>
      <c r="AZ12" s="179"/>
      <c r="BA12" s="179"/>
      <c r="BB12" s="179"/>
      <c r="BC12" s="179"/>
      <c r="BD12" s="179"/>
      <c r="BE12" s="179"/>
      <c r="BF12" s="17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315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TblMili[[#This Row],[Mystic]]*2</f>
        <v>4</v>
      </c>
      <c r="CR12" s="251">
        <f ca="1">TblMili[[#This Row],[Druid (op)]]*2</f>
        <v>4</v>
      </c>
      <c r="CS12" s="94">
        <f ca="1">TblMili[[#This Row],[Mystic bonus]]*TblMili[[#This Row],[Unit 3]]+TblMili[[#This Row],[Druid bonus]]*TblMili[[#This Row],[Unit 4]]</f>
        <v>0</v>
      </c>
      <c r="CT12" s="155">
        <f ca="1">TblMili[[#This Row],[Dryad]]*2</f>
        <v>5.9999999999999991</v>
      </c>
      <c r="CU12" s="94">
        <f ca="1">sylvan*(TblMili[[#This Row],[Mystic bonus]]*TblMili[[#This Row],[Unit 3]])</f>
        <v>0</v>
      </c>
      <c r="CV12" s="155">
        <f ca="1">TblMili[[#This Row],[Rockapult]]*2</f>
        <v>4</v>
      </c>
      <c r="CW12" s="94">
        <f ca="1">gnome*(TblMili[[#This Row],[Rockapult bonus]]*TblMili[[#This Row],[Unit 3]])</f>
        <v>0</v>
      </c>
      <c r="CX12" s="155">
        <f ca="1">TblMili[[#This Row],[Adept-DP]]*2</f>
        <v>0</v>
      </c>
      <c r="CY12" s="94">
        <f ca="1">dark_elf*(TblMili[[#This Row],[Adept bonus]]*TblMili[[#This Row],[Unit 3]])</f>
        <v>0</v>
      </c>
      <c r="CZ12" s="155">
        <f ca="1">TblMili[[#This Row],[Frost Mage]]*2</f>
        <v>5.9999999999999991</v>
      </c>
      <c r="DA12" s="155">
        <f ca="1">TblMili[[#This Row],[Ice Elemental]]*2</f>
        <v>0</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250"/>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13" s="154"/>
      <c r="AC13" s="180">
        <f ca="1">(TblConstr[[#This Row],[Tot Smi]]+TblConstr[[#This Row],[Dest Smi]])/(TblConstr[[#This Row],[Land]]-TblExplore[[#This Row],[Land Bonus]]*20)</f>
        <v>0</v>
      </c>
      <c r="AD13" s="137"/>
      <c r="AE13" s="246">
        <f>TblMili[[#This Row],[Hour]]</f>
        <v>10</v>
      </c>
      <c r="AF13" s="138">
        <f ca="1">TblExplore[[#This Row],[Time]]</f>
        <v>46180.374999999978</v>
      </c>
      <c r="AG13" s="179"/>
      <c r="AH13" s="179"/>
      <c r="AI13" s="179"/>
      <c r="AJ13" s="179"/>
      <c r="AK13" s="179"/>
      <c r="AL13" s="179"/>
      <c r="AM13" s="179"/>
      <c r="AN13" s="179"/>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46180.374999999978</v>
      </c>
      <c r="AW13" s="94">
        <f ca="1">TblMili[[#This Row],[Draftees]]</f>
        <v>340</v>
      </c>
      <c r="AX13" s="179"/>
      <c r="AY13" s="179"/>
      <c r="AZ13" s="179"/>
      <c r="BA13" s="179"/>
      <c r="BB13" s="179"/>
      <c r="BC13" s="179"/>
      <c r="BD13" s="179"/>
      <c r="BE13" s="179"/>
      <c r="BF13" s="17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315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1123</v>
      </c>
      <c r="CO13" s="252" t="b">
        <f>race=TblMili[[#This Row],[Column36]]</f>
        <v>0</v>
      </c>
      <c r="CP13" s="252"/>
      <c r="CQ13" s="251">
        <f ca="1">TblMili[[#This Row],[Mystic]]*2</f>
        <v>4</v>
      </c>
      <c r="CR13" s="251">
        <f ca="1">TblMili[[#This Row],[Druid (op)]]*2</f>
        <v>4</v>
      </c>
      <c r="CS13" s="94">
        <f ca="1">TblMili[[#This Row],[Mystic bonus]]*TblMili[[#This Row],[Unit 3]]+TblMili[[#This Row],[Druid bonus]]*TblMili[[#This Row],[Unit 4]]</f>
        <v>0</v>
      </c>
      <c r="CT13" s="155">
        <f ca="1">TblMili[[#This Row],[Dryad]]*2</f>
        <v>5.9999999999999991</v>
      </c>
      <c r="CU13" s="94">
        <f ca="1">sylvan*(TblMili[[#This Row],[Mystic bonus]]*TblMili[[#This Row],[Unit 3]])</f>
        <v>0</v>
      </c>
      <c r="CV13" s="155">
        <f ca="1">TblMili[[#This Row],[Rockapult]]*2</f>
        <v>4</v>
      </c>
      <c r="CW13" s="94">
        <f ca="1">gnome*(TblMili[[#This Row],[Rockapult bonus]]*TblMili[[#This Row],[Unit 3]])</f>
        <v>0</v>
      </c>
      <c r="CX13" s="155">
        <f ca="1">TblMili[[#This Row],[Adept-DP]]*2</f>
        <v>0</v>
      </c>
      <c r="CY13" s="94">
        <f ca="1">dark_elf*(TblMili[[#This Row],[Adept bonus]]*TblMili[[#This Row],[Unit 3]])</f>
        <v>0</v>
      </c>
      <c r="CZ13" s="155">
        <f ca="1">TblMili[[#This Row],[Frost Mage]]*2</f>
        <v>5.9999999999999991</v>
      </c>
      <c r="DA13" s="155">
        <f ca="1">TblMili[[#This Row],[Ice Elemental]]*2</f>
        <v>0</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250"/>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14" s="154"/>
      <c r="AC14" s="180">
        <f ca="1">(TblConstr[[#This Row],[Tot Smi]]+TblConstr[[#This Row],[Dest Smi]])/(TblConstr[[#This Row],[Land]]-TblExplore[[#This Row],[Land Bonus]]*20)</f>
        <v>0</v>
      </c>
      <c r="AD14" s="137"/>
      <c r="AE14" s="246">
        <f>TblMili[[#This Row],[Hour]]</f>
        <v>11</v>
      </c>
      <c r="AF14" s="138">
        <f ca="1">TblExplore[[#This Row],[Time]]</f>
        <v>46180.416666666642</v>
      </c>
      <c r="AG14" s="179"/>
      <c r="AH14" s="179"/>
      <c r="AI14" s="179"/>
      <c r="AJ14" s="179"/>
      <c r="AK14" s="179"/>
      <c r="AL14" s="179"/>
      <c r="AM14" s="179"/>
      <c r="AN14" s="179"/>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46180.416666666642</v>
      </c>
      <c r="AW14" s="94">
        <f ca="1">TblMili[[#This Row],[Draftees]]</f>
        <v>344</v>
      </c>
      <c r="AX14" s="179"/>
      <c r="AY14" s="179"/>
      <c r="AZ14" s="179"/>
      <c r="BA14" s="179"/>
      <c r="BB14" s="179"/>
      <c r="BC14" s="179"/>
      <c r="BD14" s="179"/>
      <c r="BE14" s="179"/>
      <c r="BF14" s="17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315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TblMili[[#This Row],[Mystic]]*2</f>
        <v>4</v>
      </c>
      <c r="CR14" s="251">
        <f ca="1">TblMili[[#This Row],[Druid (op)]]*2</f>
        <v>4</v>
      </c>
      <c r="CS14" s="94">
        <f ca="1">TblMili[[#This Row],[Mystic bonus]]*TblMili[[#This Row],[Unit 3]]+TblMili[[#This Row],[Druid bonus]]*TblMili[[#This Row],[Unit 4]]</f>
        <v>0</v>
      </c>
      <c r="CT14" s="155">
        <f ca="1">TblMili[[#This Row],[Dryad]]*2</f>
        <v>5.9999999999999991</v>
      </c>
      <c r="CU14" s="94">
        <f ca="1">sylvan*(TblMili[[#This Row],[Mystic bonus]]*TblMili[[#This Row],[Unit 3]])</f>
        <v>0</v>
      </c>
      <c r="CV14" s="155">
        <f ca="1">TblMili[[#This Row],[Rockapult]]*2</f>
        <v>4</v>
      </c>
      <c r="CW14" s="94">
        <f ca="1">gnome*(TblMili[[#This Row],[Rockapult bonus]]*TblMili[[#This Row],[Unit 3]])</f>
        <v>0</v>
      </c>
      <c r="CX14" s="155">
        <f ca="1">TblMili[[#This Row],[Adept-DP]]*2</f>
        <v>0</v>
      </c>
      <c r="CY14" s="94">
        <f ca="1">dark_elf*(TblMili[[#This Row],[Adept bonus]]*TblMili[[#This Row],[Unit 3]])</f>
        <v>0</v>
      </c>
      <c r="CZ14" s="155">
        <f ca="1">TblMili[[#This Row],[Frost Mage]]*2</f>
        <v>5.9999999999999991</v>
      </c>
      <c r="DA14" s="155">
        <f ca="1">TblMili[[#This Row],[Ice Elemental]]*2</f>
        <v>0</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250"/>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15" s="154"/>
      <c r="AC15" s="180">
        <f ca="1">(TblConstr[[#This Row],[Tot Smi]]+TblConstr[[#This Row],[Dest Smi]])/(TblConstr[[#This Row],[Land]]-TblExplore[[#This Row],[Land Bonus]]*20)</f>
        <v>0</v>
      </c>
      <c r="AD15" s="137"/>
      <c r="AE15" s="246">
        <f>TblMili[[#This Row],[Hour]]</f>
        <v>12</v>
      </c>
      <c r="AF15" s="138">
        <f ca="1">TblExplore[[#This Row],[Time]]</f>
        <v>46180.458333333307</v>
      </c>
      <c r="AG15" s="179"/>
      <c r="AH15" s="179"/>
      <c r="AI15" s="179"/>
      <c r="AJ15" s="179"/>
      <c r="AK15" s="179"/>
      <c r="AL15" s="179"/>
      <c r="AM15" s="179"/>
      <c r="AN15" s="179"/>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46180.458333333307</v>
      </c>
      <c r="AW15" s="94">
        <f ca="1">TblMili[[#This Row],[Draftees]]</f>
        <v>348</v>
      </c>
      <c r="AX15" s="179"/>
      <c r="AY15" s="179"/>
      <c r="AZ15" s="179"/>
      <c r="BA15" s="179"/>
      <c r="BB15" s="179"/>
      <c r="BC15" s="179"/>
      <c r="BD15" s="179"/>
      <c r="BE15" s="179"/>
      <c r="BF15" s="17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315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TblMili[[#This Row],[Mystic]]*2</f>
        <v>4</v>
      </c>
      <c r="CR15" s="251">
        <f ca="1">TblMili[[#This Row],[Druid (op)]]*2</f>
        <v>4</v>
      </c>
      <c r="CS15" s="94">
        <f ca="1">TblMili[[#This Row],[Mystic bonus]]*TblMili[[#This Row],[Unit 3]]+TblMili[[#This Row],[Druid bonus]]*TblMili[[#This Row],[Unit 4]]</f>
        <v>0</v>
      </c>
      <c r="CT15" s="155">
        <f ca="1">TblMili[[#This Row],[Dryad]]*2</f>
        <v>5.9999999999999991</v>
      </c>
      <c r="CU15" s="94">
        <f ca="1">sylvan*(TblMili[[#This Row],[Mystic bonus]]*TblMili[[#This Row],[Unit 3]])</f>
        <v>0</v>
      </c>
      <c r="CV15" s="155">
        <f ca="1">TblMili[[#This Row],[Rockapult]]*2</f>
        <v>4</v>
      </c>
      <c r="CW15" s="94">
        <f ca="1">gnome*(TblMili[[#This Row],[Rockapult bonus]]*TblMili[[#This Row],[Unit 3]])</f>
        <v>0</v>
      </c>
      <c r="CX15" s="155">
        <f ca="1">TblMili[[#This Row],[Adept-DP]]*2</f>
        <v>0</v>
      </c>
      <c r="CY15" s="94">
        <f ca="1">dark_elf*(TblMili[[#This Row],[Adept bonus]]*TblMili[[#This Row],[Unit 3]])</f>
        <v>0</v>
      </c>
      <c r="CZ15" s="155">
        <f ca="1">TblMili[[#This Row],[Frost Mage]]*2</f>
        <v>5.9999999999999991</v>
      </c>
      <c r="DA15" s="155">
        <f ca="1">TblMili[[#This Row],[Ice Elemental]]*2</f>
        <v>0</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16" s="154"/>
      <c r="AC16" s="180">
        <f ca="1">(TblConstr[[#This Row],[Tot Smi]]+TblConstr[[#This Row],[Dest Smi]])/(TblConstr[[#This Row],[Land]]-TblExplore[[#This Row],[Land Bonus]]*20)</f>
        <v>0</v>
      </c>
      <c r="AD16" s="246"/>
      <c r="AE16" s="246">
        <f>TblMili[[#This Row],[Hour]]</f>
        <v>13</v>
      </c>
      <c r="AF16" s="138">
        <f ca="1">TblExplore[[#This Row],[Time]]</f>
        <v>46180.499999999971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46180.499999999971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315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TblMili[[#This Row],[Mystic]]*2</f>
        <v>4</v>
      </c>
      <c r="CR16" s="251">
        <f ca="1">TblMili[[#This Row],[Druid (op)]]*2</f>
        <v>4</v>
      </c>
      <c r="CS16" s="94">
        <f ca="1">TblMili[[#This Row],[Mystic bonus]]*TblMili[[#This Row],[Unit 3]]+TblMili[[#This Row],[Druid bonus]]*TblMili[[#This Row],[Unit 4]]</f>
        <v>0</v>
      </c>
      <c r="CT16" s="155">
        <f ca="1">TblMili[[#This Row],[Dryad]]*2</f>
        <v>5.9999999999999991</v>
      </c>
      <c r="CU16" s="94">
        <f ca="1">sylvan*(TblMili[[#This Row],[Mystic bonus]]*TblMili[[#This Row],[Unit 3]])</f>
        <v>0</v>
      </c>
      <c r="CV16" s="155">
        <f ca="1">TblMili[[#This Row],[Rockapult]]*2</f>
        <v>4</v>
      </c>
      <c r="CW16" s="94">
        <f ca="1">gnome*(TblMili[[#This Row],[Rockapult bonus]]*TblMili[[#This Row],[Unit 3]])</f>
        <v>0</v>
      </c>
      <c r="CX16" s="155">
        <f ca="1">TblMili[[#This Row],[Adept-DP]]*2</f>
        <v>0</v>
      </c>
      <c r="CY16" s="94">
        <f ca="1">dark_elf*(TblMili[[#This Row],[Adept bonus]]*TblMili[[#This Row],[Unit 3]])</f>
        <v>0</v>
      </c>
      <c r="CZ16" s="155">
        <f ca="1">TblMili[[#This Row],[Frost Mage]]*2</f>
        <v>5.9999999999999991</v>
      </c>
      <c r="DA16" s="155">
        <f ca="1">TblMili[[#This Row],[Ice Elemental]]*2</f>
        <v>0</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250"/>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17" s="154"/>
      <c r="AC17" s="180">
        <f ca="1">(TblConstr[[#This Row],[Tot Smi]]+TblConstr[[#This Row],[Dest Smi]])/(TblConstr[[#This Row],[Land]]-TblExplore[[#This Row],[Land Bonus]]*20)</f>
        <v>0</v>
      </c>
      <c r="AD17" s="137"/>
      <c r="AE17" s="246">
        <f>TblMili[[#This Row],[Hour]]</f>
        <v>14</v>
      </c>
      <c r="AF17" s="138">
        <f ca="1">TblExplore[[#This Row],[Time]]</f>
        <v>46180.541666666635</v>
      </c>
      <c r="AG17" s="179"/>
      <c r="AH17" s="179"/>
      <c r="AI17" s="179"/>
      <c r="AJ17" s="179"/>
      <c r="AK17" s="179"/>
      <c r="AL17" s="179"/>
      <c r="AM17" s="179"/>
      <c r="AN17" s="179"/>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46180.541666666635</v>
      </c>
      <c r="AW17" s="94">
        <f ca="1">TblMili[[#This Row],[Draftees]]</f>
        <v>356</v>
      </c>
      <c r="AX17" s="179"/>
      <c r="AY17" s="179"/>
      <c r="AZ17" s="179"/>
      <c r="BA17" s="179"/>
      <c r="BB17" s="179"/>
      <c r="BC17" s="179"/>
      <c r="BD17" s="179"/>
      <c r="BE17" s="179"/>
      <c r="BF17" s="17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315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TblMili[[#This Row],[Mystic]]*2</f>
        <v>4</v>
      </c>
      <c r="CR17" s="251">
        <f ca="1">TblMili[[#This Row],[Druid (op)]]*2</f>
        <v>4</v>
      </c>
      <c r="CS17" s="94">
        <f ca="1">TblMili[[#This Row],[Mystic bonus]]*TblMili[[#This Row],[Unit 3]]+TblMili[[#This Row],[Druid bonus]]*TblMili[[#This Row],[Unit 4]]</f>
        <v>0</v>
      </c>
      <c r="CT17" s="155">
        <f ca="1">TblMili[[#This Row],[Dryad]]*2</f>
        <v>5.9999999999999991</v>
      </c>
      <c r="CU17" s="94">
        <f ca="1">sylvan*(TblMili[[#This Row],[Mystic bonus]]*TblMili[[#This Row],[Unit 3]])</f>
        <v>0</v>
      </c>
      <c r="CV17" s="155">
        <f ca="1">TblMili[[#This Row],[Rockapult]]*2</f>
        <v>4</v>
      </c>
      <c r="CW17" s="94">
        <f ca="1">gnome*(TblMili[[#This Row],[Rockapult bonus]]*TblMili[[#This Row],[Unit 3]])</f>
        <v>0</v>
      </c>
      <c r="CX17" s="155">
        <f ca="1">TblMili[[#This Row],[Adept-DP]]*2</f>
        <v>0</v>
      </c>
      <c r="CY17" s="94">
        <f ca="1">dark_elf*(TblMili[[#This Row],[Adept bonus]]*TblMili[[#This Row],[Unit 3]])</f>
        <v>0</v>
      </c>
      <c r="CZ17" s="155">
        <f ca="1">TblMili[[#This Row],[Frost Mage]]*2</f>
        <v>5.9999999999999991</v>
      </c>
      <c r="DA17" s="155">
        <f ca="1">TblMili[[#This Row],[Ice Elemental]]*2</f>
        <v>0</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250"/>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18" s="154"/>
      <c r="AC18" s="180">
        <f ca="1">(TblConstr[[#This Row],[Tot Smi]]+TblConstr[[#This Row],[Dest Smi]])/(TblConstr[[#This Row],[Land]]-TblExplore[[#This Row],[Land Bonus]]*20)</f>
        <v>0</v>
      </c>
      <c r="AD18" s="137"/>
      <c r="AE18" s="246">
        <f>TblMili[[#This Row],[Hour]]</f>
        <v>15</v>
      </c>
      <c r="AF18" s="138">
        <f ca="1">TblExplore[[#This Row],[Time]]</f>
        <v>46180.583333333299</v>
      </c>
      <c r="AG18" s="179"/>
      <c r="AH18" s="179"/>
      <c r="AI18" s="179"/>
      <c r="AJ18" s="179"/>
      <c r="AK18" s="179"/>
      <c r="AL18" s="179"/>
      <c r="AM18" s="179"/>
      <c r="AN18" s="179"/>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46180.583333333299</v>
      </c>
      <c r="AW18" s="94">
        <f ca="1">TblMili[[#This Row],[Draftees]]</f>
        <v>360</v>
      </c>
      <c r="AX18" s="179"/>
      <c r="AY18" s="179"/>
      <c r="AZ18" s="179"/>
      <c r="BA18" s="179"/>
      <c r="BB18" s="179"/>
      <c r="BC18" s="179"/>
      <c r="BD18" s="179"/>
      <c r="BE18" s="179"/>
      <c r="BF18" s="17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315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TblMili[[#This Row],[Mystic]]*2</f>
        <v>4</v>
      </c>
      <c r="CR18" s="251">
        <f ca="1">TblMili[[#This Row],[Druid (op)]]*2</f>
        <v>4</v>
      </c>
      <c r="CS18" s="94">
        <f ca="1">TblMili[[#This Row],[Mystic bonus]]*TblMili[[#This Row],[Unit 3]]+TblMili[[#This Row],[Druid bonus]]*TblMili[[#This Row],[Unit 4]]</f>
        <v>0</v>
      </c>
      <c r="CT18" s="155">
        <f ca="1">TblMili[[#This Row],[Dryad]]*2</f>
        <v>5.9999999999999991</v>
      </c>
      <c r="CU18" s="94">
        <f ca="1">sylvan*(TblMili[[#This Row],[Mystic bonus]]*TblMili[[#This Row],[Unit 3]])</f>
        <v>0</v>
      </c>
      <c r="CV18" s="155">
        <f ca="1">TblMili[[#This Row],[Rockapult]]*2</f>
        <v>4</v>
      </c>
      <c r="CW18" s="94">
        <f ca="1">gnome*(TblMili[[#This Row],[Rockapult bonus]]*TblMili[[#This Row],[Unit 3]])</f>
        <v>0</v>
      </c>
      <c r="CX18" s="155">
        <f ca="1">TblMili[[#This Row],[Adept-DP]]*2</f>
        <v>0</v>
      </c>
      <c r="CY18" s="94">
        <f ca="1">dark_elf*(TblMili[[#This Row],[Adept bonus]]*TblMili[[#This Row],[Unit 3]])</f>
        <v>0</v>
      </c>
      <c r="CZ18" s="155">
        <f ca="1">TblMili[[#This Row],[Frost Mage]]*2</f>
        <v>5.9999999999999991</v>
      </c>
      <c r="DA18" s="155">
        <f ca="1">TblMili[[#This Row],[Ice Elemental]]*2</f>
        <v>0</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250"/>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19" s="154"/>
      <c r="AC19" s="180">
        <f ca="1">(TblConstr[[#This Row],[Tot Smi]]+TblConstr[[#This Row],[Dest Smi]])/(TblConstr[[#This Row],[Land]]-TblExplore[[#This Row],[Land Bonus]]*20)</f>
        <v>0</v>
      </c>
      <c r="AD19" s="137"/>
      <c r="AE19" s="246">
        <f>TblMili[[#This Row],[Hour]]</f>
        <v>16</v>
      </c>
      <c r="AF19" s="138">
        <f ca="1">TblExplore[[#This Row],[Time]]</f>
        <v>46180.624999999964</v>
      </c>
      <c r="AG19" s="179"/>
      <c r="AH19" s="179"/>
      <c r="AI19" s="179"/>
      <c r="AJ19" s="179"/>
      <c r="AK19" s="179"/>
      <c r="AL19" s="179"/>
      <c r="AM19" s="179"/>
      <c r="AN19" s="179"/>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46180.624999999964</v>
      </c>
      <c r="AW19" s="94">
        <f ca="1">TblMili[[#This Row],[Draftees]]</f>
        <v>364</v>
      </c>
      <c r="AX19" s="179"/>
      <c r="AY19" s="179"/>
      <c r="AZ19" s="179"/>
      <c r="BA19" s="179"/>
      <c r="BB19" s="179"/>
      <c r="BC19" s="179"/>
      <c r="BD19" s="179"/>
      <c r="BE19" s="179"/>
      <c r="BF19" s="17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315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TblMili[[#This Row],[Mystic]]*2</f>
        <v>4</v>
      </c>
      <c r="CR19" s="251">
        <f ca="1">TblMili[[#This Row],[Druid (op)]]*2</f>
        <v>4</v>
      </c>
      <c r="CS19" s="94">
        <f ca="1">TblMili[[#This Row],[Mystic bonus]]*TblMili[[#This Row],[Unit 3]]+TblMili[[#This Row],[Druid bonus]]*TblMili[[#This Row],[Unit 4]]</f>
        <v>0</v>
      </c>
      <c r="CT19" s="155">
        <f ca="1">TblMili[[#This Row],[Dryad]]*2</f>
        <v>5.9999999999999991</v>
      </c>
      <c r="CU19" s="94">
        <f ca="1">sylvan*(TblMili[[#This Row],[Mystic bonus]]*TblMili[[#This Row],[Unit 3]])</f>
        <v>0</v>
      </c>
      <c r="CV19" s="155">
        <f ca="1">TblMili[[#This Row],[Rockapult]]*2</f>
        <v>4</v>
      </c>
      <c r="CW19" s="94">
        <f ca="1">gnome*(TblMili[[#This Row],[Rockapult bonus]]*TblMili[[#This Row],[Unit 3]])</f>
        <v>0</v>
      </c>
      <c r="CX19" s="155">
        <f ca="1">TblMili[[#This Row],[Adept-DP]]*2</f>
        <v>0</v>
      </c>
      <c r="CY19" s="94">
        <f ca="1">dark_elf*(TblMili[[#This Row],[Adept bonus]]*TblMili[[#This Row],[Unit 3]])</f>
        <v>0</v>
      </c>
      <c r="CZ19" s="155">
        <f ca="1">TblMili[[#This Row],[Frost Mage]]*2</f>
        <v>5.9999999999999991</v>
      </c>
      <c r="DA19" s="155">
        <f ca="1">TblMili[[#This Row],[Ice Elemental]]*2</f>
        <v>0</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250"/>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20" s="154"/>
      <c r="AC20" s="180">
        <f ca="1">(TblConstr[[#This Row],[Tot Smi]]+TblConstr[[#This Row],[Dest Smi]])/(TblConstr[[#This Row],[Land]]-TblExplore[[#This Row],[Land Bonus]]*20)</f>
        <v>0</v>
      </c>
      <c r="AD20" s="137"/>
      <c r="AE20" s="246">
        <f>TblMili[[#This Row],[Hour]]</f>
        <v>17</v>
      </c>
      <c r="AF20" s="138">
        <f ca="1">TblExplore[[#This Row],[Time]]</f>
        <v>46180.666666666628</v>
      </c>
      <c r="AG20" s="179"/>
      <c r="AH20" s="179"/>
      <c r="AI20" s="179"/>
      <c r="AJ20" s="179"/>
      <c r="AK20" s="179"/>
      <c r="AL20" s="179"/>
      <c r="AM20" s="179"/>
      <c r="AN20" s="179"/>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46180.666666666628</v>
      </c>
      <c r="AW20" s="94">
        <f ca="1">TblMili[[#This Row],[Draftees]]</f>
        <v>368</v>
      </c>
      <c r="AX20" s="179"/>
      <c r="AY20" s="179"/>
      <c r="AZ20" s="179"/>
      <c r="BA20" s="179"/>
      <c r="BB20" s="179"/>
      <c r="BC20" s="179"/>
      <c r="BD20" s="179"/>
      <c r="BE20" s="179"/>
      <c r="BF20" s="17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315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TblMili[[#This Row],[Mystic]]*2</f>
        <v>4</v>
      </c>
      <c r="CR20" s="251">
        <f ca="1">TblMili[[#This Row],[Druid (op)]]*2</f>
        <v>4</v>
      </c>
      <c r="CS20" s="94">
        <f ca="1">TblMili[[#This Row],[Mystic bonus]]*TblMili[[#This Row],[Unit 3]]+TblMili[[#This Row],[Druid bonus]]*TblMili[[#This Row],[Unit 4]]</f>
        <v>0</v>
      </c>
      <c r="CT20" s="155">
        <f ca="1">TblMili[[#This Row],[Dryad]]*2</f>
        <v>5.9999999999999991</v>
      </c>
      <c r="CU20" s="94">
        <f ca="1">sylvan*(TblMili[[#This Row],[Mystic bonus]]*TblMili[[#This Row],[Unit 3]])</f>
        <v>0</v>
      </c>
      <c r="CV20" s="155">
        <f ca="1">TblMili[[#This Row],[Rockapult]]*2</f>
        <v>4</v>
      </c>
      <c r="CW20" s="94">
        <f ca="1">gnome*(TblMili[[#This Row],[Rockapult bonus]]*TblMili[[#This Row],[Unit 3]])</f>
        <v>0</v>
      </c>
      <c r="CX20" s="155">
        <f ca="1">TblMili[[#This Row],[Adept-DP]]*2</f>
        <v>0</v>
      </c>
      <c r="CY20" s="94">
        <f ca="1">dark_elf*(TblMili[[#This Row],[Adept bonus]]*TblMili[[#This Row],[Unit 3]])</f>
        <v>0</v>
      </c>
      <c r="CZ20" s="155">
        <f ca="1">TblMili[[#This Row],[Frost Mage]]*2</f>
        <v>5.9999999999999991</v>
      </c>
      <c r="DA20" s="155">
        <f ca="1">TblMili[[#This Row],[Ice Elemental]]*2</f>
        <v>0</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250"/>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21" s="154"/>
      <c r="AC21" s="180">
        <f ca="1">(TblConstr[[#This Row],[Tot Smi]]+TblConstr[[#This Row],[Dest Smi]])/(TblConstr[[#This Row],[Land]]-TblExplore[[#This Row],[Land Bonus]]*20)</f>
        <v>0</v>
      </c>
      <c r="AD21" s="137"/>
      <c r="AE21" s="246">
        <f>TblMili[[#This Row],[Hour]]</f>
        <v>18</v>
      </c>
      <c r="AF21" s="138">
        <f ca="1">TblExplore[[#This Row],[Time]]</f>
        <v>46180.708333333292</v>
      </c>
      <c r="AG21" s="179"/>
      <c r="AH21" s="179"/>
      <c r="AI21" s="179"/>
      <c r="AJ21" s="179"/>
      <c r="AK21" s="179"/>
      <c r="AL21" s="179"/>
      <c r="AM21" s="179"/>
      <c r="AN21" s="179"/>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46180.708333333292</v>
      </c>
      <c r="AW21" s="94">
        <f ca="1">TblMili[[#This Row],[Draftees]]</f>
        <v>372</v>
      </c>
      <c r="AX21" s="179"/>
      <c r="AY21" s="179"/>
      <c r="AZ21" s="179"/>
      <c r="BA21" s="179"/>
      <c r="BB21" s="179"/>
      <c r="BC21" s="179"/>
      <c r="BD21" s="179"/>
      <c r="BE21" s="179"/>
      <c r="BF21" s="17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315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TblMili[[#This Row],[Mystic]]*2</f>
        <v>4</v>
      </c>
      <c r="CR21" s="251">
        <f ca="1">TblMili[[#This Row],[Druid (op)]]*2</f>
        <v>4</v>
      </c>
      <c r="CS21" s="94">
        <f ca="1">TblMili[[#This Row],[Mystic bonus]]*TblMili[[#This Row],[Unit 3]]+TblMili[[#This Row],[Druid bonus]]*TblMili[[#This Row],[Unit 4]]</f>
        <v>0</v>
      </c>
      <c r="CT21" s="155">
        <f ca="1">TblMili[[#This Row],[Dryad]]*2</f>
        <v>5.9999999999999991</v>
      </c>
      <c r="CU21" s="94">
        <f ca="1">sylvan*(TblMili[[#This Row],[Mystic bonus]]*TblMili[[#This Row],[Unit 3]])</f>
        <v>0</v>
      </c>
      <c r="CV21" s="155">
        <f ca="1">TblMili[[#This Row],[Rockapult]]*2</f>
        <v>4</v>
      </c>
      <c r="CW21" s="94">
        <f ca="1">gnome*(TblMili[[#This Row],[Rockapult bonus]]*TblMili[[#This Row],[Unit 3]])</f>
        <v>0</v>
      </c>
      <c r="CX21" s="155">
        <f ca="1">TblMili[[#This Row],[Adept-DP]]*2</f>
        <v>0</v>
      </c>
      <c r="CY21" s="94">
        <f ca="1">dark_elf*(TblMili[[#This Row],[Adept bonus]]*TblMili[[#This Row],[Unit 3]])</f>
        <v>0</v>
      </c>
      <c r="CZ21" s="155">
        <f ca="1">TblMili[[#This Row],[Frost Mage]]*2</f>
        <v>5.9999999999999991</v>
      </c>
      <c r="DA21" s="155">
        <f ca="1">TblMili[[#This Row],[Ice Elemental]]*2</f>
        <v>0</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250"/>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22" s="154"/>
      <c r="AC22" s="180">
        <f ca="1">(TblConstr[[#This Row],[Tot Smi]]+TblConstr[[#This Row],[Dest Smi]])/(TblConstr[[#This Row],[Land]]-TblExplore[[#This Row],[Land Bonus]]*20)</f>
        <v>0</v>
      </c>
      <c r="AD22" s="137"/>
      <c r="AE22" s="246">
        <f>TblMili[[#This Row],[Hour]]</f>
        <v>19</v>
      </c>
      <c r="AF22" s="138">
        <f ca="1">TblExplore[[#This Row],[Time]]</f>
        <v>46180.749999999956</v>
      </c>
      <c r="AG22" s="179"/>
      <c r="AH22" s="179"/>
      <c r="AI22" s="179"/>
      <c r="AJ22" s="179"/>
      <c r="AK22" s="179"/>
      <c r="AL22" s="179"/>
      <c r="AM22" s="179"/>
      <c r="AN22" s="179"/>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46180.749999999956</v>
      </c>
      <c r="AW22" s="94">
        <f ca="1">TblMili[[#This Row],[Draftees]]</f>
        <v>376</v>
      </c>
      <c r="AX22" s="179"/>
      <c r="AY22" s="179"/>
      <c r="AZ22" s="179"/>
      <c r="BA22" s="179"/>
      <c r="BB22" s="179"/>
      <c r="BC22" s="179"/>
      <c r="BD22" s="179"/>
      <c r="BE22" s="179"/>
      <c r="BF22" s="17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315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TblMili[[#This Row],[Mystic]]*2</f>
        <v>4</v>
      </c>
      <c r="CR22" s="251">
        <f ca="1">TblMili[[#This Row],[Druid (op)]]*2</f>
        <v>4</v>
      </c>
      <c r="CS22" s="94">
        <f ca="1">TblMili[[#This Row],[Mystic bonus]]*TblMili[[#This Row],[Unit 3]]+TblMili[[#This Row],[Druid bonus]]*TblMili[[#This Row],[Unit 4]]</f>
        <v>0</v>
      </c>
      <c r="CT22" s="155">
        <f ca="1">TblMili[[#This Row],[Dryad]]*2</f>
        <v>5.9999999999999991</v>
      </c>
      <c r="CU22" s="94">
        <f ca="1">sylvan*(TblMili[[#This Row],[Mystic bonus]]*TblMili[[#This Row],[Unit 3]])</f>
        <v>0</v>
      </c>
      <c r="CV22" s="155">
        <f ca="1">TblMili[[#This Row],[Rockapult]]*2</f>
        <v>4</v>
      </c>
      <c r="CW22" s="94">
        <f ca="1">gnome*(TblMili[[#This Row],[Rockapult bonus]]*TblMili[[#This Row],[Unit 3]])</f>
        <v>0</v>
      </c>
      <c r="CX22" s="155">
        <f ca="1">TblMili[[#This Row],[Adept-DP]]*2</f>
        <v>0</v>
      </c>
      <c r="CY22" s="94">
        <f ca="1">dark_elf*(TblMili[[#This Row],[Adept bonus]]*TblMili[[#This Row],[Unit 3]])</f>
        <v>0</v>
      </c>
      <c r="CZ22" s="155">
        <f ca="1">TblMili[[#This Row],[Frost Mage]]*2</f>
        <v>5.9999999999999991</v>
      </c>
      <c r="DA22" s="155">
        <f ca="1">TblMili[[#This Row],[Ice Elemental]]*2</f>
        <v>0</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250"/>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23" s="154"/>
      <c r="AC23" s="180">
        <f ca="1">(TblConstr[[#This Row],[Tot Smi]]+TblConstr[[#This Row],[Dest Smi]])/(TblConstr[[#This Row],[Land]]-TblExplore[[#This Row],[Land Bonus]]*20)</f>
        <v>0</v>
      </c>
      <c r="AD23" s="137"/>
      <c r="AE23" s="246">
        <f>TblMili[[#This Row],[Hour]]</f>
        <v>20</v>
      </c>
      <c r="AF23" s="138">
        <f ca="1">TblExplore[[#This Row],[Time]]</f>
        <v>46180.791666666621</v>
      </c>
      <c r="AG23" s="179"/>
      <c r="AH23" s="179"/>
      <c r="AI23" s="179"/>
      <c r="AJ23" s="179"/>
      <c r="AK23" s="179"/>
      <c r="AL23" s="179"/>
      <c r="AM23" s="179"/>
      <c r="AN23" s="179"/>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46180.791666666621</v>
      </c>
      <c r="AW23" s="94">
        <f ca="1">TblMili[[#This Row],[Draftees]]</f>
        <v>380</v>
      </c>
      <c r="AX23" s="179"/>
      <c r="AY23" s="179"/>
      <c r="AZ23" s="179"/>
      <c r="BA23" s="179"/>
      <c r="BB23" s="179"/>
      <c r="BC23" s="179"/>
      <c r="BD23" s="179"/>
      <c r="BE23" s="179"/>
      <c r="BF23" s="17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315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TblMili[[#This Row],[Mystic]]*2</f>
        <v>4</v>
      </c>
      <c r="CR23" s="251">
        <f ca="1">TblMili[[#This Row],[Druid (op)]]*2</f>
        <v>4</v>
      </c>
      <c r="CS23" s="94">
        <f ca="1">TblMili[[#This Row],[Mystic bonus]]*TblMili[[#This Row],[Unit 3]]+TblMili[[#This Row],[Druid bonus]]*TblMili[[#This Row],[Unit 4]]</f>
        <v>0</v>
      </c>
      <c r="CT23" s="155">
        <f ca="1">TblMili[[#This Row],[Dryad]]*2</f>
        <v>5.9999999999999991</v>
      </c>
      <c r="CU23" s="94">
        <f ca="1">sylvan*(TblMili[[#This Row],[Mystic bonus]]*TblMili[[#This Row],[Unit 3]])</f>
        <v>0</v>
      </c>
      <c r="CV23" s="155">
        <f ca="1">TblMili[[#This Row],[Rockapult]]*2</f>
        <v>4</v>
      </c>
      <c r="CW23" s="94">
        <f ca="1">gnome*(TblMili[[#This Row],[Rockapult bonus]]*TblMili[[#This Row],[Unit 3]])</f>
        <v>0</v>
      </c>
      <c r="CX23" s="155">
        <f ca="1">TblMili[[#This Row],[Adept-DP]]*2</f>
        <v>0</v>
      </c>
      <c r="CY23" s="94">
        <f ca="1">dark_elf*(TblMili[[#This Row],[Adept bonus]]*TblMili[[#This Row],[Unit 3]])</f>
        <v>0</v>
      </c>
      <c r="CZ23" s="155">
        <f ca="1">TblMili[[#This Row],[Frost Mage]]*2</f>
        <v>5.9999999999999991</v>
      </c>
      <c r="DA23" s="155">
        <f ca="1">TblMili[[#This Row],[Ice Elemental]]*2</f>
        <v>0</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250"/>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24" s="154"/>
      <c r="AC24" s="180">
        <f ca="1">(TblConstr[[#This Row],[Tot Smi]]+TblConstr[[#This Row],[Dest Smi]])/(TblConstr[[#This Row],[Land]]-TblExplore[[#This Row],[Land Bonus]]*20)</f>
        <v>0</v>
      </c>
      <c r="AD24" s="137"/>
      <c r="AE24" s="246">
        <f>TblMili[[#This Row],[Hour]]</f>
        <v>21</v>
      </c>
      <c r="AF24" s="138">
        <f ca="1">TblExplore[[#This Row],[Time]]</f>
        <v>46180.833333333285</v>
      </c>
      <c r="AG24" s="179"/>
      <c r="AH24" s="179"/>
      <c r="AI24" s="179"/>
      <c r="AJ24" s="179"/>
      <c r="AK24" s="179"/>
      <c r="AL24" s="179"/>
      <c r="AM24" s="179"/>
      <c r="AN24" s="179"/>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46180.833333333285</v>
      </c>
      <c r="AW24" s="94">
        <f ca="1">TblMili[[#This Row],[Draftees]]</f>
        <v>384</v>
      </c>
      <c r="AX24" s="179"/>
      <c r="AY24" s="179"/>
      <c r="AZ24" s="179"/>
      <c r="BA24" s="179"/>
      <c r="BB24" s="179"/>
      <c r="BC24" s="179"/>
      <c r="BD24" s="179"/>
      <c r="BE24" s="179"/>
      <c r="BF24" s="17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315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TblMili[[#This Row],[Mystic]]*2</f>
        <v>4</v>
      </c>
      <c r="CR24" s="251">
        <f ca="1">TblMili[[#This Row],[Druid (op)]]*2</f>
        <v>4</v>
      </c>
      <c r="CS24" s="94">
        <f ca="1">TblMili[[#This Row],[Mystic bonus]]*TblMili[[#This Row],[Unit 3]]+TblMili[[#This Row],[Druid bonus]]*TblMili[[#This Row],[Unit 4]]</f>
        <v>0</v>
      </c>
      <c r="CT24" s="155">
        <f ca="1">TblMili[[#This Row],[Dryad]]*2</f>
        <v>5.9999999999999991</v>
      </c>
      <c r="CU24" s="94">
        <f ca="1">sylvan*(TblMili[[#This Row],[Mystic bonus]]*TblMili[[#This Row],[Unit 3]])</f>
        <v>0</v>
      </c>
      <c r="CV24" s="155">
        <f ca="1">TblMili[[#This Row],[Rockapult]]*2</f>
        <v>4</v>
      </c>
      <c r="CW24" s="94">
        <f ca="1">gnome*(TblMili[[#This Row],[Rockapult bonus]]*TblMili[[#This Row],[Unit 3]])</f>
        <v>0</v>
      </c>
      <c r="CX24" s="155">
        <f ca="1">TblMili[[#This Row],[Adept-DP]]*2</f>
        <v>0</v>
      </c>
      <c r="CY24" s="94">
        <f ca="1">dark_elf*(TblMili[[#This Row],[Adept bonus]]*TblMili[[#This Row],[Unit 3]])</f>
        <v>0</v>
      </c>
      <c r="CZ24" s="155">
        <f ca="1">TblMili[[#This Row],[Frost Mage]]*2</f>
        <v>5.9999999999999991</v>
      </c>
      <c r="DA24" s="155">
        <f ca="1">TblMili[[#This Row],[Ice Elemental]]*2</f>
        <v>0</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250"/>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25" s="154"/>
      <c r="AC25" s="180">
        <f ca="1">(TblConstr[[#This Row],[Tot Smi]]+TblConstr[[#This Row],[Dest Smi]])/(TblConstr[[#This Row],[Land]]-TblExplore[[#This Row],[Land Bonus]]*20)</f>
        <v>0</v>
      </c>
      <c r="AD25" s="137"/>
      <c r="AE25" s="246">
        <f>TblMili[[#This Row],[Hour]]</f>
        <v>22</v>
      </c>
      <c r="AF25" s="138">
        <f ca="1">TblExplore[[#This Row],[Time]]</f>
        <v>46180.874999999949</v>
      </c>
      <c r="AG25" s="179"/>
      <c r="AH25" s="179"/>
      <c r="AI25" s="179"/>
      <c r="AJ25" s="179"/>
      <c r="AK25" s="179"/>
      <c r="AL25" s="179"/>
      <c r="AM25" s="179"/>
      <c r="AN25" s="179"/>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46180.874999999949</v>
      </c>
      <c r="AW25" s="94">
        <f ca="1">TblMili[[#This Row],[Draftees]]</f>
        <v>388</v>
      </c>
      <c r="AX25" s="179"/>
      <c r="AY25" s="179"/>
      <c r="AZ25" s="179"/>
      <c r="BA25" s="179"/>
      <c r="BB25" s="179"/>
      <c r="BC25" s="179"/>
      <c r="BD25" s="179"/>
      <c r="BE25" s="179"/>
      <c r="BF25" s="17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315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TblMili[[#This Row],[Mystic]]*2</f>
        <v>4</v>
      </c>
      <c r="CR25" s="251">
        <f ca="1">TblMili[[#This Row],[Druid (op)]]*2</f>
        <v>4</v>
      </c>
      <c r="CS25" s="94">
        <f ca="1">TblMili[[#This Row],[Mystic bonus]]*TblMili[[#This Row],[Unit 3]]+TblMili[[#This Row],[Druid bonus]]*TblMili[[#This Row],[Unit 4]]</f>
        <v>0</v>
      </c>
      <c r="CT25" s="155">
        <f ca="1">TblMili[[#This Row],[Dryad]]*2</f>
        <v>5.9999999999999991</v>
      </c>
      <c r="CU25" s="94">
        <f ca="1">sylvan*(TblMili[[#This Row],[Mystic bonus]]*TblMili[[#This Row],[Unit 3]])</f>
        <v>0</v>
      </c>
      <c r="CV25" s="155">
        <f ca="1">TblMili[[#This Row],[Rockapult]]*2</f>
        <v>4</v>
      </c>
      <c r="CW25" s="94">
        <f ca="1">gnome*(TblMili[[#This Row],[Rockapult bonus]]*TblMili[[#This Row],[Unit 3]])</f>
        <v>0</v>
      </c>
      <c r="CX25" s="155">
        <f ca="1">TblMili[[#This Row],[Adept-DP]]*2</f>
        <v>0</v>
      </c>
      <c r="CY25" s="94">
        <f ca="1">dark_elf*(TblMili[[#This Row],[Adept bonus]]*TblMili[[#This Row],[Unit 3]])</f>
        <v>0</v>
      </c>
      <c r="CZ25" s="155">
        <f ca="1">TblMili[[#This Row],[Frost Mage]]*2</f>
        <v>5.9999999999999991</v>
      </c>
      <c r="DA25" s="155">
        <f ca="1">TblMili[[#This Row],[Ice Elemental]]*2</f>
        <v>0</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250"/>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26" s="154"/>
      <c r="AC26" s="180">
        <f ca="1">(TblConstr[[#This Row],[Tot Smi]]+TblConstr[[#This Row],[Dest Smi]])/(TblConstr[[#This Row],[Land]]-TblExplore[[#This Row],[Land Bonus]]*20)</f>
        <v>0</v>
      </c>
      <c r="AD26" s="137"/>
      <c r="AE26" s="246">
        <f>TblMili[[#This Row],[Hour]]</f>
        <v>23</v>
      </c>
      <c r="AF26" s="138">
        <f ca="1">TblExplore[[#This Row],[Time]]</f>
        <v>46180.916666666613</v>
      </c>
      <c r="AG26" s="179"/>
      <c r="AH26" s="179"/>
      <c r="AI26" s="179"/>
      <c r="AJ26" s="179"/>
      <c r="AK26" s="179"/>
      <c r="AL26" s="179"/>
      <c r="AM26" s="179"/>
      <c r="AN26" s="179"/>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46180.916666666613</v>
      </c>
      <c r="AW26" s="94">
        <f ca="1">TblMili[[#This Row],[Draftees]]</f>
        <v>392</v>
      </c>
      <c r="AX26" s="179"/>
      <c r="AY26" s="179"/>
      <c r="AZ26" s="179"/>
      <c r="BA26" s="179"/>
      <c r="BB26" s="179"/>
      <c r="BC26" s="179"/>
      <c r="BD26" s="179"/>
      <c r="BE26" s="179"/>
      <c r="BF26" s="17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315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TblMili[[#This Row],[Mystic]]*2</f>
        <v>4</v>
      </c>
      <c r="CR26" s="251">
        <f ca="1">TblMili[[#This Row],[Druid (op)]]*2</f>
        <v>4</v>
      </c>
      <c r="CS26" s="94">
        <f ca="1">TblMili[[#This Row],[Mystic bonus]]*TblMili[[#This Row],[Unit 3]]+TblMili[[#This Row],[Druid bonus]]*TblMili[[#This Row],[Unit 4]]</f>
        <v>0</v>
      </c>
      <c r="CT26" s="155">
        <f ca="1">TblMili[[#This Row],[Dryad]]*2</f>
        <v>5.9999999999999991</v>
      </c>
      <c r="CU26" s="94">
        <f ca="1">sylvan*(TblMili[[#This Row],[Mystic bonus]]*TblMili[[#This Row],[Unit 3]])</f>
        <v>0</v>
      </c>
      <c r="CV26" s="155">
        <f ca="1">TblMili[[#This Row],[Rockapult]]*2</f>
        <v>4</v>
      </c>
      <c r="CW26" s="94">
        <f ca="1">gnome*(TblMili[[#This Row],[Rockapult bonus]]*TblMili[[#This Row],[Unit 3]])</f>
        <v>0</v>
      </c>
      <c r="CX26" s="155">
        <f ca="1">TblMili[[#This Row],[Adept-DP]]*2</f>
        <v>0</v>
      </c>
      <c r="CY26" s="94">
        <f ca="1">dark_elf*(TblMili[[#This Row],[Adept bonus]]*TblMili[[#This Row],[Unit 3]])</f>
        <v>0</v>
      </c>
      <c r="CZ26" s="155">
        <f ca="1">TblMili[[#This Row],[Frost Mage]]*2</f>
        <v>5.9999999999999991</v>
      </c>
      <c r="DA26" s="155">
        <f ca="1">TblMili[[#This Row],[Ice Elemental]]*2</f>
        <v>0</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250"/>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27" s="154"/>
      <c r="AC27" s="180">
        <f ca="1">(TblConstr[[#This Row],[Tot Smi]]+TblConstr[[#This Row],[Dest Smi]])/(TblConstr[[#This Row],[Land]]-TblExplore[[#This Row],[Land Bonus]]*20)</f>
        <v>0</v>
      </c>
      <c r="AD27" s="137"/>
      <c r="AE27" s="246">
        <f>TblMili[[#This Row],[Hour]]</f>
        <v>24</v>
      </c>
      <c r="AF27" s="138">
        <f ca="1">TblExplore[[#This Row],[Time]]</f>
        <v>46180.958333333278</v>
      </c>
      <c r="AG27" s="179"/>
      <c r="AH27" s="179"/>
      <c r="AI27" s="179"/>
      <c r="AJ27" s="179"/>
      <c r="AK27" s="179"/>
      <c r="AL27" s="179"/>
      <c r="AM27" s="179"/>
      <c r="AN27" s="179"/>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46180.958333333278</v>
      </c>
      <c r="AW27" s="94">
        <f ca="1">TblMili[[#This Row],[Draftees]]</f>
        <v>396</v>
      </c>
      <c r="AX27" s="179"/>
      <c r="AY27" s="179"/>
      <c r="AZ27" s="179"/>
      <c r="BA27" s="179"/>
      <c r="BB27" s="179"/>
      <c r="BC27" s="179"/>
      <c r="BD27" s="179"/>
      <c r="BE27" s="179"/>
      <c r="BF27" s="17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315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TblMili[[#This Row],[Mystic]]*2</f>
        <v>4</v>
      </c>
      <c r="CR27" s="251">
        <f ca="1">TblMili[[#This Row],[Druid (op)]]*2</f>
        <v>4</v>
      </c>
      <c r="CS27" s="94">
        <f ca="1">TblMili[[#This Row],[Mystic bonus]]*TblMili[[#This Row],[Unit 3]]+TblMili[[#This Row],[Druid bonus]]*TblMili[[#This Row],[Unit 4]]</f>
        <v>0</v>
      </c>
      <c r="CT27" s="155">
        <f ca="1">TblMili[[#This Row],[Dryad]]*2</f>
        <v>5.9999999999999991</v>
      </c>
      <c r="CU27" s="94">
        <f ca="1">sylvan*(TblMili[[#This Row],[Mystic bonus]]*TblMili[[#This Row],[Unit 3]])</f>
        <v>0</v>
      </c>
      <c r="CV27" s="155">
        <f ca="1">TblMili[[#This Row],[Rockapult]]*2</f>
        <v>4</v>
      </c>
      <c r="CW27" s="94">
        <f ca="1">gnome*(TblMili[[#This Row],[Rockapult bonus]]*TblMili[[#This Row],[Unit 3]])</f>
        <v>0</v>
      </c>
      <c r="CX27" s="155">
        <f ca="1">TblMili[[#This Row],[Adept-DP]]*2</f>
        <v>0</v>
      </c>
      <c r="CY27" s="94">
        <f ca="1">dark_elf*(TblMili[[#This Row],[Adept bonus]]*TblMili[[#This Row],[Unit 3]])</f>
        <v>0</v>
      </c>
      <c r="CZ27" s="155">
        <f ca="1">TblMili[[#This Row],[Frost Mage]]*2</f>
        <v>5.9999999999999991</v>
      </c>
      <c r="DA27" s="155">
        <f ca="1">TblMili[[#This Row],[Ice Elemental]]*2</f>
        <v>0</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28" s="154"/>
      <c r="AC28" s="180">
        <f ca="1">(TblConstr[[#This Row],[Tot Smi]]+TblConstr[[#This Row],[Dest Smi]])/(TblConstr[[#This Row],[Land]]-TblExplore[[#This Row],[Land Bonus]]*20)</f>
        <v>0</v>
      </c>
      <c r="AD28" s="137"/>
      <c r="AE28" s="246">
        <f>TblMili[[#This Row],[Hour]]</f>
        <v>25</v>
      </c>
      <c r="AF28" s="138">
        <f ca="1">TblExplore[[#This Row],[Time]]</f>
        <v>46180.999999999942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46180.999999999942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315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TblMili[[#This Row],[Mystic]]*2</f>
        <v>4</v>
      </c>
      <c r="CR28" s="251">
        <f ca="1">TblMili[[#This Row],[Druid (op)]]*2</f>
        <v>4</v>
      </c>
      <c r="CS28" s="94">
        <f ca="1">TblMili[[#This Row],[Mystic bonus]]*TblMili[[#This Row],[Unit 3]]+TblMili[[#This Row],[Druid bonus]]*TblMili[[#This Row],[Unit 4]]</f>
        <v>0</v>
      </c>
      <c r="CT28" s="155">
        <f ca="1">TblMili[[#This Row],[Dryad]]*2</f>
        <v>5.9999999999999991</v>
      </c>
      <c r="CU28" s="94">
        <f ca="1">sylvan*(TblMili[[#This Row],[Mystic bonus]]*TblMili[[#This Row],[Unit 3]])</f>
        <v>0</v>
      </c>
      <c r="CV28" s="155">
        <f ca="1">TblMili[[#This Row],[Rockapult]]*2</f>
        <v>4</v>
      </c>
      <c r="CW28" s="94">
        <f ca="1">gnome*(TblMili[[#This Row],[Rockapult bonus]]*TblMili[[#This Row],[Unit 3]])</f>
        <v>0</v>
      </c>
      <c r="CX28" s="155">
        <f ca="1">TblMili[[#This Row],[Adept-DP]]*2</f>
        <v>0</v>
      </c>
      <c r="CY28" s="94">
        <f ca="1">dark_elf*(TblMili[[#This Row],[Adept bonus]]*TblMili[[#This Row],[Unit 3]])</f>
        <v>0</v>
      </c>
      <c r="CZ28" s="155">
        <f ca="1">TblMili[[#This Row],[Frost Mage]]*2</f>
        <v>5.9999999999999991</v>
      </c>
      <c r="DA28" s="155">
        <f ca="1">TblMili[[#This Row],[Ice Elemental]]*2</f>
        <v>0</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29" s="154"/>
      <c r="AC29" s="180">
        <f ca="1">(TblConstr[[#This Row],[Tot Smi]]+TblConstr[[#This Row],[Dest Smi]])/(TblConstr[[#This Row],[Land]]-TblExplore[[#This Row],[Land Bonus]]*20)</f>
        <v>0</v>
      </c>
      <c r="AD29" s="137"/>
      <c r="AE29" s="246">
        <f>TblMili[[#This Row],[Hour]]</f>
        <v>26</v>
      </c>
      <c r="AF29" s="138">
        <f ca="1">TblExplore[[#This Row],[Time]]</f>
        <v>46181.041666666606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46181.041666666606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315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TblMili[[#This Row],[Mystic]]*2</f>
        <v>4</v>
      </c>
      <c r="CR29" s="251">
        <f ca="1">TblMili[[#This Row],[Druid (op)]]*2</f>
        <v>4</v>
      </c>
      <c r="CS29" s="94">
        <f ca="1">TblMili[[#This Row],[Mystic bonus]]*TblMili[[#This Row],[Unit 3]]+TblMili[[#This Row],[Druid bonus]]*TblMili[[#This Row],[Unit 4]]</f>
        <v>0</v>
      </c>
      <c r="CT29" s="155">
        <f ca="1">TblMili[[#This Row],[Dryad]]*2</f>
        <v>5.9999999999999991</v>
      </c>
      <c r="CU29" s="94">
        <f ca="1">sylvan*(TblMili[[#This Row],[Mystic bonus]]*TblMili[[#This Row],[Unit 3]])</f>
        <v>0</v>
      </c>
      <c r="CV29" s="155">
        <f ca="1">TblMili[[#This Row],[Rockapult]]*2</f>
        <v>4</v>
      </c>
      <c r="CW29" s="94">
        <f ca="1">gnome*(TblMili[[#This Row],[Rockapult bonus]]*TblMili[[#This Row],[Unit 3]])</f>
        <v>0</v>
      </c>
      <c r="CX29" s="155">
        <f ca="1">TblMili[[#This Row],[Adept-DP]]*2</f>
        <v>0</v>
      </c>
      <c r="CY29" s="94">
        <f ca="1">dark_elf*(TblMili[[#This Row],[Adept bonus]]*TblMili[[#This Row],[Unit 3]])</f>
        <v>0</v>
      </c>
      <c r="CZ29" s="155">
        <f ca="1">TblMili[[#This Row],[Frost Mage]]*2</f>
        <v>5.9999999999999991</v>
      </c>
      <c r="DA29" s="155">
        <f ca="1">TblMili[[#This Row],[Ice Elemental]]*2</f>
        <v>0</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30" s="154"/>
      <c r="AC30" s="180">
        <f ca="1">(TblConstr[[#This Row],[Tot Smi]]+TblConstr[[#This Row],[Dest Smi]])/(TblConstr[[#This Row],[Land]]-TblExplore[[#This Row],[Land Bonus]]*20)</f>
        <v>0</v>
      </c>
      <c r="AD30" s="137"/>
      <c r="AE30" s="246">
        <f>TblMili[[#This Row],[Hour]]</f>
        <v>27</v>
      </c>
      <c r="AF30" s="138">
        <f ca="1">TblExplore[[#This Row],[Time]]</f>
        <v>46181.08333333327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46181.08333333327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315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TblMili[[#This Row],[Mystic]]*2</f>
        <v>4</v>
      </c>
      <c r="CR30" s="251">
        <f ca="1">TblMili[[#This Row],[Druid (op)]]*2</f>
        <v>4</v>
      </c>
      <c r="CS30" s="94">
        <f ca="1">TblMili[[#This Row],[Mystic bonus]]*TblMili[[#This Row],[Unit 3]]+TblMili[[#This Row],[Druid bonus]]*TblMili[[#This Row],[Unit 4]]</f>
        <v>0</v>
      </c>
      <c r="CT30" s="155">
        <f ca="1">TblMili[[#This Row],[Dryad]]*2</f>
        <v>5.9999999999999991</v>
      </c>
      <c r="CU30" s="94">
        <f ca="1">sylvan*(TblMili[[#This Row],[Mystic bonus]]*TblMili[[#This Row],[Unit 3]])</f>
        <v>0</v>
      </c>
      <c r="CV30" s="155">
        <f ca="1">TblMili[[#This Row],[Rockapult]]*2</f>
        <v>4</v>
      </c>
      <c r="CW30" s="94">
        <f ca="1">gnome*(TblMili[[#This Row],[Rockapult bonus]]*TblMili[[#This Row],[Unit 3]])</f>
        <v>0</v>
      </c>
      <c r="CX30" s="155">
        <f ca="1">TblMili[[#This Row],[Adept-DP]]*2</f>
        <v>0</v>
      </c>
      <c r="CY30" s="94">
        <f ca="1">dark_elf*(TblMili[[#This Row],[Adept bonus]]*TblMili[[#This Row],[Unit 3]])</f>
        <v>0</v>
      </c>
      <c r="CZ30" s="155">
        <f ca="1">TblMili[[#This Row],[Frost Mage]]*2</f>
        <v>5.9999999999999991</v>
      </c>
      <c r="DA30" s="155">
        <f ca="1">TblMili[[#This Row],[Ice Elemental]]*2</f>
        <v>0</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31" s="154"/>
      <c r="AC31" s="180">
        <f ca="1">(TblConstr[[#This Row],[Tot Smi]]+TblConstr[[#This Row],[Dest Smi]])/(TblConstr[[#This Row],[Land]]-TblExplore[[#This Row],[Land Bonus]]*20)</f>
        <v>0</v>
      </c>
      <c r="AD31" s="137"/>
      <c r="AE31" s="246">
        <f>TblMili[[#This Row],[Hour]]</f>
        <v>28</v>
      </c>
      <c r="AF31" s="138">
        <f ca="1">TblExplore[[#This Row],[Time]]</f>
        <v>46181.124999999935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46181.124999999935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315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TblMili[[#This Row],[Mystic]]*2</f>
        <v>4</v>
      </c>
      <c r="CR31" s="251">
        <f ca="1">TblMili[[#This Row],[Druid (op)]]*2</f>
        <v>4</v>
      </c>
      <c r="CS31" s="94">
        <f ca="1">TblMili[[#This Row],[Mystic bonus]]*TblMili[[#This Row],[Unit 3]]+TblMili[[#This Row],[Druid bonus]]*TblMili[[#This Row],[Unit 4]]</f>
        <v>0</v>
      </c>
      <c r="CT31" s="155">
        <f ca="1">TblMili[[#This Row],[Dryad]]*2</f>
        <v>5.9999999999999991</v>
      </c>
      <c r="CU31" s="94">
        <f ca="1">sylvan*(TblMili[[#This Row],[Mystic bonus]]*TblMili[[#This Row],[Unit 3]])</f>
        <v>0</v>
      </c>
      <c r="CV31" s="155">
        <f ca="1">TblMili[[#This Row],[Rockapult]]*2</f>
        <v>4</v>
      </c>
      <c r="CW31" s="94">
        <f ca="1">gnome*(TblMili[[#This Row],[Rockapult bonus]]*TblMili[[#This Row],[Unit 3]])</f>
        <v>0</v>
      </c>
      <c r="CX31" s="155">
        <f ca="1">TblMili[[#This Row],[Adept-DP]]*2</f>
        <v>0</v>
      </c>
      <c r="CY31" s="94">
        <f ca="1">dark_elf*(TblMili[[#This Row],[Adept bonus]]*TblMili[[#This Row],[Unit 3]])</f>
        <v>0</v>
      </c>
      <c r="CZ31" s="155">
        <f ca="1">TblMili[[#This Row],[Frost Mage]]*2</f>
        <v>5.9999999999999991</v>
      </c>
      <c r="DA31" s="155">
        <f ca="1">TblMili[[#This Row],[Ice Elemental]]*2</f>
        <v>0</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32" s="154"/>
      <c r="AC32" s="180">
        <f ca="1">(TblConstr[[#This Row],[Tot Smi]]+TblConstr[[#This Row],[Dest Smi]])/(TblConstr[[#This Row],[Land]]-TblExplore[[#This Row],[Land Bonus]]*20)</f>
        <v>0</v>
      </c>
      <c r="AD32" s="137"/>
      <c r="AE32" s="246">
        <f>TblMili[[#This Row],[Hour]]</f>
        <v>29</v>
      </c>
      <c r="AF32" s="138">
        <f ca="1">TblExplore[[#This Row],[Time]]</f>
        <v>46181.166666666599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46181.166666666599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315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TblMili[[#This Row],[Mystic]]*2</f>
        <v>4</v>
      </c>
      <c r="CR32" s="251">
        <f ca="1">TblMili[[#This Row],[Druid (op)]]*2</f>
        <v>4</v>
      </c>
      <c r="CS32" s="94">
        <f ca="1">TblMili[[#This Row],[Mystic bonus]]*TblMili[[#This Row],[Unit 3]]+TblMili[[#This Row],[Druid bonus]]*TblMili[[#This Row],[Unit 4]]</f>
        <v>0</v>
      </c>
      <c r="CT32" s="155">
        <f ca="1">TblMili[[#This Row],[Dryad]]*2</f>
        <v>5.9999999999999991</v>
      </c>
      <c r="CU32" s="94">
        <f ca="1">sylvan*(TblMili[[#This Row],[Mystic bonus]]*TblMili[[#This Row],[Unit 3]])</f>
        <v>0</v>
      </c>
      <c r="CV32" s="155">
        <f ca="1">TblMili[[#This Row],[Rockapult]]*2</f>
        <v>4</v>
      </c>
      <c r="CW32" s="94">
        <f ca="1">gnome*(TblMili[[#This Row],[Rockapult bonus]]*TblMili[[#This Row],[Unit 3]])</f>
        <v>0</v>
      </c>
      <c r="CX32" s="155">
        <f ca="1">TblMili[[#This Row],[Adept-DP]]*2</f>
        <v>0</v>
      </c>
      <c r="CY32" s="94">
        <f ca="1">dark_elf*(TblMili[[#This Row],[Adept bonus]]*TblMili[[#This Row],[Unit 3]])</f>
        <v>0</v>
      </c>
      <c r="CZ32" s="155">
        <f ca="1">TblMili[[#This Row],[Frost Mage]]*2</f>
        <v>5.9999999999999991</v>
      </c>
      <c r="DA32" s="155">
        <f ca="1">TblMili[[#This Row],[Ice Elemental]]*2</f>
        <v>0</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33" s="154"/>
      <c r="AC33" s="180">
        <f ca="1">(TblConstr[[#This Row],[Tot Smi]]+TblConstr[[#This Row],[Dest Smi]])/(TblConstr[[#This Row],[Land]]-TblExplore[[#This Row],[Land Bonus]]*20)</f>
        <v>0</v>
      </c>
      <c r="AD33" s="137"/>
      <c r="AE33" s="246">
        <f>TblMili[[#This Row],[Hour]]</f>
        <v>30</v>
      </c>
      <c r="AF33" s="138">
        <f ca="1">TblExplore[[#This Row],[Time]]</f>
        <v>46181.208333333263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46181.208333333263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315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TblMili[[#This Row],[Mystic]]*2</f>
        <v>4</v>
      </c>
      <c r="CR33" s="251">
        <f ca="1">TblMili[[#This Row],[Druid (op)]]*2</f>
        <v>4</v>
      </c>
      <c r="CS33" s="94">
        <f ca="1">TblMili[[#This Row],[Mystic bonus]]*TblMili[[#This Row],[Unit 3]]+TblMili[[#This Row],[Druid bonus]]*TblMili[[#This Row],[Unit 4]]</f>
        <v>0</v>
      </c>
      <c r="CT33" s="155">
        <f ca="1">TblMili[[#This Row],[Dryad]]*2</f>
        <v>5.9999999999999991</v>
      </c>
      <c r="CU33" s="94">
        <f ca="1">sylvan*(TblMili[[#This Row],[Mystic bonus]]*TblMili[[#This Row],[Unit 3]])</f>
        <v>0</v>
      </c>
      <c r="CV33" s="155">
        <f ca="1">TblMili[[#This Row],[Rockapult]]*2</f>
        <v>4</v>
      </c>
      <c r="CW33" s="94">
        <f ca="1">gnome*(TblMili[[#This Row],[Rockapult bonus]]*TblMili[[#This Row],[Unit 3]])</f>
        <v>0</v>
      </c>
      <c r="CX33" s="155">
        <f ca="1">TblMili[[#This Row],[Adept-DP]]*2</f>
        <v>0</v>
      </c>
      <c r="CY33" s="94">
        <f ca="1">dark_elf*(TblMili[[#This Row],[Adept bonus]]*TblMili[[#This Row],[Unit 3]])</f>
        <v>0</v>
      </c>
      <c r="CZ33" s="155">
        <f ca="1">TblMili[[#This Row],[Frost Mage]]*2</f>
        <v>5.9999999999999991</v>
      </c>
      <c r="DA33" s="155">
        <f ca="1">TblMili[[#This Row],[Ice Elemental]]*2</f>
        <v>0</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34" s="154"/>
      <c r="AC34" s="180">
        <f ca="1">(TblConstr[[#This Row],[Tot Smi]]+TblConstr[[#This Row],[Dest Smi]])/(TblConstr[[#This Row],[Land]]-TblExplore[[#This Row],[Land Bonus]]*20)</f>
        <v>0</v>
      </c>
      <c r="AD34" s="137"/>
      <c r="AE34" s="246">
        <f>TblMili[[#This Row],[Hour]]</f>
        <v>31</v>
      </c>
      <c r="AF34" s="138">
        <f ca="1">TblExplore[[#This Row],[Time]]</f>
        <v>46181.249999999927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46181.249999999927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315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TblMili[[#This Row],[Mystic]]*2</f>
        <v>4</v>
      </c>
      <c r="CR34" s="251">
        <f ca="1">TblMili[[#This Row],[Druid (op)]]*2</f>
        <v>4</v>
      </c>
      <c r="CS34" s="94">
        <f ca="1">TblMili[[#This Row],[Mystic bonus]]*TblMili[[#This Row],[Unit 3]]+TblMili[[#This Row],[Druid bonus]]*TblMili[[#This Row],[Unit 4]]</f>
        <v>0</v>
      </c>
      <c r="CT34" s="155">
        <f ca="1">TblMili[[#This Row],[Dryad]]*2</f>
        <v>5.9999999999999991</v>
      </c>
      <c r="CU34" s="94">
        <f ca="1">sylvan*(TblMili[[#This Row],[Mystic bonus]]*TblMili[[#This Row],[Unit 3]])</f>
        <v>0</v>
      </c>
      <c r="CV34" s="155">
        <f ca="1">TblMili[[#This Row],[Rockapult]]*2</f>
        <v>4</v>
      </c>
      <c r="CW34" s="94">
        <f ca="1">gnome*(TblMili[[#This Row],[Rockapult bonus]]*TblMili[[#This Row],[Unit 3]])</f>
        <v>0</v>
      </c>
      <c r="CX34" s="155">
        <f ca="1">TblMili[[#This Row],[Adept-DP]]*2</f>
        <v>0</v>
      </c>
      <c r="CY34" s="94">
        <f ca="1">dark_elf*(TblMili[[#This Row],[Adept bonus]]*TblMili[[#This Row],[Unit 3]])</f>
        <v>0</v>
      </c>
      <c r="CZ34" s="155">
        <f ca="1">TblMili[[#This Row],[Frost Mage]]*2</f>
        <v>5.9999999999999991</v>
      </c>
      <c r="DA34" s="155">
        <f ca="1">TblMili[[#This Row],[Ice Elemental]]*2</f>
        <v>0</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35" s="154"/>
      <c r="AC35" s="180">
        <f ca="1">(TblConstr[[#This Row],[Tot Smi]]+TblConstr[[#This Row],[Dest Smi]])/(TblConstr[[#This Row],[Land]]-TblExplore[[#This Row],[Land Bonus]]*20)</f>
        <v>0</v>
      </c>
      <c r="AD35" s="137"/>
      <c r="AE35" s="246">
        <f>TblMili[[#This Row],[Hour]]</f>
        <v>32</v>
      </c>
      <c r="AF35" s="138">
        <f ca="1">TblExplore[[#This Row],[Time]]</f>
        <v>46181.291666666591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46181.291666666591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315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TblMili[[#This Row],[Mystic]]*2</f>
        <v>4</v>
      </c>
      <c r="CR35" s="251">
        <f ca="1">TblMili[[#This Row],[Druid (op)]]*2</f>
        <v>4</v>
      </c>
      <c r="CS35" s="94">
        <f ca="1">TblMili[[#This Row],[Mystic bonus]]*TblMili[[#This Row],[Unit 3]]+TblMili[[#This Row],[Druid bonus]]*TblMili[[#This Row],[Unit 4]]</f>
        <v>0</v>
      </c>
      <c r="CT35" s="155">
        <f ca="1">TblMili[[#This Row],[Dryad]]*2</f>
        <v>5.9999999999999991</v>
      </c>
      <c r="CU35" s="94">
        <f ca="1">sylvan*(TblMili[[#This Row],[Mystic bonus]]*TblMili[[#This Row],[Unit 3]])</f>
        <v>0</v>
      </c>
      <c r="CV35" s="155">
        <f ca="1">TblMili[[#This Row],[Rockapult]]*2</f>
        <v>4</v>
      </c>
      <c r="CW35" s="94">
        <f ca="1">gnome*(TblMili[[#This Row],[Rockapult bonus]]*TblMili[[#This Row],[Unit 3]])</f>
        <v>0</v>
      </c>
      <c r="CX35" s="155">
        <f ca="1">TblMili[[#This Row],[Adept-DP]]*2</f>
        <v>0</v>
      </c>
      <c r="CY35" s="94">
        <f ca="1">dark_elf*(TblMili[[#This Row],[Adept bonus]]*TblMili[[#This Row],[Unit 3]])</f>
        <v>0</v>
      </c>
      <c r="CZ35" s="155">
        <f ca="1">TblMili[[#This Row],[Frost Mage]]*2</f>
        <v>5.9999999999999991</v>
      </c>
      <c r="DA35" s="155">
        <f ca="1">TblMili[[#This Row],[Ice Elemental]]*2</f>
        <v>0</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36" s="154"/>
      <c r="AC36" s="180">
        <f ca="1">(TblConstr[[#This Row],[Tot Smi]]+TblConstr[[#This Row],[Dest Smi]])/(TblConstr[[#This Row],[Land]]-TblExplore[[#This Row],[Land Bonus]]*20)</f>
        <v>0</v>
      </c>
      <c r="AD36" s="137"/>
      <c r="AE36" s="246">
        <f>TblMili[[#This Row],[Hour]]</f>
        <v>33</v>
      </c>
      <c r="AF36" s="138">
        <f ca="1">TblExplore[[#This Row],[Time]]</f>
        <v>46181.333333333256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46181.333333333256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315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TblMili[[#This Row],[Mystic]]*2</f>
        <v>4</v>
      </c>
      <c r="CR36" s="251">
        <f ca="1">TblMili[[#This Row],[Druid (op)]]*2</f>
        <v>4</v>
      </c>
      <c r="CS36" s="94">
        <f ca="1">TblMili[[#This Row],[Mystic bonus]]*TblMili[[#This Row],[Unit 3]]+TblMili[[#This Row],[Druid bonus]]*TblMili[[#This Row],[Unit 4]]</f>
        <v>0</v>
      </c>
      <c r="CT36" s="155">
        <f ca="1">TblMili[[#This Row],[Dryad]]*2</f>
        <v>5.9999999999999991</v>
      </c>
      <c r="CU36" s="94">
        <f ca="1">sylvan*(TblMili[[#This Row],[Mystic bonus]]*TblMili[[#This Row],[Unit 3]])</f>
        <v>0</v>
      </c>
      <c r="CV36" s="155">
        <f ca="1">TblMili[[#This Row],[Rockapult]]*2</f>
        <v>4</v>
      </c>
      <c r="CW36" s="94">
        <f ca="1">gnome*(TblMili[[#This Row],[Rockapult bonus]]*TblMili[[#This Row],[Unit 3]])</f>
        <v>0</v>
      </c>
      <c r="CX36" s="155">
        <f ca="1">TblMili[[#This Row],[Adept-DP]]*2</f>
        <v>0</v>
      </c>
      <c r="CY36" s="94">
        <f ca="1">dark_elf*(TblMili[[#This Row],[Adept bonus]]*TblMili[[#This Row],[Unit 3]])</f>
        <v>0</v>
      </c>
      <c r="CZ36" s="155">
        <f ca="1">TblMili[[#This Row],[Frost Mage]]*2</f>
        <v>5.9999999999999991</v>
      </c>
      <c r="DA36" s="155">
        <f ca="1">TblMili[[#This Row],[Ice Elemental]]*2</f>
        <v>0</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37" s="154"/>
      <c r="AC37" s="180">
        <f ca="1">(TblConstr[[#This Row],[Tot Smi]]+TblConstr[[#This Row],[Dest Smi]])/(TblConstr[[#This Row],[Land]]-TblExplore[[#This Row],[Land Bonus]]*20)</f>
        <v>0</v>
      </c>
      <c r="AD37" s="137"/>
      <c r="AE37" s="246">
        <f>TblMili[[#This Row],[Hour]]</f>
        <v>34</v>
      </c>
      <c r="AF37" s="138">
        <f ca="1">TblExplore[[#This Row],[Time]]</f>
        <v>46181.37499999992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46181.37499999992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315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TblMili[[#This Row],[Mystic]]*2</f>
        <v>4</v>
      </c>
      <c r="CR37" s="251">
        <f ca="1">TblMili[[#This Row],[Druid (op)]]*2</f>
        <v>4</v>
      </c>
      <c r="CS37" s="94">
        <f ca="1">TblMili[[#This Row],[Mystic bonus]]*TblMili[[#This Row],[Unit 3]]+TblMili[[#This Row],[Druid bonus]]*TblMili[[#This Row],[Unit 4]]</f>
        <v>0</v>
      </c>
      <c r="CT37" s="155">
        <f ca="1">TblMili[[#This Row],[Dryad]]*2</f>
        <v>5.9999999999999991</v>
      </c>
      <c r="CU37" s="94">
        <f ca="1">sylvan*(TblMili[[#This Row],[Mystic bonus]]*TblMili[[#This Row],[Unit 3]])</f>
        <v>0</v>
      </c>
      <c r="CV37" s="155">
        <f ca="1">TblMili[[#This Row],[Rockapult]]*2</f>
        <v>4</v>
      </c>
      <c r="CW37" s="94">
        <f ca="1">gnome*(TblMili[[#This Row],[Rockapult bonus]]*TblMili[[#This Row],[Unit 3]])</f>
        <v>0</v>
      </c>
      <c r="CX37" s="155">
        <f ca="1">TblMili[[#This Row],[Adept-DP]]*2</f>
        <v>0</v>
      </c>
      <c r="CY37" s="94">
        <f ca="1">dark_elf*(TblMili[[#This Row],[Adept bonus]]*TblMili[[#This Row],[Unit 3]])</f>
        <v>0</v>
      </c>
      <c r="CZ37" s="155">
        <f ca="1">TblMili[[#This Row],[Frost Mage]]*2</f>
        <v>5.9999999999999991</v>
      </c>
      <c r="DA37" s="155">
        <f ca="1">TblMili[[#This Row],[Ice Elemental]]*2</f>
        <v>0</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38" s="154"/>
      <c r="AC38" s="180">
        <f ca="1">(TblConstr[[#This Row],[Tot Smi]]+TblConstr[[#This Row],[Dest Smi]])/(TblConstr[[#This Row],[Land]]-TblExplore[[#This Row],[Land Bonus]]*20)</f>
        <v>0</v>
      </c>
      <c r="AD38" s="137"/>
      <c r="AE38" s="246">
        <f>TblMili[[#This Row],[Hour]]</f>
        <v>35</v>
      </c>
      <c r="AF38" s="138">
        <f ca="1">TblExplore[[#This Row],[Time]]</f>
        <v>46181.416666666584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46181.416666666584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315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TblMili[[#This Row],[Mystic]]*2</f>
        <v>4</v>
      </c>
      <c r="CR38" s="251">
        <f ca="1">TblMili[[#This Row],[Druid (op)]]*2</f>
        <v>4</v>
      </c>
      <c r="CS38" s="94">
        <f ca="1">TblMili[[#This Row],[Mystic bonus]]*TblMili[[#This Row],[Unit 3]]+TblMili[[#This Row],[Druid bonus]]*TblMili[[#This Row],[Unit 4]]</f>
        <v>0</v>
      </c>
      <c r="CT38" s="155">
        <f ca="1">TblMili[[#This Row],[Dryad]]*2</f>
        <v>5.9999999999999991</v>
      </c>
      <c r="CU38" s="94">
        <f ca="1">sylvan*(TblMili[[#This Row],[Mystic bonus]]*TblMili[[#This Row],[Unit 3]])</f>
        <v>0</v>
      </c>
      <c r="CV38" s="155">
        <f ca="1">TblMili[[#This Row],[Rockapult]]*2</f>
        <v>4</v>
      </c>
      <c r="CW38" s="94">
        <f ca="1">gnome*(TblMili[[#This Row],[Rockapult bonus]]*TblMili[[#This Row],[Unit 3]])</f>
        <v>0</v>
      </c>
      <c r="CX38" s="155">
        <f ca="1">TblMili[[#This Row],[Adept-DP]]*2</f>
        <v>0</v>
      </c>
      <c r="CY38" s="94">
        <f ca="1">dark_elf*(TblMili[[#This Row],[Adept bonus]]*TblMili[[#This Row],[Unit 3]])</f>
        <v>0</v>
      </c>
      <c r="CZ38" s="155">
        <f ca="1">TblMili[[#This Row],[Frost Mage]]*2</f>
        <v>5.9999999999999991</v>
      </c>
      <c r="DA38" s="155">
        <f ca="1">TblMili[[#This Row],[Ice Elemental]]*2</f>
        <v>0</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39" s="154"/>
      <c r="AC39" s="180">
        <f ca="1">(TblConstr[[#This Row],[Tot Smi]]+TblConstr[[#This Row],[Dest Smi]])/(TblConstr[[#This Row],[Land]]-TblExplore[[#This Row],[Land Bonus]]*20)</f>
        <v>0</v>
      </c>
      <c r="AD39" s="137"/>
      <c r="AE39" s="246">
        <f>TblMili[[#This Row],[Hour]]</f>
        <v>36</v>
      </c>
      <c r="AF39" s="138">
        <f ca="1">TblExplore[[#This Row],[Time]]</f>
        <v>46181.458333333248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46181.458333333248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315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TblMili[[#This Row],[Mystic]]*2</f>
        <v>4</v>
      </c>
      <c r="CR39" s="251">
        <f ca="1">TblMili[[#This Row],[Druid (op)]]*2</f>
        <v>4</v>
      </c>
      <c r="CS39" s="94">
        <f ca="1">TblMili[[#This Row],[Mystic bonus]]*TblMili[[#This Row],[Unit 3]]+TblMili[[#This Row],[Druid bonus]]*TblMili[[#This Row],[Unit 4]]</f>
        <v>0</v>
      </c>
      <c r="CT39" s="155">
        <f ca="1">TblMili[[#This Row],[Dryad]]*2</f>
        <v>5.9999999999999991</v>
      </c>
      <c r="CU39" s="94">
        <f ca="1">sylvan*(TblMili[[#This Row],[Mystic bonus]]*TblMili[[#This Row],[Unit 3]])</f>
        <v>0</v>
      </c>
      <c r="CV39" s="155">
        <f ca="1">TblMili[[#This Row],[Rockapult]]*2</f>
        <v>4</v>
      </c>
      <c r="CW39" s="94">
        <f ca="1">gnome*(TblMili[[#This Row],[Rockapult bonus]]*TblMili[[#This Row],[Unit 3]])</f>
        <v>0</v>
      </c>
      <c r="CX39" s="155">
        <f ca="1">TblMili[[#This Row],[Adept-DP]]*2</f>
        <v>0</v>
      </c>
      <c r="CY39" s="94">
        <f ca="1">dark_elf*(TblMili[[#This Row],[Adept bonus]]*TblMili[[#This Row],[Unit 3]])</f>
        <v>0</v>
      </c>
      <c r="CZ39" s="155">
        <f ca="1">TblMili[[#This Row],[Frost Mage]]*2</f>
        <v>5.9999999999999991</v>
      </c>
      <c r="DA39" s="155">
        <f ca="1">TblMili[[#This Row],[Ice Elemental]]*2</f>
        <v>0</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x14ac:dyDescent="0.2">
      <c r="A40" s="137">
        <f>TblRezone[[#This Row],[Hour]]</f>
        <v>37</v>
      </c>
      <c r="B40" s="246">
        <f ca="1">SUM(TblMili[[#This Row],[Unit 1]:[Archmages]])+SUM(OFFSET(TblMili[[#This Row],[Train Unit 1]],-8,0):TblMili[[#This Row],[Train Unit 2]]) + SUM(OFFSET(TblMili[[#This Row],[Train Unit 3]],-11,0):TblMili[[#This Row],[Train AM]]) + TblMili[[#This Row],[Draftees]]</f>
        <v>441</v>
      </c>
      <c r="C40" s="157">
        <f ca="1">TblPop[[#This Row],[Military%]]</f>
        <v>0.57347204161248377</v>
      </c>
      <c r="D40" s="142"/>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2"/>
      <c r="N40" s="94">
        <f ca="1">TblProd[[#This Row],[Networth]]</f>
        <v>1250</v>
      </c>
      <c r="O40" s="142"/>
      <c r="P4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7">
        <f ca="1">TblMili[[#This Row],[Raw]]*(1+TblMili[[#This Row],[Mods_Off]])</f>
        <v>0</v>
      </c>
      <c r="S4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247">
        <f ca="1">TblMili[[#This Row],[Non Draft]]+TblMili[[#This Row],[Draftees]]</f>
        <v>441</v>
      </c>
      <c r="U40" s="248">
        <f ca="1">race_defense + TblImps[[#This Row],[Walls]] + ROUND( MIN(gt_bonus*TblConstr[[#This Row],[Tot GT]]/TblConstr[[#This Row],[Land]],gt_bonus_cap), 4) + IF(TblMagic[[#This Row],[Active Howling]]&gt;0,howling_dp_bonus,IF(TblMagic[[#This Row],[Active Ares Call]]&gt;0,ares_call_bonus))</f>
        <v>0</v>
      </c>
      <c r="V40" s="249">
        <f ca="1">TblMili[[#This Row],[Non Draft]] * (1 + TblMili[[#This Row],[Mods_Def]])</f>
        <v>0</v>
      </c>
      <c r="W40" s="247">
        <f ca="1">TblMili[[#This Row],[Draft]] * (1 + TblMili[[#This Row],[Mods_Def]])</f>
        <v>441</v>
      </c>
      <c r="X40" s="247">
        <f ca="1">TblConstr[[#This Row],[Land]]</f>
        <v>50</v>
      </c>
      <c r="Y40" s="250"/>
      <c r="Z40" s="255">
        <f ca="1">IF(TblMili[[#This Row],[Set]]&lt;&gt;"",TblMili[[#This Row],[Set]],OFFSET(TblMili[[#This Row],[Draftrate]],-1,0))</f>
        <v>0.9</v>
      </c>
      <c r="AA40" s="94">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40" s="154"/>
      <c r="AC40" s="180">
        <f ca="1">(TblConstr[[#This Row],[Tot Smi]]+TblConstr[[#This Row],[Dest Smi]])/(TblConstr[[#This Row],[Land]]-TblExplore[[#This Row],[Land Bonus]]*20)</f>
        <v>0</v>
      </c>
      <c r="AD40" s="137"/>
      <c r="AE40" s="246">
        <f>TblMili[[#This Row],[Hour]]</f>
        <v>37</v>
      </c>
      <c r="AF40" s="138">
        <f ca="1">TblExplore[[#This Row],[Time]]</f>
        <v>46181.499999999913</v>
      </c>
      <c r="AG40" s="179"/>
      <c r="AH40" s="179"/>
      <c r="AI40" s="179"/>
      <c r="AJ40" s="179"/>
      <c r="AK40" s="179"/>
      <c r="AL40" s="179"/>
      <c r="AM40" s="179"/>
      <c r="AN40" s="179"/>
      <c r="AO40" s="420">
        <f ca="1">ROUND(IF(AND(TblMagic[[#This Row],[Active DnD]]&lt;12,TblMagic[[#This Row],[Active DnD]]&gt;5),OFFSET(TblPop[[#This Row],[Draft Growth]],-1,0)*0.375,0),0)</f>
        <v>0</v>
      </c>
      <c r="AP40" s="142"/>
      <c r="AQ40" s="94">
        <f ca="1">TblProd[[#This Row],[Platinum]]</f>
        <v>158460</v>
      </c>
      <c r="AR40" s="94">
        <f ca="1">INDEX(TblProd[[#Headers],[Lumber]]:TblProd[[#This Row],[Ore]],COUNTA(TblProd[[#Headers],[Lumber]]:TblProd[[#This Row],[Lumber]]),MATCH(Military!$AR$2,TblProd[[#Headers],[Lumber]:[Ore]],0))</f>
        <v>0</v>
      </c>
      <c r="AS4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0" s="94">
        <f ca="1">TblMili[[#This Row],[Train Unit 1]]*TblMili[[#This Row],[OP Ore]]+TblMili[[#This Row],[Train Unit 2]]*TblMili[[#This Row],[DP Ore]]+TblMili[[#This Row],[Train Unit 3]]*TblMili[[#This Row],[E1 Ore]]+TblMili[[#This Row],[Train Unit 4]]*TblMili[[#This Row],[E2 Ore]]</f>
        <v>0</v>
      </c>
      <c r="AU40" s="142">
        <f>TblMili[[#This Row],[Hour]]</f>
        <v>37</v>
      </c>
      <c r="AV40" s="152">
        <f ca="1">TblMili[[#This Row],[Time]]</f>
        <v>46181.499999999913</v>
      </c>
      <c r="AW40" s="94">
        <f ca="1">TblMili[[#This Row],[Draftees]]</f>
        <v>441</v>
      </c>
      <c r="AX40" s="179"/>
      <c r="AY40" s="179"/>
      <c r="AZ40" s="179"/>
      <c r="BA40" s="179"/>
      <c r="BB40" s="179"/>
      <c r="BC40" s="179"/>
      <c r="BD40" s="179"/>
      <c r="BE40" s="179"/>
      <c r="BF40" s="179"/>
      <c r="BG40" s="142"/>
      <c r="BH40" s="157">
        <f ca="1">TblConstr[[#This Row],[Tot WG]]/TblConstr[[#This Row],[Land]]</f>
        <v>0</v>
      </c>
      <c r="BI40" s="157">
        <f ca="1">TblConstr[[#This Row],[Tot Hav]]/TblConstr[[#This Row],[Land]]</f>
        <v>0</v>
      </c>
      <c r="BJ40" s="94">
        <f ca="1">ROUNDUP((1-MIN(TblMili[[#This Row],[Smithies]]*smithy_bonus,smithy_bonus_cap) + tech_3_5*TblTech[[#This Row],[3-5]] + tech_5_3*TblTech[[#This Row],[5-3]] + tech_5_5*TblTech[[#This Row],[5-5]])*spec_op_plat,0)</f>
        <v>315</v>
      </c>
      <c r="BK40" s="94">
        <f ca="1">ROUNDUP(IF(race="Gnome",1,(1-MIN(TblMili[[#This Row],[Smithies]]*smithy_bonus,smithy_bonus_cap) + tech_3_5*TblTech[[#This Row],[3-5]] + tech_5_3*TblTech[[#This Row],[5-3]] + tech_5_5*TblTech[[#This Row],[5-5]]))*spec_op_ore,0)</f>
        <v>25</v>
      </c>
      <c r="BL40" s="94">
        <f ca="1">ROUNDUP((1-MIN(TblMili[[#This Row],[Smithies]]*smithy_bonus,smithy_bonus_cap) + tech_3_5*TblTech[[#This Row],[3-5]] + tech_5_3*TblTech[[#This Row],[5-3]] + tech_5_5*TblTech[[#This Row],[5-5]])*spec_dp_plat,0)</f>
        <v>275</v>
      </c>
      <c r="BM40" s="94">
        <f ca="1">ROUNDUP(IF(race="Gnome",1,(1-MIN(TblMili[[#This Row],[Smithies]]*smithy_bonus,smithy_bonus_cap) + tech_3_5*TblTech[[#This Row],[3-5]] + tech_5_3*TblTech[[#This Row],[5-3]] + tech_5_5*TblTech[[#This Row],[5-5]]))*spec_dp_ore,0)</f>
        <v>15</v>
      </c>
      <c r="BN40" s="94">
        <f ca="1">ROUNDUP((1-MIN(TblMili[[#This Row],[Smithies]]*smithy_bonus,smithy_bonus_cap) + tech_3_5*TblTech[[#This Row],[3-5]] + tech_5_3*TblTech[[#This Row],[5-3]] + tech_5_5*TblTech[[#This Row],[5-5]])*elite1_plat,0)</f>
        <v>1040</v>
      </c>
      <c r="BO40" s="94">
        <f ca="1">ROUNDUP(IF(race="Gnome",1,(1-MIN(TblMili[[#This Row],[Smithies]]*smithy_bonus,smithy_bonus_cap) + tech_3_5*TblTech[[#This Row],[3-5]] + tech_5_3*TblTech[[#This Row],[5-3]] + tech_5_5*TblTech[[#This Row],[5-5]]))*elite1_ore,0)</f>
        <v>75</v>
      </c>
      <c r="BP40" s="94">
        <f ca="1">ROUNDUP((1-MIN(TblMili[[#This Row],[Smithies]]*smithy_bonus,smithy_bonus_cap) + tech_3_5*TblTech[[#This Row],[3-5]] + tech_5_3*TblTech[[#This Row],[5-3]] + tech_5_5*TblTech[[#This Row],[5-5]])*elite2_plat,0)</f>
        <v>1280</v>
      </c>
      <c r="BQ40" s="94">
        <f ca="1">ROUNDUP(IF(race="Gnome",1,(1-MIN(TblMili[[#This Row],[Smithies]]*smithy_bonus,smithy_bonus_cap) + tech_3_5*TblTech[[#This Row],[3-5]] + tech_5_3*TblTech[[#This Row],[5-3]] + tech_5_5*TblTech[[#This Row],[5-5]]))*elite2_ore,0)</f>
        <v>100</v>
      </c>
      <c r="BR40" s="94">
        <f ca="1">ROUNDUP((1-MIN(ROUND(fh_spy_cost_red*TblMili[[#This Row],[FH''s]],4),fh_spy_cost_cap)+ tech_1_9*TblTech[[#This Row],[1-9]] + tech_9_1*TblTech[[#This Row],[9-1]])*spy_plat,0)</f>
        <v>500</v>
      </c>
      <c r="BS40" s="94">
        <f ca="1">ROUNDUP((1-MIN(ROUND(fh_spy_cost_red*TblMili[[#This Row],[FH''s]],4),fh_spy_cost_cap)+ tech_1_9*TblTech[[#This Row],[1-9]] + tech_9_1*TblTech[[#This Row],[9-1]])*archspy_plat,0)</f>
        <v>1000</v>
      </c>
      <c r="BT40" s="94">
        <f ca="1">ROUNDUP((1-MIN(ROUND(wg_wiz_cost_bonus*TblMili[[#This Row],[WG''s]],4),wg_wiz_cost_cap) + tech_1_9_2*TblTech[[#This Row],[1-9]] + tech_9_1_2*TblTech[[#This Row],[9-1]])*wizard_plat,0)</f>
        <v>500</v>
      </c>
      <c r="BU40" s="94">
        <f ca="1">ROUNDUP((1-MIN(ROUND(wg_wiz_cost_bonus*TblMili[[#This Row],[WG''s]],4),wg_wiz_cost_cap) + tech_1_9_2*TblTech[[#This Row],[1-9]] + tech_9_1_2*TblTech[[#This Row],[9-1]])*archmage_plat,0)</f>
        <v>1000</v>
      </c>
      <c r="BV40" s="142"/>
      <c r="BW40" s="157">
        <f ca="1">TblConstr[[#This Row],[Homeland]]/TblConstr[[#This Row],[Land]]</f>
        <v>0.6</v>
      </c>
      <c r="BX40" s="157">
        <f ca="1">TblMili[[#This Row],[WG''s]]</f>
        <v>0</v>
      </c>
      <c r="BY40" s="251">
        <f ca="1">IF(mystic_cap="none",TblMili[[#This Row],[Homeland%]]/mystic_bonus,MIN(mystic_cap,TblMili[[#This Row],[Homeland%]]/mystic_bonus))</f>
        <v>2</v>
      </c>
      <c r="BZ40" s="251">
        <f ca="1">IF(druid_op_cap="none",TblMili[[#This Row],[Homeland%]]/druid_op_bonus,MIN(druid_op_cap,TblMili[[#This Row],[Homeland%]]/druid_op_bonus))</f>
        <v>2</v>
      </c>
      <c r="CA40" s="251">
        <f ca="1">IF(druid_dp_cap="none",TblMili[[#This Row],[Homeland%]]/druid_dp_bonus,MIN(druid_dp_cap,TblMili[[#This Row],[Homeland%]]/druid_dp_bonus))</f>
        <v>2</v>
      </c>
      <c r="CB40" s="251">
        <f ca="1">MIN(dryad_cap,TblMili[[#This Row],[Homeland%]]/dryad_bonus)</f>
        <v>2.9999999999999996</v>
      </c>
      <c r="CC40" s="251">
        <f ca="1">MIN(rocka_cap,TblMili[[#This Row],[Homeland%]]/rocka_bonus)</f>
        <v>2</v>
      </c>
      <c r="CD40" s="251">
        <f ca="1">MIN(adept_op_cap,TblMili[[#This Row],[WG]]/adept_op_bonus)</f>
        <v>0</v>
      </c>
      <c r="CE40" s="251">
        <f ca="1">MIN(adept_dp_cap,TblMili[[#This Row],[WG]]/adept_dp_bonus)</f>
        <v>0</v>
      </c>
      <c r="CF40" s="94">
        <f ca="1">MIN(TblMili[[#This Row],[Unit 3]],TblMili[[#This Row],[Unit 2]])*2</f>
        <v>0</v>
      </c>
      <c r="CG40" s="94">
        <f ca="1">MIN(TblMili[[#This Row],[Unit 1]],TblMili[[#This Row],[Unit 4]])*2</f>
        <v>0</v>
      </c>
      <c r="CH40" s="251">
        <f ca="1">MIN(frost_mage_cap,TblMili[[#This Row],[Homeland%]]/frost_mage_bonus)</f>
        <v>2.9999999999999996</v>
      </c>
      <c r="CI40" s="45">
        <f ca="1">MIN(ice_elem_cap,TblMili[[#This Row],[Raw (2)]]*ice_elem_bonus)</f>
        <v>0</v>
      </c>
      <c r="CJ40" s="251">
        <f t="shared" si="2"/>
        <v>0.83333333333333337</v>
      </c>
      <c r="CK40" s="251">
        <f ca="1">MIN(nox_nightshade_cap,TblConstr[[#This Row],[Homeland]]/TblConstr[[#This Row],[Land]]/nox_nightshade_swamp_bonus)</f>
        <v>4</v>
      </c>
      <c r="CL40" s="251">
        <f ca="1">MIN(TblConstr[[#This Row],[Total Swamp]]/TblConstr[[#This Row],[Land]]/abyss_enforce_bonus,abyss_enforcer_cap)</f>
        <v>0</v>
      </c>
      <c r="CM40" s="251">
        <f ca="1">IF(TblMagic[[#This Row],[Active Infernal Command]]&gt;0,TblMili[[#This Row],[Unit 1]]*infernal_cmd_op,0)</f>
        <v>0</v>
      </c>
      <c r="CN40" s="252"/>
      <c r="CO40" s="252"/>
      <c r="CP40" s="252"/>
      <c r="CQ40" s="251">
        <f ca="1">TblMili[[#This Row],[Mystic]]*2</f>
        <v>4</v>
      </c>
      <c r="CR40" s="251">
        <f ca="1">TblMili[[#This Row],[Druid (op)]]*2</f>
        <v>4</v>
      </c>
      <c r="CS40" s="94">
        <f ca="1">TblMili[[#This Row],[Mystic bonus]]*TblMili[[#This Row],[Unit 3]]+TblMili[[#This Row],[Druid bonus]]*TblMili[[#This Row],[Unit 4]]</f>
        <v>0</v>
      </c>
      <c r="CT40" s="155">
        <f ca="1">TblMili[[#This Row],[Dryad]]*2</f>
        <v>5.9999999999999991</v>
      </c>
      <c r="CU40" s="94">
        <f ca="1">sylvan*(TblMili[[#This Row],[Mystic bonus]]*TblMili[[#This Row],[Unit 3]])</f>
        <v>0</v>
      </c>
      <c r="CV40" s="155">
        <f ca="1">TblMili[[#This Row],[Rockapult]]*2</f>
        <v>4</v>
      </c>
      <c r="CW40" s="94">
        <f ca="1">gnome*(TblMili[[#This Row],[Rockapult bonus]]*TblMili[[#This Row],[Unit 3]])</f>
        <v>0</v>
      </c>
      <c r="CX40" s="155">
        <f ca="1">TblMili[[#This Row],[Adept-DP]]*2</f>
        <v>0</v>
      </c>
      <c r="CY40" s="94">
        <f ca="1">dark_elf*(TblMili[[#This Row],[Adept bonus]]*TblMili[[#This Row],[Unit 3]])</f>
        <v>0</v>
      </c>
      <c r="CZ40" s="155">
        <f ca="1">TblMili[[#This Row],[Frost Mage]]*2</f>
        <v>5.9999999999999991</v>
      </c>
      <c r="DA40" s="155">
        <f ca="1">TblMili[[#This Row],[Ice Elemental]]*2</f>
        <v>0</v>
      </c>
      <c r="DB40" s="94">
        <f ca="1">TblMili[[#This Row],[Frost Mage bonus]]*TblMili[[#This Row],[Unit 3]]+TblMili[[#This Row],[Ice Elemental bonus]]*TblMili[[#This Row],[Unit 4]]</f>
        <v>0</v>
      </c>
      <c r="DC40" s="253"/>
      <c r="DD40" s="143">
        <f ca="1">MIN(SUM(TblConstr[[#This Row],[Plain]:[Water]])/TblMili[[#This Row],[Land]]/favorable_terrain_bonus/100,favorable_terrain_max)</f>
        <v>0</v>
      </c>
      <c r="DE40" s="253"/>
      <c r="DF4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2"/>
      <c r="DH40" s="254">
        <f ca="1">(TblMili[[#This Row],[Wizards]]+2*TblMili[[#This Row],[Archmages]])/TblConstr[[#This Row],[Land]]</f>
        <v>0</v>
      </c>
      <c r="DI40" s="254">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41" s="154"/>
      <c r="AC41" s="180">
        <f ca="1">(TblConstr[[#This Row],[Tot Smi]]+TblConstr[[#This Row],[Dest Smi]])/(TblConstr[[#This Row],[Land]]-TblExplore[[#This Row],[Land Bonus]]*20)</f>
        <v>0</v>
      </c>
      <c r="AD41" s="137"/>
      <c r="AE41" s="246">
        <f>TblMili[[#This Row],[Hour]]</f>
        <v>38</v>
      </c>
      <c r="AF41" s="138">
        <f ca="1">TblExplore[[#This Row],[Time]]</f>
        <v>46181.541666666577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46181.541666666577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315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TblMili[[#This Row],[Mystic]]*2</f>
        <v>4</v>
      </c>
      <c r="CR41" s="251">
        <f ca="1">TblMili[[#This Row],[Druid (op)]]*2</f>
        <v>4</v>
      </c>
      <c r="CS41" s="94">
        <f ca="1">TblMili[[#This Row],[Mystic bonus]]*TblMili[[#This Row],[Unit 3]]+TblMili[[#This Row],[Druid bonus]]*TblMili[[#This Row],[Unit 4]]</f>
        <v>0</v>
      </c>
      <c r="CT41" s="155">
        <f ca="1">TblMili[[#This Row],[Dryad]]*2</f>
        <v>5.9999999999999991</v>
      </c>
      <c r="CU41" s="94">
        <f ca="1">sylvan*(TblMili[[#This Row],[Mystic bonus]]*TblMili[[#This Row],[Unit 3]])</f>
        <v>0</v>
      </c>
      <c r="CV41" s="155">
        <f ca="1">TblMili[[#This Row],[Rockapult]]*2</f>
        <v>4</v>
      </c>
      <c r="CW41" s="94">
        <f ca="1">gnome*(TblMili[[#This Row],[Rockapult bonus]]*TblMili[[#This Row],[Unit 3]])</f>
        <v>0</v>
      </c>
      <c r="CX41" s="155">
        <f ca="1">TblMili[[#This Row],[Adept-DP]]*2</f>
        <v>0</v>
      </c>
      <c r="CY41" s="94">
        <f ca="1">dark_elf*(TblMili[[#This Row],[Adept bonus]]*TblMili[[#This Row],[Unit 3]])</f>
        <v>0</v>
      </c>
      <c r="CZ41" s="155">
        <f ca="1">TblMili[[#This Row],[Frost Mage]]*2</f>
        <v>5.9999999999999991</v>
      </c>
      <c r="DA41" s="155">
        <f ca="1">TblMili[[#This Row],[Ice Elemental]]*2</f>
        <v>0</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42" s="154"/>
      <c r="AC42" s="180">
        <f ca="1">(TblConstr[[#This Row],[Tot Smi]]+TblConstr[[#This Row],[Dest Smi]])/(TblConstr[[#This Row],[Land]]-TblExplore[[#This Row],[Land Bonus]]*20)</f>
        <v>0</v>
      </c>
      <c r="AD42" s="137"/>
      <c r="AE42" s="246">
        <f>TblMili[[#This Row],[Hour]]</f>
        <v>39</v>
      </c>
      <c r="AF42" s="138">
        <f ca="1">TblExplore[[#This Row],[Time]]</f>
        <v>46181.583333333241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46181.583333333241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315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TblMili[[#This Row],[Mystic]]*2</f>
        <v>4</v>
      </c>
      <c r="CR42" s="251">
        <f ca="1">TblMili[[#This Row],[Druid (op)]]*2</f>
        <v>4</v>
      </c>
      <c r="CS42" s="94">
        <f ca="1">TblMili[[#This Row],[Mystic bonus]]*TblMili[[#This Row],[Unit 3]]+TblMili[[#This Row],[Druid bonus]]*TblMili[[#This Row],[Unit 4]]</f>
        <v>0</v>
      </c>
      <c r="CT42" s="155">
        <f ca="1">TblMili[[#This Row],[Dryad]]*2</f>
        <v>5.9999999999999991</v>
      </c>
      <c r="CU42" s="94">
        <f ca="1">sylvan*(TblMili[[#This Row],[Mystic bonus]]*TblMili[[#This Row],[Unit 3]])</f>
        <v>0</v>
      </c>
      <c r="CV42" s="155">
        <f ca="1">TblMili[[#This Row],[Rockapult]]*2</f>
        <v>4</v>
      </c>
      <c r="CW42" s="94">
        <f ca="1">gnome*(TblMili[[#This Row],[Rockapult bonus]]*TblMili[[#This Row],[Unit 3]])</f>
        <v>0</v>
      </c>
      <c r="CX42" s="155">
        <f ca="1">TblMili[[#This Row],[Adept-DP]]*2</f>
        <v>0</v>
      </c>
      <c r="CY42" s="94">
        <f ca="1">dark_elf*(TblMili[[#This Row],[Adept bonus]]*TblMili[[#This Row],[Unit 3]])</f>
        <v>0</v>
      </c>
      <c r="CZ42" s="155">
        <f ca="1">TblMili[[#This Row],[Frost Mage]]*2</f>
        <v>5.9999999999999991</v>
      </c>
      <c r="DA42" s="155">
        <f ca="1">TblMili[[#This Row],[Ice Elemental]]*2</f>
        <v>0</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43" s="154"/>
      <c r="AC43" s="180">
        <f ca="1">(TblConstr[[#This Row],[Tot Smi]]+TblConstr[[#This Row],[Dest Smi]])/(TblConstr[[#This Row],[Land]]-TblExplore[[#This Row],[Land Bonus]]*20)</f>
        <v>0</v>
      </c>
      <c r="AD43" s="137"/>
      <c r="AE43" s="246">
        <f>TblMili[[#This Row],[Hour]]</f>
        <v>40</v>
      </c>
      <c r="AF43" s="138">
        <f ca="1">TblExplore[[#This Row],[Time]]</f>
        <v>46181.624999999905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46181.624999999905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315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TblMili[[#This Row],[Mystic]]*2</f>
        <v>4</v>
      </c>
      <c r="CR43" s="251">
        <f ca="1">TblMili[[#This Row],[Druid (op)]]*2</f>
        <v>4</v>
      </c>
      <c r="CS43" s="94">
        <f ca="1">TblMili[[#This Row],[Mystic bonus]]*TblMili[[#This Row],[Unit 3]]+TblMili[[#This Row],[Druid bonus]]*TblMili[[#This Row],[Unit 4]]</f>
        <v>0</v>
      </c>
      <c r="CT43" s="155">
        <f ca="1">TblMili[[#This Row],[Dryad]]*2</f>
        <v>5.9999999999999991</v>
      </c>
      <c r="CU43" s="94">
        <f ca="1">sylvan*(TblMili[[#This Row],[Mystic bonus]]*TblMili[[#This Row],[Unit 3]])</f>
        <v>0</v>
      </c>
      <c r="CV43" s="155">
        <f ca="1">TblMili[[#This Row],[Rockapult]]*2</f>
        <v>4</v>
      </c>
      <c r="CW43" s="94">
        <f ca="1">gnome*(TblMili[[#This Row],[Rockapult bonus]]*TblMili[[#This Row],[Unit 3]])</f>
        <v>0</v>
      </c>
      <c r="CX43" s="155">
        <f ca="1">TblMili[[#This Row],[Adept-DP]]*2</f>
        <v>0</v>
      </c>
      <c r="CY43" s="94">
        <f ca="1">dark_elf*(TblMili[[#This Row],[Adept bonus]]*TblMili[[#This Row],[Unit 3]])</f>
        <v>0</v>
      </c>
      <c r="CZ43" s="155">
        <f ca="1">TblMili[[#This Row],[Frost Mage]]*2</f>
        <v>5.9999999999999991</v>
      </c>
      <c r="DA43" s="155">
        <f ca="1">TblMili[[#This Row],[Ice Elemental]]*2</f>
        <v>0</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44" s="154"/>
      <c r="AC44" s="180">
        <f ca="1">(TblConstr[[#This Row],[Tot Smi]]+TblConstr[[#This Row],[Dest Smi]])/(TblConstr[[#This Row],[Land]]-TblExplore[[#This Row],[Land Bonus]]*20)</f>
        <v>0</v>
      </c>
      <c r="AD44" s="137"/>
      <c r="AE44" s="246">
        <f>TblMili[[#This Row],[Hour]]</f>
        <v>41</v>
      </c>
      <c r="AF44" s="138">
        <f ca="1">TblExplore[[#This Row],[Time]]</f>
        <v>46181.66666666657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46181.66666666657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315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TblMili[[#This Row],[Mystic]]*2</f>
        <v>4</v>
      </c>
      <c r="CR44" s="251">
        <f ca="1">TblMili[[#This Row],[Druid (op)]]*2</f>
        <v>4</v>
      </c>
      <c r="CS44" s="94">
        <f ca="1">TblMili[[#This Row],[Mystic bonus]]*TblMili[[#This Row],[Unit 3]]+TblMili[[#This Row],[Druid bonus]]*TblMili[[#This Row],[Unit 4]]</f>
        <v>0</v>
      </c>
      <c r="CT44" s="155">
        <f ca="1">TblMili[[#This Row],[Dryad]]*2</f>
        <v>5.9999999999999991</v>
      </c>
      <c r="CU44" s="94">
        <f ca="1">sylvan*(TblMili[[#This Row],[Mystic bonus]]*TblMili[[#This Row],[Unit 3]])</f>
        <v>0</v>
      </c>
      <c r="CV44" s="155">
        <f ca="1">TblMili[[#This Row],[Rockapult]]*2</f>
        <v>4</v>
      </c>
      <c r="CW44" s="94">
        <f ca="1">gnome*(TblMili[[#This Row],[Rockapult bonus]]*TblMili[[#This Row],[Unit 3]])</f>
        <v>0</v>
      </c>
      <c r="CX44" s="155">
        <f ca="1">TblMili[[#This Row],[Adept-DP]]*2</f>
        <v>0</v>
      </c>
      <c r="CY44" s="94">
        <f ca="1">dark_elf*(TblMili[[#This Row],[Adept bonus]]*TblMili[[#This Row],[Unit 3]])</f>
        <v>0</v>
      </c>
      <c r="CZ44" s="155">
        <f ca="1">TblMili[[#This Row],[Frost Mage]]*2</f>
        <v>5.9999999999999991</v>
      </c>
      <c r="DA44" s="155">
        <f ca="1">TblMili[[#This Row],[Ice Elemental]]*2</f>
        <v>0</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45" s="154"/>
      <c r="AC45" s="180">
        <f ca="1">(TblConstr[[#This Row],[Tot Smi]]+TblConstr[[#This Row],[Dest Smi]])/(TblConstr[[#This Row],[Land]]-TblExplore[[#This Row],[Land Bonus]]*20)</f>
        <v>0</v>
      </c>
      <c r="AD45" s="137"/>
      <c r="AE45" s="246">
        <f>TblMili[[#This Row],[Hour]]</f>
        <v>42</v>
      </c>
      <c r="AF45" s="138">
        <f ca="1">TblExplore[[#This Row],[Time]]</f>
        <v>46181.708333333234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46181.708333333234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315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TblMili[[#This Row],[Mystic]]*2</f>
        <v>4</v>
      </c>
      <c r="CR45" s="251">
        <f ca="1">TblMili[[#This Row],[Druid (op)]]*2</f>
        <v>4</v>
      </c>
      <c r="CS45" s="94">
        <f ca="1">TblMili[[#This Row],[Mystic bonus]]*TblMili[[#This Row],[Unit 3]]+TblMili[[#This Row],[Druid bonus]]*TblMili[[#This Row],[Unit 4]]</f>
        <v>0</v>
      </c>
      <c r="CT45" s="155">
        <f ca="1">TblMili[[#This Row],[Dryad]]*2</f>
        <v>5.9999999999999991</v>
      </c>
      <c r="CU45" s="94">
        <f ca="1">sylvan*(TblMili[[#This Row],[Mystic bonus]]*TblMili[[#This Row],[Unit 3]])</f>
        <v>0</v>
      </c>
      <c r="CV45" s="155">
        <f ca="1">TblMili[[#This Row],[Rockapult]]*2</f>
        <v>4</v>
      </c>
      <c r="CW45" s="94">
        <f ca="1">gnome*(TblMili[[#This Row],[Rockapult bonus]]*TblMili[[#This Row],[Unit 3]])</f>
        <v>0</v>
      </c>
      <c r="CX45" s="155">
        <f ca="1">TblMili[[#This Row],[Adept-DP]]*2</f>
        <v>0</v>
      </c>
      <c r="CY45" s="94">
        <f ca="1">dark_elf*(TblMili[[#This Row],[Adept bonus]]*TblMili[[#This Row],[Unit 3]])</f>
        <v>0</v>
      </c>
      <c r="CZ45" s="155">
        <f ca="1">TblMili[[#This Row],[Frost Mage]]*2</f>
        <v>5.9999999999999991</v>
      </c>
      <c r="DA45" s="155">
        <f ca="1">TblMili[[#This Row],[Ice Elemental]]*2</f>
        <v>0</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46" s="154"/>
      <c r="AC46" s="180">
        <f ca="1">(TblConstr[[#This Row],[Tot Smi]]+TblConstr[[#This Row],[Dest Smi]])/(TblConstr[[#This Row],[Land]]-TblExplore[[#This Row],[Land Bonus]]*20)</f>
        <v>0</v>
      </c>
      <c r="AD46" s="137"/>
      <c r="AE46" s="246">
        <f>TblMili[[#This Row],[Hour]]</f>
        <v>43</v>
      </c>
      <c r="AF46" s="138">
        <f ca="1">TblExplore[[#This Row],[Time]]</f>
        <v>46181.749999999898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46181.749999999898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315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TblMili[[#This Row],[Mystic]]*2</f>
        <v>4</v>
      </c>
      <c r="CR46" s="251">
        <f ca="1">TblMili[[#This Row],[Druid (op)]]*2</f>
        <v>4</v>
      </c>
      <c r="CS46" s="94">
        <f ca="1">TblMili[[#This Row],[Mystic bonus]]*TblMili[[#This Row],[Unit 3]]+TblMili[[#This Row],[Druid bonus]]*TblMili[[#This Row],[Unit 4]]</f>
        <v>0</v>
      </c>
      <c r="CT46" s="155">
        <f ca="1">TblMili[[#This Row],[Dryad]]*2</f>
        <v>5.9999999999999991</v>
      </c>
      <c r="CU46" s="94">
        <f ca="1">sylvan*(TblMili[[#This Row],[Mystic bonus]]*TblMili[[#This Row],[Unit 3]])</f>
        <v>0</v>
      </c>
      <c r="CV46" s="155">
        <f ca="1">TblMili[[#This Row],[Rockapult]]*2</f>
        <v>4</v>
      </c>
      <c r="CW46" s="94">
        <f ca="1">gnome*(TblMili[[#This Row],[Rockapult bonus]]*TblMili[[#This Row],[Unit 3]])</f>
        <v>0</v>
      </c>
      <c r="CX46" s="155">
        <f ca="1">TblMili[[#This Row],[Adept-DP]]*2</f>
        <v>0</v>
      </c>
      <c r="CY46" s="94">
        <f ca="1">dark_elf*(TblMili[[#This Row],[Adept bonus]]*TblMili[[#This Row],[Unit 3]])</f>
        <v>0</v>
      </c>
      <c r="CZ46" s="155">
        <f ca="1">TblMili[[#This Row],[Frost Mage]]*2</f>
        <v>5.9999999999999991</v>
      </c>
      <c r="DA46" s="155">
        <f ca="1">TblMili[[#This Row],[Ice Elemental]]*2</f>
        <v>0</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47" s="154"/>
      <c r="AC47" s="180">
        <f ca="1">(TblConstr[[#This Row],[Tot Smi]]+TblConstr[[#This Row],[Dest Smi]])/(TblConstr[[#This Row],[Land]]-TblExplore[[#This Row],[Land Bonus]]*20)</f>
        <v>0</v>
      </c>
      <c r="AD47" s="137"/>
      <c r="AE47" s="246">
        <f>TblMili[[#This Row],[Hour]]</f>
        <v>44</v>
      </c>
      <c r="AF47" s="138">
        <f ca="1">TblExplore[[#This Row],[Time]]</f>
        <v>46181.791666666562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46181.791666666562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315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TblMili[[#This Row],[Mystic]]*2</f>
        <v>4</v>
      </c>
      <c r="CR47" s="251">
        <f ca="1">TblMili[[#This Row],[Druid (op)]]*2</f>
        <v>4</v>
      </c>
      <c r="CS47" s="94">
        <f ca="1">TblMili[[#This Row],[Mystic bonus]]*TblMili[[#This Row],[Unit 3]]+TblMili[[#This Row],[Druid bonus]]*TblMili[[#This Row],[Unit 4]]</f>
        <v>0</v>
      </c>
      <c r="CT47" s="155">
        <f ca="1">TblMili[[#This Row],[Dryad]]*2</f>
        <v>5.9999999999999991</v>
      </c>
      <c r="CU47" s="94">
        <f ca="1">sylvan*(TblMili[[#This Row],[Mystic bonus]]*TblMili[[#This Row],[Unit 3]])</f>
        <v>0</v>
      </c>
      <c r="CV47" s="155">
        <f ca="1">TblMili[[#This Row],[Rockapult]]*2</f>
        <v>4</v>
      </c>
      <c r="CW47" s="94">
        <f ca="1">gnome*(TblMili[[#This Row],[Rockapult bonus]]*TblMili[[#This Row],[Unit 3]])</f>
        <v>0</v>
      </c>
      <c r="CX47" s="155">
        <f ca="1">TblMili[[#This Row],[Adept-DP]]*2</f>
        <v>0</v>
      </c>
      <c r="CY47" s="94">
        <f ca="1">dark_elf*(TblMili[[#This Row],[Adept bonus]]*TblMili[[#This Row],[Unit 3]])</f>
        <v>0</v>
      </c>
      <c r="CZ47" s="155">
        <f ca="1">TblMili[[#This Row],[Frost Mage]]*2</f>
        <v>5.9999999999999991</v>
      </c>
      <c r="DA47" s="155">
        <f ca="1">TblMili[[#This Row],[Ice Elemental]]*2</f>
        <v>0</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48" s="154"/>
      <c r="AC48" s="180">
        <f ca="1">(TblConstr[[#This Row],[Tot Smi]]+TblConstr[[#This Row],[Dest Smi]])/(TblConstr[[#This Row],[Land]]-TblExplore[[#This Row],[Land Bonus]]*20)</f>
        <v>0</v>
      </c>
      <c r="AD48" s="137"/>
      <c r="AE48" s="246">
        <f>TblMili[[#This Row],[Hour]]</f>
        <v>45</v>
      </c>
      <c r="AF48" s="138">
        <f ca="1">TblExplore[[#This Row],[Time]]</f>
        <v>46181.833333333227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46181.833333333227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315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TblMili[[#This Row],[Mystic]]*2</f>
        <v>4</v>
      </c>
      <c r="CR48" s="251">
        <f ca="1">TblMili[[#This Row],[Druid (op)]]*2</f>
        <v>4</v>
      </c>
      <c r="CS48" s="94">
        <f ca="1">TblMili[[#This Row],[Mystic bonus]]*TblMili[[#This Row],[Unit 3]]+TblMili[[#This Row],[Druid bonus]]*TblMili[[#This Row],[Unit 4]]</f>
        <v>0</v>
      </c>
      <c r="CT48" s="155">
        <f ca="1">TblMili[[#This Row],[Dryad]]*2</f>
        <v>5.9999999999999991</v>
      </c>
      <c r="CU48" s="94">
        <f ca="1">sylvan*(TblMili[[#This Row],[Mystic bonus]]*TblMili[[#This Row],[Unit 3]])</f>
        <v>0</v>
      </c>
      <c r="CV48" s="155">
        <f ca="1">TblMili[[#This Row],[Rockapult]]*2</f>
        <v>4</v>
      </c>
      <c r="CW48" s="94">
        <f ca="1">gnome*(TblMili[[#This Row],[Rockapult bonus]]*TblMili[[#This Row],[Unit 3]])</f>
        <v>0</v>
      </c>
      <c r="CX48" s="155">
        <f ca="1">TblMili[[#This Row],[Adept-DP]]*2</f>
        <v>0</v>
      </c>
      <c r="CY48" s="94">
        <f ca="1">dark_elf*(TblMili[[#This Row],[Adept bonus]]*TblMili[[#This Row],[Unit 3]])</f>
        <v>0</v>
      </c>
      <c r="CZ48" s="155">
        <f ca="1">TblMili[[#This Row],[Frost Mage]]*2</f>
        <v>5.9999999999999991</v>
      </c>
      <c r="DA48" s="155">
        <f ca="1">TblMili[[#This Row],[Ice Elemental]]*2</f>
        <v>0</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49" s="154"/>
      <c r="AC49" s="180">
        <f ca="1">(TblConstr[[#This Row],[Tot Smi]]+TblConstr[[#This Row],[Dest Smi]])/(TblConstr[[#This Row],[Land]]-TblExplore[[#This Row],[Land Bonus]]*20)</f>
        <v>0</v>
      </c>
      <c r="AD49" s="137"/>
      <c r="AE49" s="246">
        <f>TblMili[[#This Row],[Hour]]</f>
        <v>46</v>
      </c>
      <c r="AF49" s="138">
        <f ca="1">TblExplore[[#This Row],[Time]]</f>
        <v>46181.874999999891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46181.874999999891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315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TblMili[[#This Row],[Mystic]]*2</f>
        <v>4</v>
      </c>
      <c r="CR49" s="251">
        <f ca="1">TblMili[[#This Row],[Druid (op)]]*2</f>
        <v>4</v>
      </c>
      <c r="CS49" s="94">
        <f ca="1">TblMili[[#This Row],[Mystic bonus]]*TblMili[[#This Row],[Unit 3]]+TblMili[[#This Row],[Druid bonus]]*TblMili[[#This Row],[Unit 4]]</f>
        <v>0</v>
      </c>
      <c r="CT49" s="155">
        <f ca="1">TblMili[[#This Row],[Dryad]]*2</f>
        <v>5.9999999999999991</v>
      </c>
      <c r="CU49" s="94">
        <f ca="1">sylvan*(TblMili[[#This Row],[Mystic bonus]]*TblMili[[#This Row],[Unit 3]])</f>
        <v>0</v>
      </c>
      <c r="CV49" s="155">
        <f ca="1">TblMili[[#This Row],[Rockapult]]*2</f>
        <v>4</v>
      </c>
      <c r="CW49" s="94">
        <f ca="1">gnome*(TblMili[[#This Row],[Rockapult bonus]]*TblMili[[#This Row],[Unit 3]])</f>
        <v>0</v>
      </c>
      <c r="CX49" s="155">
        <f ca="1">TblMili[[#This Row],[Adept-DP]]*2</f>
        <v>0</v>
      </c>
      <c r="CY49" s="94">
        <f ca="1">dark_elf*(TblMili[[#This Row],[Adept bonus]]*TblMili[[#This Row],[Unit 3]])</f>
        <v>0</v>
      </c>
      <c r="CZ49" s="155">
        <f ca="1">TblMili[[#This Row],[Frost Mage]]*2</f>
        <v>5.9999999999999991</v>
      </c>
      <c r="DA49" s="155">
        <f ca="1">TblMili[[#This Row],[Ice Elemental]]*2</f>
        <v>0</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50" s="154"/>
      <c r="AC50" s="180">
        <f ca="1">(TblConstr[[#This Row],[Tot Smi]]+TblConstr[[#This Row],[Dest Smi]])/(TblConstr[[#This Row],[Land]]-TblExplore[[#This Row],[Land Bonus]]*20)</f>
        <v>0</v>
      </c>
      <c r="AD50" s="137"/>
      <c r="AE50" s="246">
        <f>TblMili[[#This Row],[Hour]]</f>
        <v>47</v>
      </c>
      <c r="AF50" s="138">
        <f ca="1">TblExplore[[#This Row],[Time]]</f>
        <v>46181.916666666555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46181.916666666555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315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TblMili[[#This Row],[Mystic]]*2</f>
        <v>4</v>
      </c>
      <c r="CR50" s="251">
        <f ca="1">TblMili[[#This Row],[Druid (op)]]*2</f>
        <v>4</v>
      </c>
      <c r="CS50" s="94">
        <f ca="1">TblMili[[#This Row],[Mystic bonus]]*TblMili[[#This Row],[Unit 3]]+TblMili[[#This Row],[Druid bonus]]*TblMili[[#This Row],[Unit 4]]</f>
        <v>0</v>
      </c>
      <c r="CT50" s="155">
        <f ca="1">TblMili[[#This Row],[Dryad]]*2</f>
        <v>5.9999999999999991</v>
      </c>
      <c r="CU50" s="94">
        <f ca="1">sylvan*(TblMili[[#This Row],[Mystic bonus]]*TblMili[[#This Row],[Unit 3]])</f>
        <v>0</v>
      </c>
      <c r="CV50" s="155">
        <f ca="1">TblMili[[#This Row],[Rockapult]]*2</f>
        <v>4</v>
      </c>
      <c r="CW50" s="94">
        <f ca="1">gnome*(TblMili[[#This Row],[Rockapult bonus]]*TblMili[[#This Row],[Unit 3]])</f>
        <v>0</v>
      </c>
      <c r="CX50" s="155">
        <f ca="1">TblMili[[#This Row],[Adept-DP]]*2</f>
        <v>0</v>
      </c>
      <c r="CY50" s="94">
        <f ca="1">dark_elf*(TblMili[[#This Row],[Adept bonus]]*TblMili[[#This Row],[Unit 3]])</f>
        <v>0</v>
      </c>
      <c r="CZ50" s="155">
        <f ca="1">TblMili[[#This Row],[Frost Mage]]*2</f>
        <v>5.9999999999999991</v>
      </c>
      <c r="DA50" s="155">
        <f ca="1">TblMili[[#This Row],[Ice Elemental]]*2</f>
        <v>0</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51" s="154"/>
      <c r="AC51" s="180">
        <f ca="1">(TblConstr[[#This Row],[Tot Smi]]+TblConstr[[#This Row],[Dest Smi]])/(TblConstr[[#This Row],[Land]]-TblExplore[[#This Row],[Land Bonus]]*20)</f>
        <v>0</v>
      </c>
      <c r="AD51" s="137"/>
      <c r="AE51" s="246">
        <f>TblMili[[#This Row],[Hour]]</f>
        <v>48</v>
      </c>
      <c r="AF51" s="138">
        <f ca="1">TblExplore[[#This Row],[Time]]</f>
        <v>46181.958333333219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46181.958333333219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315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TblMili[[#This Row],[Mystic]]*2</f>
        <v>4</v>
      </c>
      <c r="CR51" s="251">
        <f ca="1">TblMili[[#This Row],[Druid (op)]]*2</f>
        <v>4</v>
      </c>
      <c r="CS51" s="94">
        <f ca="1">TblMili[[#This Row],[Mystic bonus]]*TblMili[[#This Row],[Unit 3]]+TblMili[[#This Row],[Druid bonus]]*TblMili[[#This Row],[Unit 4]]</f>
        <v>0</v>
      </c>
      <c r="CT51" s="155">
        <f ca="1">TblMili[[#This Row],[Dryad]]*2</f>
        <v>5.9999999999999991</v>
      </c>
      <c r="CU51" s="94">
        <f ca="1">sylvan*(TblMili[[#This Row],[Mystic bonus]]*TblMili[[#This Row],[Unit 3]])</f>
        <v>0</v>
      </c>
      <c r="CV51" s="155">
        <f ca="1">TblMili[[#This Row],[Rockapult]]*2</f>
        <v>4</v>
      </c>
      <c r="CW51" s="94">
        <f ca="1">gnome*(TblMili[[#This Row],[Rockapult bonus]]*TblMili[[#This Row],[Unit 3]])</f>
        <v>0</v>
      </c>
      <c r="CX51" s="155">
        <f ca="1">TblMili[[#This Row],[Adept-DP]]*2</f>
        <v>0</v>
      </c>
      <c r="CY51" s="94">
        <f ca="1">dark_elf*(TblMili[[#This Row],[Adept bonus]]*TblMili[[#This Row],[Unit 3]])</f>
        <v>0</v>
      </c>
      <c r="CZ51" s="155">
        <f ca="1">TblMili[[#This Row],[Frost Mage]]*2</f>
        <v>5.9999999999999991</v>
      </c>
      <c r="DA51" s="155">
        <f ca="1">TblMili[[#This Row],[Ice Elemental]]*2</f>
        <v>0</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s="5" customFormat="1" x14ac:dyDescent="0.2">
      <c r="A52" s="144">
        <f>TblRezone[[#This Row],[Hour]]</f>
        <v>49</v>
      </c>
      <c r="B52" s="258">
        <f ca="1">SUM(TblMili[[#This Row],[Unit 1]:[Archmages]])+SUM(OFFSET(TblMili[[#This Row],[Train Unit 1]],-8,0):TblMili[[#This Row],[Train Unit 2]]) + SUM(OFFSET(TblMili[[#This Row],[Train Unit 3]],-11,0):TblMili[[#This Row],[Train AM]]) + TblMili[[#This Row],[Draftees]]</f>
        <v>477</v>
      </c>
      <c r="C52" s="165">
        <f ca="1">TblPop[[#This Row],[Military%]]</f>
        <v>0.62028608582574774</v>
      </c>
      <c r="D52" s="149"/>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49"/>
      <c r="N52" s="35">
        <f ca="1">TblProd[[#This Row],[Networth]]</f>
        <v>1250</v>
      </c>
      <c r="O52" s="149"/>
      <c r="P52" s="450">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0">
        <f ca="1">TblMili[[#This Row],[Raw]]*(1+TblMili[[#This Row],[Mods_Off]])</f>
        <v>0</v>
      </c>
      <c r="S52" s="450">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450">
        <f ca="1">TblMili[[#This Row],[Non Draft]]+TblMili[[#This Row],[Draftees]]</f>
        <v>477</v>
      </c>
      <c r="U52" s="451">
        <f ca="1">race_defense + TblImps[[#This Row],[Walls]] + ROUND( MIN(gt_bonus*TblConstr[[#This Row],[Tot GT]]/TblConstr[[#This Row],[Land]],gt_bonus_cap), 4) + IF(TblMagic[[#This Row],[Active Howling]]&gt;0,howling_dp_bonus,IF(TblMagic[[#This Row],[Active Ares Call]]&gt;0,ares_call_bonus))</f>
        <v>0</v>
      </c>
      <c r="V52" s="452">
        <f ca="1">TblMili[[#This Row],[Non Draft]] * (1 + TblMili[[#This Row],[Mods_Def]])</f>
        <v>0</v>
      </c>
      <c r="W52" s="450">
        <f ca="1">TblMili[[#This Row],[Draft]] * (1 + TblMili[[#This Row],[Mods_Def]])</f>
        <v>477</v>
      </c>
      <c r="X52" s="450">
        <f ca="1">TblConstr[[#This Row],[Land]]</f>
        <v>50</v>
      </c>
      <c r="Y52" s="259"/>
      <c r="Z52" s="453">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52" s="162"/>
      <c r="AC52" s="436">
        <f ca="1">(TblConstr[[#This Row],[Tot Smi]]+TblConstr[[#This Row],[Dest Smi]])/(TblConstr[[#This Row],[Land]]-TblExplore[[#This Row],[Land Bonus]]*20)</f>
        <v>0</v>
      </c>
      <c r="AD52" s="454"/>
      <c r="AE52" s="455">
        <f>TblMili[[#This Row],[Hour]]</f>
        <v>49</v>
      </c>
      <c r="AF52" s="145">
        <f ca="1">TblExplore[[#This Row],[Time]]</f>
        <v>46181.999999999884</v>
      </c>
      <c r="AG52" s="201"/>
      <c r="AH52" s="201"/>
      <c r="AI52" s="201"/>
      <c r="AJ52" s="201"/>
      <c r="AK52" s="201"/>
      <c r="AL52" s="201"/>
      <c r="AM52" s="201"/>
      <c r="AN52" s="201"/>
      <c r="AO52" s="421">
        <f ca="1">ROUND(IF(AND(TblMagic[[#This Row],[Active DnD]]&lt;12,TblMagic[[#This Row],[Active DnD]]&gt;5),OFFSET(TblPop[[#This Row],[Draft Growth]],-1,0)*0.375,0),0)</f>
        <v>0</v>
      </c>
      <c r="AP52" s="149"/>
      <c r="AQ52" s="35">
        <f ca="1">TblProd[[#This Row],[Platinum]]</f>
        <v>168547</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49">
        <f>TblMili[[#This Row],[Hour]]</f>
        <v>49</v>
      </c>
      <c r="AV52" s="160">
        <f ca="1">TblMili[[#This Row],[Time]]</f>
        <v>46181.999999999884</v>
      </c>
      <c r="AW52" s="35">
        <f ca="1">TblMili[[#This Row],[Draftees]]</f>
        <v>477</v>
      </c>
      <c r="AX52" s="201"/>
      <c r="AY52" s="201"/>
      <c r="AZ52" s="201"/>
      <c r="BA52" s="201"/>
      <c r="BB52" s="201"/>
      <c r="BC52" s="201"/>
      <c r="BD52" s="201"/>
      <c r="BE52" s="201"/>
      <c r="BF52" s="201"/>
      <c r="BG52" s="149"/>
      <c r="BH52" s="165">
        <f ca="1">TblConstr[[#This Row],[Tot WG]]/TblConstr[[#This Row],[Land]]</f>
        <v>0</v>
      </c>
      <c r="BI52" s="165">
        <f ca="1">TblConstr[[#This Row],[Tot Hav]]/TblConstr[[#This Row],[Land]]</f>
        <v>0</v>
      </c>
      <c r="BJ52" s="35">
        <f ca="1">ROUNDUP((1-MIN(TblMili[[#This Row],[Smithies]]*smithy_bonus,smithy_bonus_cap) + tech_3_5*TblTech[[#This Row],[3-5]] + tech_5_3*TblTech[[#This Row],[5-3]] + tech_5_5*TblTech[[#This Row],[5-5]])*spec_op_plat,0)</f>
        <v>315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49"/>
      <c r="BW52" s="165">
        <f ca="1">TblConstr[[#This Row],[Homeland]]/TblConstr[[#This Row],[Land]]</f>
        <v>0.6</v>
      </c>
      <c r="BX52" s="165">
        <f ca="1">TblMili[[#This Row],[WG''s]]</f>
        <v>0</v>
      </c>
      <c r="BY52" s="456">
        <f ca="1">IF(mystic_cap="none",TblMili[[#This Row],[Homeland%]]/mystic_bonus,MIN(mystic_cap,TblMili[[#This Row],[Homeland%]]/mystic_bonus))</f>
        <v>2</v>
      </c>
      <c r="BZ52" s="456">
        <f ca="1">IF(druid_op_cap="none",TblMili[[#This Row],[Homeland%]]/druid_op_bonus,MIN(druid_op_cap,TblMili[[#This Row],[Homeland%]]/druid_op_bonus))</f>
        <v>2</v>
      </c>
      <c r="CA52" s="456">
        <f ca="1">IF(druid_dp_cap="none",TblMili[[#This Row],[Homeland%]]/druid_dp_bonus,MIN(druid_dp_cap,TblMili[[#This Row],[Homeland%]]/druid_dp_bonus))</f>
        <v>2</v>
      </c>
      <c r="CB52" s="456">
        <f ca="1">MIN(dryad_cap,TblMili[[#This Row],[Homeland%]]/dryad_bonus)</f>
        <v>2.9999999999999996</v>
      </c>
      <c r="CC52" s="456">
        <f ca="1">MIN(rocka_cap,TblMili[[#This Row],[Homeland%]]/rocka_bonus)</f>
        <v>2</v>
      </c>
      <c r="CD52" s="456">
        <f ca="1">MIN(adept_op_cap,TblMili[[#This Row],[WG]]/adept_op_bonus)</f>
        <v>0</v>
      </c>
      <c r="CE52" s="456">
        <f ca="1">MIN(adept_dp_cap,TblMili[[#This Row],[WG]]/adept_dp_bonus)</f>
        <v>0</v>
      </c>
      <c r="CF52" s="35">
        <f ca="1">MIN(TblMili[[#This Row],[Unit 3]],TblMili[[#This Row],[Unit 2]])*2</f>
        <v>0</v>
      </c>
      <c r="CG52" s="35">
        <f ca="1">MIN(TblMili[[#This Row],[Unit 1]],TblMili[[#This Row],[Unit 4]])*2</f>
        <v>0</v>
      </c>
      <c r="CH52" s="456">
        <f ca="1">MIN(frost_mage_cap,TblMili[[#This Row],[Homeland%]]/frost_mage_bonus)</f>
        <v>2.9999999999999996</v>
      </c>
      <c r="CI52" s="5">
        <f ca="1">MIN(ice_elem_cap,TblMili[[#This Row],[Raw (2)]]*ice_elem_bonus)</f>
        <v>0</v>
      </c>
      <c r="CJ52" s="456">
        <f t="shared" si="2"/>
        <v>0.83333333333333337</v>
      </c>
      <c r="CK52" s="456">
        <f ca="1">MIN(nox_nightshade_cap,TblConstr[[#This Row],[Homeland]]/TblConstr[[#This Row],[Land]]/nox_nightshade_swamp_bonus)</f>
        <v>4</v>
      </c>
      <c r="CL52" s="456">
        <f ca="1">MIN(TblConstr[[#This Row],[Total Swamp]]/TblConstr[[#This Row],[Land]]/abyss_enforce_bonus,abyss_enforcer_cap)</f>
        <v>0</v>
      </c>
      <c r="CM52" s="456">
        <f ca="1">IF(TblMagic[[#This Row],[Active Infernal Command]]&gt;0,TblMili[[#This Row],[Unit 1]]*infernal_cmd_op,0)</f>
        <v>0</v>
      </c>
      <c r="CN52" s="260"/>
      <c r="CO52" s="260"/>
      <c r="CP52" s="260"/>
      <c r="CQ52" s="456">
        <f ca="1">TblMili[[#This Row],[Mystic]]*2</f>
        <v>4</v>
      </c>
      <c r="CR52" s="456">
        <f ca="1">TblMili[[#This Row],[Druid (op)]]*2</f>
        <v>4</v>
      </c>
      <c r="CS52" s="35">
        <f ca="1">TblMili[[#This Row],[Mystic bonus]]*TblMili[[#This Row],[Unit 3]]+TblMili[[#This Row],[Druid bonus]]*TblMili[[#This Row],[Unit 4]]</f>
        <v>0</v>
      </c>
      <c r="CT52" s="163">
        <f ca="1">TblMili[[#This Row],[Dryad]]*2</f>
        <v>5.9999999999999991</v>
      </c>
      <c r="CU52" s="35">
        <f ca="1">sylvan*(TblMili[[#This Row],[Mystic bonus]]*TblMili[[#This Row],[Unit 3]])</f>
        <v>0</v>
      </c>
      <c r="CV52" s="163">
        <f ca="1">TblMili[[#This Row],[Rockapult]]*2</f>
        <v>4</v>
      </c>
      <c r="CW52" s="35">
        <f ca="1">gnome*(TblMili[[#This Row],[Rockapult bonus]]*TblMili[[#This Row],[Unit 3]])</f>
        <v>0</v>
      </c>
      <c r="CX52" s="163">
        <f ca="1">TblMili[[#This Row],[Adept-DP]]*2</f>
        <v>0</v>
      </c>
      <c r="CY52" s="35">
        <f ca="1">dark_elf*(TblMili[[#This Row],[Adept bonus]]*TblMili[[#This Row],[Unit 3]])</f>
        <v>0</v>
      </c>
      <c r="CZ52" s="163">
        <f ca="1">TblMili[[#This Row],[Frost Mage]]*2</f>
        <v>5.9999999999999991</v>
      </c>
      <c r="DA52" s="163">
        <f ca="1">TblMili[[#This Row],[Ice Elemental]]*2</f>
        <v>0</v>
      </c>
      <c r="DB52" s="35">
        <f ca="1">TblMili[[#This Row],[Frost Mage bonus]]*TblMili[[#This Row],[Unit 3]]+TblMili[[#This Row],[Ice Elemental bonus]]*TblMili[[#This Row],[Unit 4]]</f>
        <v>0</v>
      </c>
      <c r="DC52" s="261"/>
      <c r="DD52" s="150">
        <f ca="1">MIN(SUM(TblConstr[[#This Row],[Plain]:[Water]])/TblMili[[#This Row],[Land]]/favorable_terrain_bonus/100,favorable_terrain_max)</f>
        <v>0</v>
      </c>
      <c r="DE52" s="261"/>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9"/>
      <c r="DH52" s="457">
        <f ca="1">(TblMili[[#This Row],[Wizards]]+2*TblMili[[#This Row],[Archmages]])/TblConstr[[#This Row],[Land]]</f>
        <v>0</v>
      </c>
      <c r="DI52" s="457">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53" s="154"/>
      <c r="AC53" s="180">
        <f ca="1">(TblConstr[[#This Row],[Tot Smi]]+TblConstr[[#This Row],[Dest Smi]])/(TblConstr[[#This Row],[Land]]-TblExplore[[#This Row],[Land Bonus]]*20)</f>
        <v>0</v>
      </c>
      <c r="AD53" s="137"/>
      <c r="AE53" s="246">
        <f>TblMili[[#This Row],[Hour]]</f>
        <v>50</v>
      </c>
      <c r="AF53" s="138">
        <f ca="1">TblExplore[[#This Row],[Time]]</f>
        <v>46182.041666666548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46182.041666666548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315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TblMili[[#This Row],[Mystic]]*2</f>
        <v>4</v>
      </c>
      <c r="CR53" s="251">
        <f ca="1">TblMili[[#This Row],[Druid (op)]]*2</f>
        <v>4</v>
      </c>
      <c r="CS53" s="94">
        <f ca="1">TblMili[[#This Row],[Mystic bonus]]*TblMili[[#This Row],[Unit 3]]+TblMili[[#This Row],[Druid bonus]]*TblMili[[#This Row],[Unit 4]]</f>
        <v>0</v>
      </c>
      <c r="CT53" s="155">
        <f ca="1">TblMili[[#This Row],[Dryad]]*2</f>
        <v>5.9999999999999991</v>
      </c>
      <c r="CU53" s="94">
        <f ca="1">sylvan*(TblMili[[#This Row],[Mystic bonus]]*TblMili[[#This Row],[Unit 3]])</f>
        <v>0</v>
      </c>
      <c r="CV53" s="155">
        <f ca="1">TblMili[[#This Row],[Rockapult]]*2</f>
        <v>4</v>
      </c>
      <c r="CW53" s="94">
        <f ca="1">gnome*(TblMili[[#This Row],[Rockapult bonus]]*TblMili[[#This Row],[Unit 3]])</f>
        <v>0</v>
      </c>
      <c r="CX53" s="155">
        <f ca="1">TblMili[[#This Row],[Adept-DP]]*2</f>
        <v>0</v>
      </c>
      <c r="CY53" s="94">
        <f ca="1">dark_elf*(TblMili[[#This Row],[Adept bonus]]*TblMili[[#This Row],[Unit 3]])</f>
        <v>0</v>
      </c>
      <c r="CZ53" s="155">
        <f ca="1">TblMili[[#This Row],[Frost Mage]]*2</f>
        <v>5.9999999999999991</v>
      </c>
      <c r="DA53" s="155">
        <f ca="1">TblMili[[#This Row],[Ice Elemental]]*2</f>
        <v>0</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54" s="154"/>
      <c r="AC54" s="180">
        <f ca="1">(TblConstr[[#This Row],[Tot Smi]]+TblConstr[[#This Row],[Dest Smi]])/(TblConstr[[#This Row],[Land]]-TblExplore[[#This Row],[Land Bonus]]*20)</f>
        <v>0</v>
      </c>
      <c r="AD54" s="137"/>
      <c r="AE54" s="246">
        <f>TblMili[[#This Row],[Hour]]</f>
        <v>51</v>
      </c>
      <c r="AF54" s="138">
        <f ca="1">TblExplore[[#This Row],[Time]]</f>
        <v>46182.083333333212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46182.083333333212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315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TblMili[[#This Row],[Mystic]]*2</f>
        <v>4</v>
      </c>
      <c r="CR54" s="251">
        <f ca="1">TblMili[[#This Row],[Druid (op)]]*2</f>
        <v>4</v>
      </c>
      <c r="CS54" s="94">
        <f ca="1">TblMili[[#This Row],[Mystic bonus]]*TblMili[[#This Row],[Unit 3]]+TblMili[[#This Row],[Druid bonus]]*TblMili[[#This Row],[Unit 4]]</f>
        <v>0</v>
      </c>
      <c r="CT54" s="155">
        <f ca="1">TblMili[[#This Row],[Dryad]]*2</f>
        <v>5.9999999999999991</v>
      </c>
      <c r="CU54" s="94">
        <f ca="1">sylvan*(TblMili[[#This Row],[Mystic bonus]]*TblMili[[#This Row],[Unit 3]])</f>
        <v>0</v>
      </c>
      <c r="CV54" s="155">
        <f ca="1">TblMili[[#This Row],[Rockapult]]*2</f>
        <v>4</v>
      </c>
      <c r="CW54" s="94">
        <f ca="1">gnome*(TblMili[[#This Row],[Rockapult bonus]]*TblMili[[#This Row],[Unit 3]])</f>
        <v>0</v>
      </c>
      <c r="CX54" s="155">
        <f ca="1">TblMili[[#This Row],[Adept-DP]]*2</f>
        <v>0</v>
      </c>
      <c r="CY54" s="94">
        <f ca="1">dark_elf*(TblMili[[#This Row],[Adept bonus]]*TblMili[[#This Row],[Unit 3]])</f>
        <v>0</v>
      </c>
      <c r="CZ54" s="155">
        <f ca="1">TblMili[[#This Row],[Frost Mage]]*2</f>
        <v>5.9999999999999991</v>
      </c>
      <c r="DA54" s="155">
        <f ca="1">TblMili[[#This Row],[Ice Elemental]]*2</f>
        <v>0</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55" s="154"/>
      <c r="AC55" s="180">
        <f ca="1">(TblConstr[[#This Row],[Tot Smi]]+TblConstr[[#This Row],[Dest Smi]])/(TblConstr[[#This Row],[Land]]-TblExplore[[#This Row],[Land Bonus]]*20)</f>
        <v>0</v>
      </c>
      <c r="AD55" s="137"/>
      <c r="AE55" s="246">
        <f>TblMili[[#This Row],[Hour]]</f>
        <v>52</v>
      </c>
      <c r="AF55" s="138">
        <f ca="1">TblExplore[[#This Row],[Time]]</f>
        <v>46182.124999999876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46182.124999999876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315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TblMili[[#This Row],[Mystic]]*2</f>
        <v>4</v>
      </c>
      <c r="CR55" s="251">
        <f ca="1">TblMili[[#This Row],[Druid (op)]]*2</f>
        <v>4</v>
      </c>
      <c r="CS55" s="94">
        <f ca="1">TblMili[[#This Row],[Mystic bonus]]*TblMili[[#This Row],[Unit 3]]+TblMili[[#This Row],[Druid bonus]]*TblMili[[#This Row],[Unit 4]]</f>
        <v>0</v>
      </c>
      <c r="CT55" s="155">
        <f ca="1">TblMili[[#This Row],[Dryad]]*2</f>
        <v>5.9999999999999991</v>
      </c>
      <c r="CU55" s="94">
        <f ca="1">sylvan*(TblMili[[#This Row],[Mystic bonus]]*TblMili[[#This Row],[Unit 3]])</f>
        <v>0</v>
      </c>
      <c r="CV55" s="155">
        <f ca="1">TblMili[[#This Row],[Rockapult]]*2</f>
        <v>4</v>
      </c>
      <c r="CW55" s="94">
        <f ca="1">gnome*(TblMili[[#This Row],[Rockapult bonus]]*TblMili[[#This Row],[Unit 3]])</f>
        <v>0</v>
      </c>
      <c r="CX55" s="155">
        <f ca="1">TblMili[[#This Row],[Adept-DP]]*2</f>
        <v>0</v>
      </c>
      <c r="CY55" s="94">
        <f ca="1">dark_elf*(TblMili[[#This Row],[Adept bonus]]*TblMili[[#This Row],[Unit 3]])</f>
        <v>0</v>
      </c>
      <c r="CZ55" s="155">
        <f ca="1">TblMili[[#This Row],[Frost Mage]]*2</f>
        <v>5.9999999999999991</v>
      </c>
      <c r="DA55" s="155">
        <f ca="1">TblMili[[#This Row],[Ice Elemental]]*2</f>
        <v>0</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56" s="154"/>
      <c r="AC56" s="180">
        <f ca="1">(TblConstr[[#This Row],[Tot Smi]]+TblConstr[[#This Row],[Dest Smi]])/(TblConstr[[#This Row],[Land]]-TblExplore[[#This Row],[Land Bonus]]*20)</f>
        <v>0</v>
      </c>
      <c r="AD56" s="137"/>
      <c r="AE56" s="246">
        <f>TblMili[[#This Row],[Hour]]</f>
        <v>53</v>
      </c>
      <c r="AF56" s="138">
        <f ca="1">TblExplore[[#This Row],[Time]]</f>
        <v>46182.166666666541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46182.166666666541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315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TblMili[[#This Row],[Mystic]]*2</f>
        <v>4</v>
      </c>
      <c r="CR56" s="251">
        <f ca="1">TblMili[[#This Row],[Druid (op)]]*2</f>
        <v>4</v>
      </c>
      <c r="CS56" s="94">
        <f ca="1">TblMili[[#This Row],[Mystic bonus]]*TblMili[[#This Row],[Unit 3]]+TblMili[[#This Row],[Druid bonus]]*TblMili[[#This Row],[Unit 4]]</f>
        <v>0</v>
      </c>
      <c r="CT56" s="155">
        <f ca="1">TblMili[[#This Row],[Dryad]]*2</f>
        <v>5.9999999999999991</v>
      </c>
      <c r="CU56" s="94">
        <f ca="1">sylvan*(TblMili[[#This Row],[Mystic bonus]]*TblMili[[#This Row],[Unit 3]])</f>
        <v>0</v>
      </c>
      <c r="CV56" s="155">
        <f ca="1">TblMili[[#This Row],[Rockapult]]*2</f>
        <v>4</v>
      </c>
      <c r="CW56" s="94">
        <f ca="1">gnome*(TblMili[[#This Row],[Rockapult bonus]]*TblMili[[#This Row],[Unit 3]])</f>
        <v>0</v>
      </c>
      <c r="CX56" s="155">
        <f ca="1">TblMili[[#This Row],[Adept-DP]]*2</f>
        <v>0</v>
      </c>
      <c r="CY56" s="94">
        <f ca="1">dark_elf*(TblMili[[#This Row],[Adept bonus]]*TblMili[[#This Row],[Unit 3]])</f>
        <v>0</v>
      </c>
      <c r="CZ56" s="155">
        <f ca="1">TblMili[[#This Row],[Frost Mage]]*2</f>
        <v>5.9999999999999991</v>
      </c>
      <c r="DA56" s="155">
        <f ca="1">TblMili[[#This Row],[Ice Elemental]]*2</f>
        <v>0</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57" s="154"/>
      <c r="AC57" s="180">
        <f ca="1">(TblConstr[[#This Row],[Tot Smi]]+TblConstr[[#This Row],[Dest Smi]])/(TblConstr[[#This Row],[Land]]-TblExplore[[#This Row],[Land Bonus]]*20)</f>
        <v>0</v>
      </c>
      <c r="AD57" s="137"/>
      <c r="AE57" s="246">
        <f>TblMili[[#This Row],[Hour]]</f>
        <v>54</v>
      </c>
      <c r="AF57" s="138">
        <f ca="1">TblExplore[[#This Row],[Time]]</f>
        <v>46182.208333333205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46182.208333333205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315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TblMili[[#This Row],[Mystic]]*2</f>
        <v>4</v>
      </c>
      <c r="CR57" s="251">
        <f ca="1">TblMili[[#This Row],[Druid (op)]]*2</f>
        <v>4</v>
      </c>
      <c r="CS57" s="94">
        <f ca="1">TblMili[[#This Row],[Mystic bonus]]*TblMili[[#This Row],[Unit 3]]+TblMili[[#This Row],[Druid bonus]]*TblMili[[#This Row],[Unit 4]]</f>
        <v>0</v>
      </c>
      <c r="CT57" s="155">
        <f ca="1">TblMili[[#This Row],[Dryad]]*2</f>
        <v>5.9999999999999991</v>
      </c>
      <c r="CU57" s="94">
        <f ca="1">sylvan*(TblMili[[#This Row],[Mystic bonus]]*TblMili[[#This Row],[Unit 3]])</f>
        <v>0</v>
      </c>
      <c r="CV57" s="155">
        <f ca="1">TblMili[[#This Row],[Rockapult]]*2</f>
        <v>4</v>
      </c>
      <c r="CW57" s="94">
        <f ca="1">gnome*(TblMili[[#This Row],[Rockapult bonus]]*TblMili[[#This Row],[Unit 3]])</f>
        <v>0</v>
      </c>
      <c r="CX57" s="155">
        <f ca="1">TblMili[[#This Row],[Adept-DP]]*2</f>
        <v>0</v>
      </c>
      <c r="CY57" s="94">
        <f ca="1">dark_elf*(TblMili[[#This Row],[Adept bonus]]*TblMili[[#This Row],[Unit 3]])</f>
        <v>0</v>
      </c>
      <c r="CZ57" s="155">
        <f ca="1">TblMili[[#This Row],[Frost Mage]]*2</f>
        <v>5.9999999999999991</v>
      </c>
      <c r="DA57" s="155">
        <f ca="1">TblMili[[#This Row],[Ice Elemental]]*2</f>
        <v>0</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58" s="154"/>
      <c r="AC58" s="180">
        <f ca="1">(TblConstr[[#This Row],[Tot Smi]]+TblConstr[[#This Row],[Dest Smi]])/(TblConstr[[#This Row],[Land]]-TblExplore[[#This Row],[Land Bonus]]*20)</f>
        <v>0</v>
      </c>
      <c r="AD58" s="137"/>
      <c r="AE58" s="246">
        <f>TblMili[[#This Row],[Hour]]</f>
        <v>55</v>
      </c>
      <c r="AF58" s="138">
        <f ca="1">TblExplore[[#This Row],[Time]]</f>
        <v>46182.249999999869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46182.249999999869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315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TblMili[[#This Row],[Mystic]]*2</f>
        <v>4</v>
      </c>
      <c r="CR58" s="251">
        <f ca="1">TblMili[[#This Row],[Druid (op)]]*2</f>
        <v>4</v>
      </c>
      <c r="CS58" s="94">
        <f ca="1">TblMili[[#This Row],[Mystic bonus]]*TblMili[[#This Row],[Unit 3]]+TblMili[[#This Row],[Druid bonus]]*TblMili[[#This Row],[Unit 4]]</f>
        <v>0</v>
      </c>
      <c r="CT58" s="155">
        <f ca="1">TblMili[[#This Row],[Dryad]]*2</f>
        <v>5.9999999999999991</v>
      </c>
      <c r="CU58" s="94">
        <f ca="1">sylvan*(TblMili[[#This Row],[Mystic bonus]]*TblMili[[#This Row],[Unit 3]])</f>
        <v>0</v>
      </c>
      <c r="CV58" s="155">
        <f ca="1">TblMili[[#This Row],[Rockapult]]*2</f>
        <v>4</v>
      </c>
      <c r="CW58" s="94">
        <f ca="1">gnome*(TblMili[[#This Row],[Rockapult bonus]]*TblMili[[#This Row],[Unit 3]])</f>
        <v>0</v>
      </c>
      <c r="CX58" s="155">
        <f ca="1">TblMili[[#This Row],[Adept-DP]]*2</f>
        <v>0</v>
      </c>
      <c r="CY58" s="94">
        <f ca="1">dark_elf*(TblMili[[#This Row],[Adept bonus]]*TblMili[[#This Row],[Unit 3]])</f>
        <v>0</v>
      </c>
      <c r="CZ58" s="155">
        <f ca="1">TblMili[[#This Row],[Frost Mage]]*2</f>
        <v>5.9999999999999991</v>
      </c>
      <c r="DA58" s="155">
        <f ca="1">TblMili[[#This Row],[Ice Elemental]]*2</f>
        <v>0</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59" s="154"/>
      <c r="AC59" s="180">
        <f ca="1">(TblConstr[[#This Row],[Tot Smi]]+TblConstr[[#This Row],[Dest Smi]])/(TblConstr[[#This Row],[Land]]-TblExplore[[#This Row],[Land Bonus]]*20)</f>
        <v>0</v>
      </c>
      <c r="AD59" s="137"/>
      <c r="AE59" s="246">
        <f>TblMili[[#This Row],[Hour]]</f>
        <v>56</v>
      </c>
      <c r="AF59" s="138">
        <f ca="1">TblExplore[[#This Row],[Time]]</f>
        <v>46182.291666666533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46182.291666666533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315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TblMili[[#This Row],[Mystic]]*2</f>
        <v>4</v>
      </c>
      <c r="CR59" s="251">
        <f ca="1">TblMili[[#This Row],[Druid (op)]]*2</f>
        <v>4</v>
      </c>
      <c r="CS59" s="94">
        <f ca="1">TblMili[[#This Row],[Mystic bonus]]*TblMili[[#This Row],[Unit 3]]+TblMili[[#This Row],[Druid bonus]]*TblMili[[#This Row],[Unit 4]]</f>
        <v>0</v>
      </c>
      <c r="CT59" s="155">
        <f ca="1">TblMili[[#This Row],[Dryad]]*2</f>
        <v>5.9999999999999991</v>
      </c>
      <c r="CU59" s="94">
        <f ca="1">sylvan*(TblMili[[#This Row],[Mystic bonus]]*TblMili[[#This Row],[Unit 3]])</f>
        <v>0</v>
      </c>
      <c r="CV59" s="155">
        <f ca="1">TblMili[[#This Row],[Rockapult]]*2</f>
        <v>4</v>
      </c>
      <c r="CW59" s="94">
        <f ca="1">gnome*(TblMili[[#This Row],[Rockapult bonus]]*TblMili[[#This Row],[Unit 3]])</f>
        <v>0</v>
      </c>
      <c r="CX59" s="155">
        <f ca="1">TblMili[[#This Row],[Adept-DP]]*2</f>
        <v>0</v>
      </c>
      <c r="CY59" s="94">
        <f ca="1">dark_elf*(TblMili[[#This Row],[Adept bonus]]*TblMili[[#This Row],[Unit 3]])</f>
        <v>0</v>
      </c>
      <c r="CZ59" s="155">
        <f ca="1">TblMili[[#This Row],[Frost Mage]]*2</f>
        <v>5.9999999999999991</v>
      </c>
      <c r="DA59" s="155">
        <f ca="1">TblMili[[#This Row],[Ice Elemental]]*2</f>
        <v>0</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60" s="154"/>
      <c r="AC60" s="180">
        <f ca="1">(TblConstr[[#This Row],[Tot Smi]]+TblConstr[[#This Row],[Dest Smi]])/(TblConstr[[#This Row],[Land]]-TblExplore[[#This Row],[Land Bonus]]*20)</f>
        <v>0</v>
      </c>
      <c r="AD60" s="137"/>
      <c r="AE60" s="246">
        <f>TblMili[[#This Row],[Hour]]</f>
        <v>57</v>
      </c>
      <c r="AF60" s="138">
        <f ca="1">TblExplore[[#This Row],[Time]]</f>
        <v>46182.333333333198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46182.333333333198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315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TblMili[[#This Row],[Mystic]]*2</f>
        <v>4</v>
      </c>
      <c r="CR60" s="251">
        <f ca="1">TblMili[[#This Row],[Druid (op)]]*2</f>
        <v>4</v>
      </c>
      <c r="CS60" s="94">
        <f ca="1">TblMili[[#This Row],[Mystic bonus]]*TblMili[[#This Row],[Unit 3]]+TblMili[[#This Row],[Druid bonus]]*TblMili[[#This Row],[Unit 4]]</f>
        <v>0</v>
      </c>
      <c r="CT60" s="155">
        <f ca="1">TblMili[[#This Row],[Dryad]]*2</f>
        <v>5.9999999999999991</v>
      </c>
      <c r="CU60" s="94">
        <f ca="1">sylvan*(TblMili[[#This Row],[Mystic bonus]]*TblMili[[#This Row],[Unit 3]])</f>
        <v>0</v>
      </c>
      <c r="CV60" s="155">
        <f ca="1">TblMili[[#This Row],[Rockapult]]*2</f>
        <v>4</v>
      </c>
      <c r="CW60" s="94">
        <f ca="1">gnome*(TblMili[[#This Row],[Rockapult bonus]]*TblMili[[#This Row],[Unit 3]])</f>
        <v>0</v>
      </c>
      <c r="CX60" s="155">
        <f ca="1">TblMili[[#This Row],[Adept-DP]]*2</f>
        <v>0</v>
      </c>
      <c r="CY60" s="94">
        <f ca="1">dark_elf*(TblMili[[#This Row],[Adept bonus]]*TblMili[[#This Row],[Unit 3]])</f>
        <v>0</v>
      </c>
      <c r="CZ60" s="155">
        <f ca="1">TblMili[[#This Row],[Frost Mage]]*2</f>
        <v>5.9999999999999991</v>
      </c>
      <c r="DA60" s="155">
        <f ca="1">TblMili[[#This Row],[Ice Elemental]]*2</f>
        <v>0</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61" s="154"/>
      <c r="AC61" s="180">
        <f ca="1">(TblConstr[[#This Row],[Tot Smi]]+TblConstr[[#This Row],[Dest Smi]])/(TblConstr[[#This Row],[Land]]-TblExplore[[#This Row],[Land Bonus]]*20)</f>
        <v>0</v>
      </c>
      <c r="AD61" s="137"/>
      <c r="AE61" s="246">
        <f>TblMili[[#This Row],[Hour]]</f>
        <v>58</v>
      </c>
      <c r="AF61" s="138">
        <f ca="1">TblExplore[[#This Row],[Time]]</f>
        <v>46182.374999999862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46182.374999999862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315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TblMili[[#This Row],[Mystic]]*2</f>
        <v>4</v>
      </c>
      <c r="CR61" s="251">
        <f ca="1">TblMili[[#This Row],[Druid (op)]]*2</f>
        <v>4</v>
      </c>
      <c r="CS61" s="94">
        <f ca="1">TblMili[[#This Row],[Mystic bonus]]*TblMili[[#This Row],[Unit 3]]+TblMili[[#This Row],[Druid bonus]]*TblMili[[#This Row],[Unit 4]]</f>
        <v>0</v>
      </c>
      <c r="CT61" s="155">
        <f ca="1">TblMili[[#This Row],[Dryad]]*2</f>
        <v>5.9999999999999991</v>
      </c>
      <c r="CU61" s="94">
        <f ca="1">sylvan*(TblMili[[#This Row],[Mystic bonus]]*TblMili[[#This Row],[Unit 3]])</f>
        <v>0</v>
      </c>
      <c r="CV61" s="155">
        <f ca="1">TblMili[[#This Row],[Rockapult]]*2</f>
        <v>4</v>
      </c>
      <c r="CW61" s="94">
        <f ca="1">gnome*(TblMili[[#This Row],[Rockapult bonus]]*TblMili[[#This Row],[Unit 3]])</f>
        <v>0</v>
      </c>
      <c r="CX61" s="155">
        <f ca="1">TblMili[[#This Row],[Adept-DP]]*2</f>
        <v>0</v>
      </c>
      <c r="CY61" s="94">
        <f ca="1">dark_elf*(TblMili[[#This Row],[Adept bonus]]*TblMili[[#This Row],[Unit 3]])</f>
        <v>0</v>
      </c>
      <c r="CZ61" s="155">
        <f ca="1">TblMili[[#This Row],[Frost Mage]]*2</f>
        <v>5.9999999999999991</v>
      </c>
      <c r="DA61" s="155">
        <f ca="1">TblMili[[#This Row],[Ice Elemental]]*2</f>
        <v>0</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62" s="154"/>
      <c r="AC62" s="180">
        <f ca="1">(TblConstr[[#This Row],[Tot Smi]]+TblConstr[[#This Row],[Dest Smi]])/(TblConstr[[#This Row],[Land]]-TblExplore[[#This Row],[Land Bonus]]*20)</f>
        <v>0</v>
      </c>
      <c r="AD62" s="137"/>
      <c r="AE62" s="246">
        <f>TblMili[[#This Row],[Hour]]</f>
        <v>59</v>
      </c>
      <c r="AF62" s="138">
        <f ca="1">TblExplore[[#This Row],[Time]]</f>
        <v>46182.416666666526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46182.416666666526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315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TblMili[[#This Row],[Mystic]]*2</f>
        <v>4</v>
      </c>
      <c r="CR62" s="251">
        <f ca="1">TblMili[[#This Row],[Druid (op)]]*2</f>
        <v>4</v>
      </c>
      <c r="CS62" s="94">
        <f ca="1">TblMili[[#This Row],[Mystic bonus]]*TblMili[[#This Row],[Unit 3]]+TblMili[[#This Row],[Druid bonus]]*TblMili[[#This Row],[Unit 4]]</f>
        <v>0</v>
      </c>
      <c r="CT62" s="155">
        <f ca="1">TblMili[[#This Row],[Dryad]]*2</f>
        <v>5.9999999999999991</v>
      </c>
      <c r="CU62" s="94">
        <f ca="1">sylvan*(TblMili[[#This Row],[Mystic bonus]]*TblMili[[#This Row],[Unit 3]])</f>
        <v>0</v>
      </c>
      <c r="CV62" s="155">
        <f ca="1">TblMili[[#This Row],[Rockapult]]*2</f>
        <v>4</v>
      </c>
      <c r="CW62" s="94">
        <f ca="1">gnome*(TblMili[[#This Row],[Rockapult bonus]]*TblMili[[#This Row],[Unit 3]])</f>
        <v>0</v>
      </c>
      <c r="CX62" s="155">
        <f ca="1">TblMili[[#This Row],[Adept-DP]]*2</f>
        <v>0</v>
      </c>
      <c r="CY62" s="94">
        <f ca="1">dark_elf*(TblMili[[#This Row],[Adept bonus]]*TblMili[[#This Row],[Unit 3]])</f>
        <v>0</v>
      </c>
      <c r="CZ62" s="155">
        <f ca="1">TblMili[[#This Row],[Frost Mage]]*2</f>
        <v>5.9999999999999991</v>
      </c>
      <c r="DA62" s="155">
        <f ca="1">TblMili[[#This Row],[Ice Elemental]]*2</f>
        <v>0</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63" s="154"/>
      <c r="AC63" s="180">
        <f ca="1">(TblConstr[[#This Row],[Tot Smi]]+TblConstr[[#This Row],[Dest Smi]])/(TblConstr[[#This Row],[Land]]-TblExplore[[#This Row],[Land Bonus]]*20)</f>
        <v>0</v>
      </c>
      <c r="AD63" s="137"/>
      <c r="AE63" s="246">
        <f>TblMili[[#This Row],[Hour]]</f>
        <v>60</v>
      </c>
      <c r="AF63" s="138">
        <f ca="1">TblExplore[[#This Row],[Time]]</f>
        <v>46182.45833333319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46182.45833333319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315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TblMili[[#This Row],[Mystic]]*2</f>
        <v>4</v>
      </c>
      <c r="CR63" s="251">
        <f ca="1">TblMili[[#This Row],[Druid (op)]]*2</f>
        <v>4</v>
      </c>
      <c r="CS63" s="94">
        <f ca="1">TblMili[[#This Row],[Mystic bonus]]*TblMili[[#This Row],[Unit 3]]+TblMili[[#This Row],[Druid bonus]]*TblMili[[#This Row],[Unit 4]]</f>
        <v>0</v>
      </c>
      <c r="CT63" s="155">
        <f ca="1">TblMili[[#This Row],[Dryad]]*2</f>
        <v>5.9999999999999991</v>
      </c>
      <c r="CU63" s="94">
        <f ca="1">sylvan*(TblMili[[#This Row],[Mystic bonus]]*TblMili[[#This Row],[Unit 3]])</f>
        <v>0</v>
      </c>
      <c r="CV63" s="155">
        <f ca="1">TblMili[[#This Row],[Rockapult]]*2</f>
        <v>4</v>
      </c>
      <c r="CW63" s="94">
        <f ca="1">gnome*(TblMili[[#This Row],[Rockapult bonus]]*TblMili[[#This Row],[Unit 3]])</f>
        <v>0</v>
      </c>
      <c r="CX63" s="155">
        <f ca="1">TblMili[[#This Row],[Adept-DP]]*2</f>
        <v>0</v>
      </c>
      <c r="CY63" s="94">
        <f ca="1">dark_elf*(TblMili[[#This Row],[Adept bonus]]*TblMili[[#This Row],[Unit 3]])</f>
        <v>0</v>
      </c>
      <c r="CZ63" s="155">
        <f ca="1">TblMili[[#This Row],[Frost Mage]]*2</f>
        <v>5.9999999999999991</v>
      </c>
      <c r="DA63" s="155">
        <f ca="1">TblMili[[#This Row],[Ice Elemental]]*2</f>
        <v>0</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64" s="154"/>
      <c r="AC64" s="180">
        <f ca="1">(TblConstr[[#This Row],[Tot Smi]]+TblConstr[[#This Row],[Dest Smi]])/(TblConstr[[#This Row],[Land]]-TblExplore[[#This Row],[Land Bonus]]*20)</f>
        <v>0</v>
      </c>
      <c r="AD64" s="246"/>
      <c r="AE64" s="246">
        <f>TblMili[[#This Row],[Hour]]</f>
        <v>61</v>
      </c>
      <c r="AF64" s="138">
        <f ca="1">TblExplore[[#This Row],[Time]]</f>
        <v>46182.499999999854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46182.499999999854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315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TblMili[[#This Row],[Mystic]]*2</f>
        <v>4</v>
      </c>
      <c r="CR64" s="251">
        <f ca="1">TblMili[[#This Row],[Druid (op)]]*2</f>
        <v>4</v>
      </c>
      <c r="CS64" s="94">
        <f ca="1">TblMili[[#This Row],[Mystic bonus]]*TblMili[[#This Row],[Unit 3]]+TblMili[[#This Row],[Druid bonus]]*TblMili[[#This Row],[Unit 4]]</f>
        <v>0</v>
      </c>
      <c r="CT64" s="155">
        <f ca="1">TblMili[[#This Row],[Dryad]]*2</f>
        <v>5.9999999999999991</v>
      </c>
      <c r="CU64" s="94">
        <f ca="1">sylvan*(TblMili[[#This Row],[Mystic bonus]]*TblMili[[#This Row],[Unit 3]])</f>
        <v>0</v>
      </c>
      <c r="CV64" s="155">
        <f ca="1">TblMili[[#This Row],[Rockapult]]*2</f>
        <v>4</v>
      </c>
      <c r="CW64" s="94">
        <f ca="1">gnome*(TblMili[[#This Row],[Rockapult bonus]]*TblMili[[#This Row],[Unit 3]])</f>
        <v>0</v>
      </c>
      <c r="CX64" s="155">
        <f ca="1">TblMili[[#This Row],[Adept-DP]]*2</f>
        <v>0</v>
      </c>
      <c r="CY64" s="94">
        <f ca="1">dark_elf*(TblMili[[#This Row],[Adept bonus]]*TblMili[[#This Row],[Unit 3]])</f>
        <v>0</v>
      </c>
      <c r="CZ64" s="155">
        <f ca="1">TblMili[[#This Row],[Frost Mage]]*2</f>
        <v>5.9999999999999991</v>
      </c>
      <c r="DA64" s="155">
        <f ca="1">TblMili[[#This Row],[Ice Elemental]]*2</f>
        <v>0</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65" s="154"/>
      <c r="AC65" s="180">
        <f ca="1">(TblConstr[[#This Row],[Tot Smi]]+TblConstr[[#This Row],[Dest Smi]])/(TblConstr[[#This Row],[Land]]-TblExplore[[#This Row],[Land Bonus]]*20)</f>
        <v>0</v>
      </c>
      <c r="AD65" s="137"/>
      <c r="AE65" s="246">
        <f>TblMili[[#This Row],[Hour]]</f>
        <v>62</v>
      </c>
      <c r="AF65" s="138">
        <f ca="1">TblExplore[[#This Row],[Time]]</f>
        <v>46182.541666666519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46182.541666666519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315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TblMili[[#This Row],[Mystic]]*2</f>
        <v>4</v>
      </c>
      <c r="CR65" s="251">
        <f ca="1">TblMili[[#This Row],[Druid (op)]]*2</f>
        <v>4</v>
      </c>
      <c r="CS65" s="94">
        <f ca="1">TblMili[[#This Row],[Mystic bonus]]*TblMili[[#This Row],[Unit 3]]+TblMili[[#This Row],[Druid bonus]]*TblMili[[#This Row],[Unit 4]]</f>
        <v>0</v>
      </c>
      <c r="CT65" s="155">
        <f ca="1">TblMili[[#This Row],[Dryad]]*2</f>
        <v>5.9999999999999991</v>
      </c>
      <c r="CU65" s="94">
        <f ca="1">sylvan*(TblMili[[#This Row],[Mystic bonus]]*TblMili[[#This Row],[Unit 3]])</f>
        <v>0</v>
      </c>
      <c r="CV65" s="155">
        <f ca="1">TblMili[[#This Row],[Rockapult]]*2</f>
        <v>4</v>
      </c>
      <c r="CW65" s="94">
        <f ca="1">gnome*(TblMili[[#This Row],[Rockapult bonus]]*TblMili[[#This Row],[Unit 3]])</f>
        <v>0</v>
      </c>
      <c r="CX65" s="155">
        <f ca="1">TblMili[[#This Row],[Adept-DP]]*2</f>
        <v>0</v>
      </c>
      <c r="CY65" s="94">
        <f ca="1">dark_elf*(TblMili[[#This Row],[Adept bonus]]*TblMili[[#This Row],[Unit 3]])</f>
        <v>0</v>
      </c>
      <c r="CZ65" s="155">
        <f ca="1">TblMili[[#This Row],[Frost Mage]]*2</f>
        <v>5.9999999999999991</v>
      </c>
      <c r="DA65" s="155">
        <f ca="1">TblMili[[#This Row],[Ice Elemental]]*2</f>
        <v>0</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66" s="154"/>
      <c r="AC66" s="180">
        <f ca="1">(TblConstr[[#This Row],[Tot Smi]]+TblConstr[[#This Row],[Dest Smi]])/(TblConstr[[#This Row],[Land]]-TblExplore[[#This Row],[Land Bonus]]*20)</f>
        <v>0</v>
      </c>
      <c r="AD66" s="137"/>
      <c r="AE66" s="246">
        <f>TblMili[[#This Row],[Hour]]</f>
        <v>63</v>
      </c>
      <c r="AF66" s="138">
        <f ca="1">TblExplore[[#This Row],[Time]]</f>
        <v>46182.583333333183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46182.583333333183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315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TblMili[[#This Row],[Mystic]]*2</f>
        <v>4</v>
      </c>
      <c r="CR66" s="251">
        <f ca="1">TblMili[[#This Row],[Druid (op)]]*2</f>
        <v>4</v>
      </c>
      <c r="CS66" s="94">
        <f ca="1">TblMili[[#This Row],[Mystic bonus]]*TblMili[[#This Row],[Unit 3]]+TblMili[[#This Row],[Druid bonus]]*TblMili[[#This Row],[Unit 4]]</f>
        <v>0</v>
      </c>
      <c r="CT66" s="155">
        <f ca="1">TblMili[[#This Row],[Dryad]]*2</f>
        <v>5.9999999999999991</v>
      </c>
      <c r="CU66" s="94">
        <f ca="1">sylvan*(TblMili[[#This Row],[Mystic bonus]]*TblMili[[#This Row],[Unit 3]])</f>
        <v>0</v>
      </c>
      <c r="CV66" s="155">
        <f ca="1">TblMili[[#This Row],[Rockapult]]*2</f>
        <v>4</v>
      </c>
      <c r="CW66" s="94">
        <f ca="1">gnome*(TblMili[[#This Row],[Rockapult bonus]]*TblMili[[#This Row],[Unit 3]])</f>
        <v>0</v>
      </c>
      <c r="CX66" s="155">
        <f ca="1">TblMili[[#This Row],[Adept-DP]]*2</f>
        <v>0</v>
      </c>
      <c r="CY66" s="94">
        <f ca="1">dark_elf*(TblMili[[#This Row],[Adept bonus]]*TblMili[[#This Row],[Unit 3]])</f>
        <v>0</v>
      </c>
      <c r="CZ66" s="155">
        <f ca="1">TblMili[[#This Row],[Frost Mage]]*2</f>
        <v>5.9999999999999991</v>
      </c>
      <c r="DA66" s="155">
        <f ca="1">TblMili[[#This Row],[Ice Elemental]]*2</f>
        <v>0</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67" s="154"/>
      <c r="AC67" s="180">
        <f ca="1">(TblConstr[[#This Row],[Tot Smi]]+TblConstr[[#This Row],[Dest Smi]])/(TblConstr[[#This Row],[Land]]-TblExplore[[#This Row],[Land Bonus]]*20)</f>
        <v>0</v>
      </c>
      <c r="AD67" s="137"/>
      <c r="AE67" s="246">
        <f>TblMili[[#This Row],[Hour]]</f>
        <v>64</v>
      </c>
      <c r="AF67" s="138">
        <f ca="1">TblExplore[[#This Row],[Time]]</f>
        <v>46182.624999999847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46182.624999999847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315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TblMili[[#This Row],[Mystic]]*2</f>
        <v>4</v>
      </c>
      <c r="CR67" s="251">
        <f ca="1">TblMili[[#This Row],[Druid (op)]]*2</f>
        <v>4</v>
      </c>
      <c r="CS67" s="94">
        <f ca="1">TblMili[[#This Row],[Mystic bonus]]*TblMili[[#This Row],[Unit 3]]+TblMili[[#This Row],[Druid bonus]]*TblMili[[#This Row],[Unit 4]]</f>
        <v>0</v>
      </c>
      <c r="CT67" s="155">
        <f ca="1">TblMili[[#This Row],[Dryad]]*2</f>
        <v>5.9999999999999991</v>
      </c>
      <c r="CU67" s="94">
        <f ca="1">sylvan*(TblMili[[#This Row],[Mystic bonus]]*TblMili[[#This Row],[Unit 3]])</f>
        <v>0</v>
      </c>
      <c r="CV67" s="155">
        <f ca="1">TblMili[[#This Row],[Rockapult]]*2</f>
        <v>4</v>
      </c>
      <c r="CW67" s="94">
        <f ca="1">gnome*(TblMili[[#This Row],[Rockapult bonus]]*TblMili[[#This Row],[Unit 3]])</f>
        <v>0</v>
      </c>
      <c r="CX67" s="155">
        <f ca="1">TblMili[[#This Row],[Adept-DP]]*2</f>
        <v>0</v>
      </c>
      <c r="CY67" s="94">
        <f ca="1">dark_elf*(TblMili[[#This Row],[Adept bonus]]*TblMili[[#This Row],[Unit 3]])</f>
        <v>0</v>
      </c>
      <c r="CZ67" s="155">
        <f ca="1">TblMili[[#This Row],[Frost Mage]]*2</f>
        <v>5.9999999999999991</v>
      </c>
      <c r="DA67" s="155">
        <f ca="1">TblMili[[#This Row],[Ice Elemental]]*2</f>
        <v>0</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68" s="154"/>
      <c r="AC68" s="180">
        <f ca="1">(TblConstr[[#This Row],[Tot Smi]]+TblConstr[[#This Row],[Dest Smi]])/(TblConstr[[#This Row],[Land]]-TblExplore[[#This Row],[Land Bonus]]*20)</f>
        <v>0</v>
      </c>
      <c r="AD68" s="137"/>
      <c r="AE68" s="246">
        <f>TblMili[[#This Row],[Hour]]</f>
        <v>65</v>
      </c>
      <c r="AF68" s="138">
        <f ca="1">TblExplore[[#This Row],[Time]]</f>
        <v>46182.666666666511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46182.666666666511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315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TblMili[[#This Row],[Mystic]]*2</f>
        <v>4</v>
      </c>
      <c r="CR68" s="251">
        <f ca="1">TblMili[[#This Row],[Druid (op)]]*2</f>
        <v>4</v>
      </c>
      <c r="CS68" s="94">
        <f ca="1">TblMili[[#This Row],[Mystic bonus]]*TblMili[[#This Row],[Unit 3]]+TblMili[[#This Row],[Druid bonus]]*TblMili[[#This Row],[Unit 4]]</f>
        <v>0</v>
      </c>
      <c r="CT68" s="155">
        <f ca="1">TblMili[[#This Row],[Dryad]]*2</f>
        <v>5.9999999999999991</v>
      </c>
      <c r="CU68" s="94">
        <f ca="1">sylvan*(TblMili[[#This Row],[Mystic bonus]]*TblMili[[#This Row],[Unit 3]])</f>
        <v>0</v>
      </c>
      <c r="CV68" s="155">
        <f ca="1">TblMili[[#This Row],[Rockapult]]*2</f>
        <v>4</v>
      </c>
      <c r="CW68" s="94">
        <f ca="1">gnome*(TblMili[[#This Row],[Rockapult bonus]]*TblMili[[#This Row],[Unit 3]])</f>
        <v>0</v>
      </c>
      <c r="CX68" s="155">
        <f ca="1">TblMili[[#This Row],[Adept-DP]]*2</f>
        <v>0</v>
      </c>
      <c r="CY68" s="94">
        <f ca="1">dark_elf*(TblMili[[#This Row],[Adept bonus]]*TblMili[[#This Row],[Unit 3]])</f>
        <v>0</v>
      </c>
      <c r="CZ68" s="155">
        <f ca="1">TblMili[[#This Row],[Frost Mage]]*2</f>
        <v>5.9999999999999991</v>
      </c>
      <c r="DA68" s="155">
        <f ca="1">TblMili[[#This Row],[Ice Elemental]]*2</f>
        <v>0</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69" s="154"/>
      <c r="AC69" s="180">
        <f ca="1">(TblConstr[[#This Row],[Tot Smi]]+TblConstr[[#This Row],[Dest Smi]])/(TblConstr[[#This Row],[Land]]-TblExplore[[#This Row],[Land Bonus]]*20)</f>
        <v>0</v>
      </c>
      <c r="AD69" s="137"/>
      <c r="AE69" s="246">
        <f>TblMili[[#This Row],[Hour]]</f>
        <v>66</v>
      </c>
      <c r="AF69" s="138">
        <f ca="1">TblExplore[[#This Row],[Time]]</f>
        <v>46182.708333333176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46182.708333333176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315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TblMili[[#This Row],[Mystic]]*2</f>
        <v>4</v>
      </c>
      <c r="CR69" s="251">
        <f ca="1">TblMili[[#This Row],[Druid (op)]]*2</f>
        <v>4</v>
      </c>
      <c r="CS69" s="94">
        <f ca="1">TblMili[[#This Row],[Mystic bonus]]*TblMili[[#This Row],[Unit 3]]+TblMili[[#This Row],[Druid bonus]]*TblMili[[#This Row],[Unit 4]]</f>
        <v>0</v>
      </c>
      <c r="CT69" s="155">
        <f ca="1">TblMili[[#This Row],[Dryad]]*2</f>
        <v>5.9999999999999991</v>
      </c>
      <c r="CU69" s="94">
        <f ca="1">sylvan*(TblMili[[#This Row],[Mystic bonus]]*TblMili[[#This Row],[Unit 3]])</f>
        <v>0</v>
      </c>
      <c r="CV69" s="155">
        <f ca="1">TblMili[[#This Row],[Rockapult]]*2</f>
        <v>4</v>
      </c>
      <c r="CW69" s="94">
        <f ca="1">gnome*(TblMili[[#This Row],[Rockapult bonus]]*TblMili[[#This Row],[Unit 3]])</f>
        <v>0</v>
      </c>
      <c r="CX69" s="155">
        <f ca="1">TblMili[[#This Row],[Adept-DP]]*2</f>
        <v>0</v>
      </c>
      <c r="CY69" s="94">
        <f ca="1">dark_elf*(TblMili[[#This Row],[Adept bonus]]*TblMili[[#This Row],[Unit 3]])</f>
        <v>0</v>
      </c>
      <c r="CZ69" s="155">
        <f ca="1">TblMili[[#This Row],[Frost Mage]]*2</f>
        <v>5.9999999999999991</v>
      </c>
      <c r="DA69" s="155">
        <f ca="1">TblMili[[#This Row],[Ice Elemental]]*2</f>
        <v>0</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70" s="154"/>
      <c r="AC70" s="180">
        <f ca="1">(TblConstr[[#This Row],[Tot Smi]]+TblConstr[[#This Row],[Dest Smi]])/(TblConstr[[#This Row],[Land]]-TblExplore[[#This Row],[Land Bonus]]*20)</f>
        <v>0</v>
      </c>
      <c r="AD70" s="137"/>
      <c r="AE70" s="246">
        <f>TblMili[[#This Row],[Hour]]</f>
        <v>67</v>
      </c>
      <c r="AF70" s="138">
        <f ca="1">TblExplore[[#This Row],[Time]]</f>
        <v>46182.74999999984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46182.74999999984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315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TblMili[[#This Row],[Mystic]]*2</f>
        <v>4</v>
      </c>
      <c r="CR70" s="251">
        <f ca="1">TblMili[[#This Row],[Druid (op)]]*2</f>
        <v>4</v>
      </c>
      <c r="CS70" s="94">
        <f ca="1">TblMili[[#This Row],[Mystic bonus]]*TblMili[[#This Row],[Unit 3]]+TblMili[[#This Row],[Druid bonus]]*TblMili[[#This Row],[Unit 4]]</f>
        <v>0</v>
      </c>
      <c r="CT70" s="155">
        <f ca="1">TblMili[[#This Row],[Dryad]]*2</f>
        <v>5.9999999999999991</v>
      </c>
      <c r="CU70" s="94">
        <f ca="1">sylvan*(TblMili[[#This Row],[Mystic bonus]]*TblMili[[#This Row],[Unit 3]])</f>
        <v>0</v>
      </c>
      <c r="CV70" s="155">
        <f ca="1">TblMili[[#This Row],[Rockapult]]*2</f>
        <v>4</v>
      </c>
      <c r="CW70" s="94">
        <f ca="1">gnome*(TblMili[[#This Row],[Rockapult bonus]]*TblMili[[#This Row],[Unit 3]])</f>
        <v>0</v>
      </c>
      <c r="CX70" s="155">
        <f ca="1">TblMili[[#This Row],[Adept-DP]]*2</f>
        <v>0</v>
      </c>
      <c r="CY70" s="94">
        <f ca="1">dark_elf*(TblMili[[#This Row],[Adept bonus]]*TblMili[[#This Row],[Unit 3]])</f>
        <v>0</v>
      </c>
      <c r="CZ70" s="155">
        <f ca="1">TblMili[[#This Row],[Frost Mage]]*2</f>
        <v>5.9999999999999991</v>
      </c>
      <c r="DA70" s="155">
        <f ca="1">TblMili[[#This Row],[Ice Elemental]]*2</f>
        <v>0</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71" s="154"/>
      <c r="AC71" s="180">
        <f ca="1">(TblConstr[[#This Row],[Tot Smi]]+TblConstr[[#This Row],[Dest Smi]])/(TblConstr[[#This Row],[Land]]-TblExplore[[#This Row],[Land Bonus]]*20)</f>
        <v>0</v>
      </c>
      <c r="AD71" s="137"/>
      <c r="AE71" s="246">
        <f>TblMili[[#This Row],[Hour]]</f>
        <v>68</v>
      </c>
      <c r="AF71" s="138">
        <f ca="1">TblExplore[[#This Row],[Time]]</f>
        <v>46182.791666666504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46182.791666666504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315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TblMili[[#This Row],[Mystic]]*2</f>
        <v>4</v>
      </c>
      <c r="CR71" s="251">
        <f ca="1">TblMili[[#This Row],[Druid (op)]]*2</f>
        <v>4</v>
      </c>
      <c r="CS71" s="94">
        <f ca="1">TblMili[[#This Row],[Mystic bonus]]*TblMili[[#This Row],[Unit 3]]+TblMili[[#This Row],[Druid bonus]]*TblMili[[#This Row],[Unit 4]]</f>
        <v>0</v>
      </c>
      <c r="CT71" s="155">
        <f ca="1">TblMili[[#This Row],[Dryad]]*2</f>
        <v>5.9999999999999991</v>
      </c>
      <c r="CU71" s="94">
        <f ca="1">sylvan*(TblMili[[#This Row],[Mystic bonus]]*TblMili[[#This Row],[Unit 3]])</f>
        <v>0</v>
      </c>
      <c r="CV71" s="155">
        <f ca="1">TblMili[[#This Row],[Rockapult]]*2</f>
        <v>4</v>
      </c>
      <c r="CW71" s="94">
        <f ca="1">gnome*(TblMili[[#This Row],[Rockapult bonus]]*TblMili[[#This Row],[Unit 3]])</f>
        <v>0</v>
      </c>
      <c r="CX71" s="155">
        <f ca="1">TblMili[[#This Row],[Adept-DP]]*2</f>
        <v>0</v>
      </c>
      <c r="CY71" s="94">
        <f ca="1">dark_elf*(TblMili[[#This Row],[Adept bonus]]*TblMili[[#This Row],[Unit 3]])</f>
        <v>0</v>
      </c>
      <c r="CZ71" s="155">
        <f ca="1">TblMili[[#This Row],[Frost Mage]]*2</f>
        <v>5.9999999999999991</v>
      </c>
      <c r="DA71" s="155">
        <f ca="1">TblMili[[#This Row],[Ice Elemental]]*2</f>
        <v>0</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72" s="154"/>
      <c r="AC72" s="180">
        <f ca="1">(TblConstr[[#This Row],[Tot Smi]]+TblConstr[[#This Row],[Dest Smi]])/(TblConstr[[#This Row],[Land]]-TblExplore[[#This Row],[Land Bonus]]*20)</f>
        <v>0</v>
      </c>
      <c r="AD72" s="137"/>
      <c r="AE72" s="246">
        <f>TblMili[[#This Row],[Hour]]</f>
        <v>69</v>
      </c>
      <c r="AF72" s="138">
        <f ca="1">TblExplore[[#This Row],[Time]]</f>
        <v>46182.833333333168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46182.833333333168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315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TblMili[[#This Row],[Mystic]]*2</f>
        <v>4</v>
      </c>
      <c r="CR72" s="251">
        <f ca="1">TblMili[[#This Row],[Druid (op)]]*2</f>
        <v>4</v>
      </c>
      <c r="CS72" s="94">
        <f ca="1">TblMili[[#This Row],[Mystic bonus]]*TblMili[[#This Row],[Unit 3]]+TblMili[[#This Row],[Druid bonus]]*TblMili[[#This Row],[Unit 4]]</f>
        <v>0</v>
      </c>
      <c r="CT72" s="155">
        <f ca="1">TblMili[[#This Row],[Dryad]]*2</f>
        <v>5.9999999999999991</v>
      </c>
      <c r="CU72" s="94">
        <f ca="1">sylvan*(TblMili[[#This Row],[Mystic bonus]]*TblMili[[#This Row],[Unit 3]])</f>
        <v>0</v>
      </c>
      <c r="CV72" s="155">
        <f ca="1">TblMili[[#This Row],[Rockapult]]*2</f>
        <v>4</v>
      </c>
      <c r="CW72" s="94">
        <f ca="1">gnome*(TblMili[[#This Row],[Rockapult bonus]]*TblMili[[#This Row],[Unit 3]])</f>
        <v>0</v>
      </c>
      <c r="CX72" s="155">
        <f ca="1">TblMili[[#This Row],[Adept-DP]]*2</f>
        <v>0</v>
      </c>
      <c r="CY72" s="94">
        <f ca="1">dark_elf*(TblMili[[#This Row],[Adept bonus]]*TblMili[[#This Row],[Unit 3]])</f>
        <v>0</v>
      </c>
      <c r="CZ72" s="155">
        <f ca="1">TblMili[[#This Row],[Frost Mage]]*2</f>
        <v>5.9999999999999991</v>
      </c>
      <c r="DA72" s="155">
        <f ca="1">TblMili[[#This Row],[Ice Elemental]]*2</f>
        <v>0</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73" s="154"/>
      <c r="AC73" s="180">
        <f ca="1">(TblConstr[[#This Row],[Tot Smi]]+TblConstr[[#This Row],[Dest Smi]])/(TblConstr[[#This Row],[Land]]-TblExplore[[#This Row],[Land Bonus]]*20)</f>
        <v>0</v>
      </c>
      <c r="AD73" s="137"/>
      <c r="AE73" s="246">
        <f>TblMili[[#This Row],[Hour]]</f>
        <v>70</v>
      </c>
      <c r="AF73" s="138">
        <f ca="1">TblExplore[[#This Row],[Time]]</f>
        <v>46182.874999999833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46182.874999999833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315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TblMili[[#This Row],[Mystic]]*2</f>
        <v>4</v>
      </c>
      <c r="CR73" s="251">
        <f ca="1">TblMili[[#This Row],[Druid (op)]]*2</f>
        <v>4</v>
      </c>
      <c r="CS73" s="94">
        <f ca="1">TblMili[[#This Row],[Mystic bonus]]*TblMili[[#This Row],[Unit 3]]+TblMili[[#This Row],[Druid bonus]]*TblMili[[#This Row],[Unit 4]]</f>
        <v>0</v>
      </c>
      <c r="CT73" s="155">
        <f ca="1">TblMili[[#This Row],[Dryad]]*2</f>
        <v>5.9999999999999991</v>
      </c>
      <c r="CU73" s="94">
        <f ca="1">sylvan*(TblMili[[#This Row],[Mystic bonus]]*TblMili[[#This Row],[Unit 3]])</f>
        <v>0</v>
      </c>
      <c r="CV73" s="155">
        <f ca="1">TblMili[[#This Row],[Rockapult]]*2</f>
        <v>4</v>
      </c>
      <c r="CW73" s="94">
        <f ca="1">gnome*(TblMili[[#This Row],[Rockapult bonus]]*TblMili[[#This Row],[Unit 3]])</f>
        <v>0</v>
      </c>
      <c r="CX73" s="155">
        <f ca="1">TblMili[[#This Row],[Adept-DP]]*2</f>
        <v>0</v>
      </c>
      <c r="CY73" s="94">
        <f ca="1">dark_elf*(TblMili[[#This Row],[Adept bonus]]*TblMili[[#This Row],[Unit 3]])</f>
        <v>0</v>
      </c>
      <c r="CZ73" s="155">
        <f ca="1">TblMili[[#This Row],[Frost Mage]]*2</f>
        <v>5.9999999999999991</v>
      </c>
      <c r="DA73" s="155">
        <f ca="1">TblMili[[#This Row],[Ice Elemental]]*2</f>
        <v>0</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74" s="154"/>
      <c r="AC74" s="180">
        <f ca="1">(TblConstr[[#This Row],[Tot Smi]]+TblConstr[[#This Row],[Dest Smi]])/(TblConstr[[#This Row],[Land]]-TblExplore[[#This Row],[Land Bonus]]*20)</f>
        <v>0</v>
      </c>
      <c r="AD74" s="137"/>
      <c r="AE74" s="246">
        <f>TblMili[[#This Row],[Hour]]</f>
        <v>71</v>
      </c>
      <c r="AF74" s="138">
        <f ca="1">TblExplore[[#This Row],[Time]]</f>
        <v>46182.916666666497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46182.916666666497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315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TblMili[[#This Row],[Mystic]]*2</f>
        <v>4</v>
      </c>
      <c r="CR74" s="251">
        <f ca="1">TblMili[[#This Row],[Druid (op)]]*2</f>
        <v>4</v>
      </c>
      <c r="CS74" s="94">
        <f ca="1">TblMili[[#This Row],[Mystic bonus]]*TblMili[[#This Row],[Unit 3]]+TblMili[[#This Row],[Druid bonus]]*TblMili[[#This Row],[Unit 4]]</f>
        <v>0</v>
      </c>
      <c r="CT74" s="155">
        <f ca="1">TblMili[[#This Row],[Dryad]]*2</f>
        <v>5.9999999999999991</v>
      </c>
      <c r="CU74" s="94">
        <f ca="1">sylvan*(TblMili[[#This Row],[Mystic bonus]]*TblMili[[#This Row],[Unit 3]])</f>
        <v>0</v>
      </c>
      <c r="CV74" s="155">
        <f ca="1">TblMili[[#This Row],[Rockapult]]*2</f>
        <v>4</v>
      </c>
      <c r="CW74" s="94">
        <f ca="1">gnome*(TblMili[[#This Row],[Rockapult bonus]]*TblMili[[#This Row],[Unit 3]])</f>
        <v>0</v>
      </c>
      <c r="CX74" s="155">
        <f ca="1">TblMili[[#This Row],[Adept-DP]]*2</f>
        <v>0</v>
      </c>
      <c r="CY74" s="94">
        <f ca="1">dark_elf*(TblMili[[#This Row],[Adept bonus]]*TblMili[[#This Row],[Unit 3]])</f>
        <v>0</v>
      </c>
      <c r="CZ74" s="155">
        <f ca="1">TblMili[[#This Row],[Frost Mage]]*2</f>
        <v>5.9999999999999991</v>
      </c>
      <c r="DA74" s="155">
        <f ca="1">TblMili[[#This Row],[Ice Elemental]]*2</f>
        <v>0</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75" s="154"/>
      <c r="AC75" s="180">
        <f ca="1">(TblConstr[[#This Row],[Tot Smi]]+TblConstr[[#This Row],[Dest Smi]])/(TblConstr[[#This Row],[Land]]-TblExplore[[#This Row],[Land Bonus]]*20)</f>
        <v>0</v>
      </c>
      <c r="AD75" s="137"/>
      <c r="AE75" s="246">
        <f>TblMili[[#This Row],[Hour]]</f>
        <v>72</v>
      </c>
      <c r="AF75" s="138">
        <f ca="1">TblExplore[[#This Row],[Time]]</f>
        <v>46182.958333333161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46182.958333333161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315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TblMili[[#This Row],[Mystic]]*2</f>
        <v>4</v>
      </c>
      <c r="CR75" s="251">
        <f ca="1">TblMili[[#This Row],[Druid (op)]]*2</f>
        <v>4</v>
      </c>
      <c r="CS75" s="94">
        <f ca="1">TblMili[[#This Row],[Mystic bonus]]*TblMili[[#This Row],[Unit 3]]+TblMili[[#This Row],[Druid bonus]]*TblMili[[#This Row],[Unit 4]]</f>
        <v>0</v>
      </c>
      <c r="CT75" s="155">
        <f ca="1">TblMili[[#This Row],[Dryad]]*2</f>
        <v>5.9999999999999991</v>
      </c>
      <c r="CU75" s="94">
        <f ca="1">sylvan*(TblMili[[#This Row],[Mystic bonus]]*TblMili[[#This Row],[Unit 3]])</f>
        <v>0</v>
      </c>
      <c r="CV75" s="155">
        <f ca="1">TblMili[[#This Row],[Rockapult]]*2</f>
        <v>4</v>
      </c>
      <c r="CW75" s="94">
        <f ca="1">gnome*(TblMili[[#This Row],[Rockapult bonus]]*TblMili[[#This Row],[Unit 3]])</f>
        <v>0</v>
      </c>
      <c r="CX75" s="155">
        <f ca="1">TblMili[[#This Row],[Adept-DP]]*2</f>
        <v>0</v>
      </c>
      <c r="CY75" s="94">
        <f ca="1">dark_elf*(TblMili[[#This Row],[Adept bonus]]*TblMili[[#This Row],[Unit 3]])</f>
        <v>0</v>
      </c>
      <c r="CZ75" s="155">
        <f ca="1">TblMili[[#This Row],[Frost Mage]]*2</f>
        <v>5.9999999999999991</v>
      </c>
      <c r="DA75" s="155">
        <f ca="1">TblMili[[#This Row],[Ice Elemental]]*2</f>
        <v>0</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540</v>
      </c>
      <c r="C76" s="442">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3">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3">
        <f ca="1">TblMili[[#This Row],[Raw]]*(1+TblMili[[#This Row],[Mods_Off]])</f>
        <v>0</v>
      </c>
      <c r="S76" s="44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3">
        <f ca="1">TblMili[[#This Row],[Non Draft]]+TblMili[[#This Row],[Draftees]]</f>
        <v>540</v>
      </c>
      <c r="U76" s="444">
        <f ca="1">race_defense + TblImps[[#This Row],[Walls]] + ROUND( MIN(gt_bonus*TblConstr[[#This Row],[Tot GT]]/TblConstr[[#This Row],[Land]],gt_bonus_cap), 4) + IF(TblMagic[[#This Row],[Active Howling]]&gt;0,howling_dp_bonus,IF(TblMagic[[#This Row],[Active Ares Call]]&gt;0,ares_call_bonus))</f>
        <v>0</v>
      </c>
      <c r="V76" s="445">
        <f ca="1">TblMili[[#This Row],[Non Draft]] * (1 + TblMili[[#This Row],[Mods_Def]])</f>
        <v>0</v>
      </c>
      <c r="W76" s="443">
        <f ca="1">TblMili[[#This Row],[Draft]] * (1 + TblMili[[#This Row],[Mods_Def]])</f>
        <v>540</v>
      </c>
      <c r="X76" s="443">
        <f ca="1">TblConstr[[#This Row],[Land]]</f>
        <v>50</v>
      </c>
      <c r="Y76" s="250"/>
      <c r="Z76" s="446">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76" s="154"/>
      <c r="AC76" s="429">
        <f ca="1">(TblConstr[[#This Row],[Tot Smi]]+TblConstr[[#This Row],[Dest Smi]])/(TblConstr[[#This Row],[Land]]-TblExplore[[#This Row],[Land Bonus]]*20)</f>
        <v>0</v>
      </c>
      <c r="AD76" s="137"/>
      <c r="AE76" s="246">
        <f>TblMili[[#This Row],[Hour]]</f>
        <v>73</v>
      </c>
      <c r="AF76" s="138">
        <f ca="1">TblExplore[[#This Row],[Time]]</f>
        <v>46182.999999999825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46182.999999999825</v>
      </c>
      <c r="AW76" s="430">
        <f ca="1">TblMili[[#This Row],[Draftees]]</f>
        <v>540</v>
      </c>
      <c r="AX76" s="158"/>
      <c r="AY76" s="179"/>
      <c r="AZ76" s="179"/>
      <c r="BA76" s="179"/>
      <c r="BB76" s="179"/>
      <c r="BC76" s="179"/>
      <c r="BD76" s="179"/>
      <c r="BE76" s="179"/>
      <c r="BF76" s="179"/>
      <c r="BG76" s="142"/>
      <c r="BH76" s="442">
        <f ca="1">TblConstr[[#This Row],[Tot WG]]/TblConstr[[#This Row],[Land]]</f>
        <v>0</v>
      </c>
      <c r="BI76" s="442">
        <f ca="1">TblConstr[[#This Row],[Tot Hav]]/TblConstr[[#This Row],[Land]]</f>
        <v>0</v>
      </c>
      <c r="BJ76" s="430">
        <f ca="1">ROUNDUP((1-MIN(TblMili[[#This Row],[Smithies]]*smithy_bonus,smithy_bonus_cap) + tech_3_5*TblTech[[#This Row],[3-5]] + tech_5_3*TblTech[[#This Row],[5-3]] + tech_5_5*TblTech[[#This Row],[5-5]])*spec_op_plat,0)</f>
        <v>315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2">
        <f ca="1">TblConstr[[#This Row],[Homeland]]/TblConstr[[#This Row],[Land]]</f>
        <v>0.6</v>
      </c>
      <c r="BX76" s="442">
        <f ca="1">TblMili[[#This Row],[WG''s]]</f>
        <v>0</v>
      </c>
      <c r="BY76" s="447">
        <f ca="1">IF(mystic_cap="none",TblMili[[#This Row],[Homeland%]]/mystic_bonus,MIN(mystic_cap,TblMili[[#This Row],[Homeland%]]/mystic_bonus))</f>
        <v>2</v>
      </c>
      <c r="BZ76" s="447">
        <f ca="1">IF(druid_op_cap="none",TblMili[[#This Row],[Homeland%]]/druid_op_bonus,MIN(druid_op_cap,TblMili[[#This Row],[Homeland%]]/druid_op_bonus))</f>
        <v>2</v>
      </c>
      <c r="CA76" s="447">
        <f ca="1">IF(druid_dp_cap="none",TblMili[[#This Row],[Homeland%]]/druid_dp_bonus,MIN(druid_dp_cap,TblMili[[#This Row],[Homeland%]]/druid_dp_bonus))</f>
        <v>2</v>
      </c>
      <c r="CB76" s="447">
        <f ca="1">MIN(dryad_cap,TblMili[[#This Row],[Homeland%]]/dryad_bonus)</f>
        <v>2.9999999999999996</v>
      </c>
      <c r="CC76" s="447">
        <f ca="1">MIN(rocka_cap,TblMili[[#This Row],[Homeland%]]/rocka_bonus)</f>
        <v>2</v>
      </c>
      <c r="CD76" s="447">
        <f ca="1">MIN(adept_op_cap,TblMili[[#This Row],[WG]]/adept_op_bonus)</f>
        <v>0</v>
      </c>
      <c r="CE76" s="447">
        <f ca="1">MIN(adept_dp_cap,TblMili[[#This Row],[WG]]/adept_dp_bonus)</f>
        <v>0</v>
      </c>
      <c r="CF76" s="430">
        <f ca="1">MIN(TblMili[[#This Row],[Unit 3]],TblMili[[#This Row],[Unit 2]])*2</f>
        <v>0</v>
      </c>
      <c r="CG76" s="430">
        <f ca="1">MIN(TblMili[[#This Row],[Unit 1]],TblMili[[#This Row],[Unit 4]])*2</f>
        <v>0</v>
      </c>
      <c r="CH76" s="447">
        <f ca="1">MIN(frost_mage_cap,TblMili[[#This Row],[Homeland%]]/frost_mage_bonus)</f>
        <v>2.9999999999999996</v>
      </c>
      <c r="CI76" s="433">
        <f ca="1">MIN(ice_elem_cap,TblMili[[#This Row],[Raw (2)]]*ice_elem_bonus)</f>
        <v>0</v>
      </c>
      <c r="CJ76" s="447">
        <f t="shared" si="3"/>
        <v>0.83333333333333337</v>
      </c>
      <c r="CK76" s="447">
        <f ca="1">MIN(nox_nightshade_cap,TblConstr[[#This Row],[Homeland]]/TblConstr[[#This Row],[Land]]/nox_nightshade_swamp_bonus)</f>
        <v>4</v>
      </c>
      <c r="CL76" s="447">
        <f ca="1">MIN(TblConstr[[#This Row],[Total Swamp]]/TblConstr[[#This Row],[Land]]/abyss_enforce_bonus,abyss_enforcer_cap)</f>
        <v>0</v>
      </c>
      <c r="CM76" s="447">
        <f ca="1">IF(TblMagic[[#This Row],[Active Infernal Command]]&gt;0,TblMili[[#This Row],[Unit 1]]*infernal_cmd_op,0)</f>
        <v>0</v>
      </c>
      <c r="CN76" s="252"/>
      <c r="CO76" s="252"/>
      <c r="CP76" s="252"/>
      <c r="CQ76" s="447">
        <f ca="1">TblMili[[#This Row],[Mystic]]*2</f>
        <v>4</v>
      </c>
      <c r="CR76" s="447">
        <f ca="1">TblMili[[#This Row],[Druid (op)]]*2</f>
        <v>4</v>
      </c>
      <c r="CS76" s="430">
        <f ca="1">TblMili[[#This Row],[Mystic bonus]]*TblMili[[#This Row],[Unit 3]]+TblMili[[#This Row],[Druid bonus]]*TblMili[[#This Row],[Unit 4]]</f>
        <v>0</v>
      </c>
      <c r="CT76" s="448">
        <f ca="1">TblMili[[#This Row],[Dryad]]*2</f>
        <v>5.9999999999999991</v>
      </c>
      <c r="CU76" s="430">
        <f ca="1">sylvan*(TblMili[[#This Row],[Mystic bonus]]*TblMili[[#This Row],[Unit 3]])</f>
        <v>0</v>
      </c>
      <c r="CV76" s="448">
        <f ca="1">TblMili[[#This Row],[Rockapult]]*2</f>
        <v>4</v>
      </c>
      <c r="CW76" s="430">
        <f ca="1">gnome*(TblMili[[#This Row],[Rockapult bonus]]*TblMili[[#This Row],[Unit 3]])</f>
        <v>0</v>
      </c>
      <c r="CX76" s="448">
        <f ca="1">TblMili[[#This Row],[Adept-DP]]*2</f>
        <v>0</v>
      </c>
      <c r="CY76" s="430">
        <f ca="1">dark_elf*(TblMili[[#This Row],[Adept bonus]]*TblMili[[#This Row],[Unit 3]])</f>
        <v>0</v>
      </c>
      <c r="CZ76" s="448">
        <f ca="1">TblMili[[#This Row],[Frost Mage]]*2</f>
        <v>5.9999999999999991</v>
      </c>
      <c r="DA76" s="448">
        <f ca="1">TblMili[[#This Row],[Ice Elemental]]*2</f>
        <v>0</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9">
        <f ca="1">(TblMili[[#This Row],[Wizards]]+2*TblMili[[#This Row],[Archmages]])/TblConstr[[#This Row],[Land]]</f>
        <v>0</v>
      </c>
      <c r="DI76" s="449">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77" s="154"/>
      <c r="AC77" s="180">
        <f ca="1">(TblConstr[[#This Row],[Tot Smi]]+TblConstr[[#This Row],[Dest Smi]])/(TblConstr[[#This Row],[Land]]-TblExplore[[#This Row],[Land Bonus]]*20)</f>
        <v>0</v>
      </c>
      <c r="AD77" s="137"/>
      <c r="AE77" s="246">
        <f>TblMili[[#This Row],[Hour]]</f>
        <v>74</v>
      </c>
      <c r="AF77" s="138">
        <f ca="1">TblExplore[[#This Row],[Time]]</f>
        <v>46183.04166666649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46183.04166666649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315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TblMili[[#This Row],[Mystic]]*2</f>
        <v>4</v>
      </c>
      <c r="CR77" s="251">
        <f ca="1">TblMili[[#This Row],[Druid (op)]]*2</f>
        <v>4</v>
      </c>
      <c r="CS77" s="94">
        <f ca="1">TblMili[[#This Row],[Mystic bonus]]*TblMili[[#This Row],[Unit 3]]+TblMili[[#This Row],[Druid bonus]]*TblMili[[#This Row],[Unit 4]]</f>
        <v>0</v>
      </c>
      <c r="CT77" s="155">
        <f ca="1">TblMili[[#This Row],[Dryad]]*2</f>
        <v>5.9999999999999991</v>
      </c>
      <c r="CU77" s="94">
        <f ca="1">sylvan*(TblMili[[#This Row],[Mystic bonus]]*TblMili[[#This Row],[Unit 3]])</f>
        <v>0</v>
      </c>
      <c r="CV77" s="155">
        <f ca="1">TblMili[[#This Row],[Rockapult]]*2</f>
        <v>4</v>
      </c>
      <c r="CW77" s="94">
        <f ca="1">gnome*(TblMili[[#This Row],[Rockapult bonus]]*TblMili[[#This Row],[Unit 3]])</f>
        <v>0</v>
      </c>
      <c r="CX77" s="155">
        <f ca="1">TblMili[[#This Row],[Adept-DP]]*2</f>
        <v>0</v>
      </c>
      <c r="CY77" s="94">
        <f ca="1">dark_elf*(TblMili[[#This Row],[Adept bonus]]*TblMili[[#This Row],[Unit 3]])</f>
        <v>0</v>
      </c>
      <c r="CZ77" s="155">
        <f ca="1">TblMili[[#This Row],[Frost Mage]]*2</f>
        <v>5.9999999999999991</v>
      </c>
      <c r="DA77" s="155">
        <f ca="1">TblMili[[#This Row],[Ice Elemental]]*2</f>
        <v>0</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78" s="154"/>
      <c r="AC78" s="180">
        <f ca="1">(TblConstr[[#This Row],[Tot Smi]]+TblConstr[[#This Row],[Dest Smi]])/(TblConstr[[#This Row],[Land]]-TblExplore[[#This Row],[Land Bonus]]*20)</f>
        <v>0</v>
      </c>
      <c r="AD78" s="137"/>
      <c r="AE78" s="246">
        <f>TblMili[[#This Row],[Hour]]</f>
        <v>75</v>
      </c>
      <c r="AF78" s="138">
        <f ca="1">TblExplore[[#This Row],[Time]]</f>
        <v>46183.083333333154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46183.083333333154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315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TblMili[[#This Row],[Mystic]]*2</f>
        <v>4</v>
      </c>
      <c r="CR78" s="251">
        <f ca="1">TblMili[[#This Row],[Druid (op)]]*2</f>
        <v>4</v>
      </c>
      <c r="CS78" s="94">
        <f ca="1">TblMili[[#This Row],[Mystic bonus]]*TblMili[[#This Row],[Unit 3]]+TblMili[[#This Row],[Druid bonus]]*TblMili[[#This Row],[Unit 4]]</f>
        <v>0</v>
      </c>
      <c r="CT78" s="155">
        <f ca="1">TblMili[[#This Row],[Dryad]]*2</f>
        <v>5.9999999999999991</v>
      </c>
      <c r="CU78" s="94">
        <f ca="1">sylvan*(TblMili[[#This Row],[Mystic bonus]]*TblMili[[#This Row],[Unit 3]])</f>
        <v>0</v>
      </c>
      <c r="CV78" s="155">
        <f ca="1">TblMili[[#This Row],[Rockapult]]*2</f>
        <v>4</v>
      </c>
      <c r="CW78" s="94">
        <f ca="1">gnome*(TblMili[[#This Row],[Rockapult bonus]]*TblMili[[#This Row],[Unit 3]])</f>
        <v>0</v>
      </c>
      <c r="CX78" s="155">
        <f ca="1">TblMili[[#This Row],[Adept-DP]]*2</f>
        <v>0</v>
      </c>
      <c r="CY78" s="94">
        <f ca="1">dark_elf*(TblMili[[#This Row],[Adept bonus]]*TblMili[[#This Row],[Unit 3]])</f>
        <v>0</v>
      </c>
      <c r="CZ78" s="155">
        <f ca="1">TblMili[[#This Row],[Frost Mage]]*2</f>
        <v>5.9999999999999991</v>
      </c>
      <c r="DA78" s="155">
        <f ca="1">TblMili[[#This Row],[Ice Elemental]]*2</f>
        <v>0</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79" s="154"/>
      <c r="AC79" s="180">
        <f ca="1">(TblConstr[[#This Row],[Tot Smi]]+TblConstr[[#This Row],[Dest Smi]])/(TblConstr[[#This Row],[Land]]-TblExplore[[#This Row],[Land Bonus]]*20)</f>
        <v>0</v>
      </c>
      <c r="AD79" s="137"/>
      <c r="AE79" s="246">
        <f>TblMili[[#This Row],[Hour]]</f>
        <v>76</v>
      </c>
      <c r="AF79" s="138">
        <f ca="1">TblExplore[[#This Row],[Time]]</f>
        <v>46183.124999999818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46183.124999999818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315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TblMili[[#This Row],[Mystic]]*2</f>
        <v>4</v>
      </c>
      <c r="CR79" s="251">
        <f ca="1">TblMili[[#This Row],[Druid (op)]]*2</f>
        <v>4</v>
      </c>
      <c r="CS79" s="94">
        <f ca="1">TblMili[[#This Row],[Mystic bonus]]*TblMili[[#This Row],[Unit 3]]+TblMili[[#This Row],[Druid bonus]]*TblMili[[#This Row],[Unit 4]]</f>
        <v>0</v>
      </c>
      <c r="CT79" s="155">
        <f ca="1">TblMili[[#This Row],[Dryad]]*2</f>
        <v>5.9999999999999991</v>
      </c>
      <c r="CU79" s="94">
        <f ca="1">sylvan*(TblMili[[#This Row],[Mystic bonus]]*TblMili[[#This Row],[Unit 3]])</f>
        <v>0</v>
      </c>
      <c r="CV79" s="155">
        <f ca="1">TblMili[[#This Row],[Rockapult]]*2</f>
        <v>4</v>
      </c>
      <c r="CW79" s="94">
        <f ca="1">gnome*(TblMili[[#This Row],[Rockapult bonus]]*TblMili[[#This Row],[Unit 3]])</f>
        <v>0</v>
      </c>
      <c r="CX79" s="155">
        <f ca="1">TblMili[[#This Row],[Adept-DP]]*2</f>
        <v>0</v>
      </c>
      <c r="CY79" s="94">
        <f ca="1">dark_elf*(TblMili[[#This Row],[Adept bonus]]*TblMili[[#This Row],[Unit 3]])</f>
        <v>0</v>
      </c>
      <c r="CZ79" s="155">
        <f ca="1">TblMili[[#This Row],[Frost Mage]]*2</f>
        <v>5.9999999999999991</v>
      </c>
      <c r="DA79" s="155">
        <f ca="1">TblMili[[#This Row],[Ice Elemental]]*2</f>
        <v>0</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80" s="154"/>
      <c r="AC80" s="180">
        <f ca="1">(TblConstr[[#This Row],[Tot Smi]]+TblConstr[[#This Row],[Dest Smi]])/(TblConstr[[#This Row],[Land]]-TblExplore[[#This Row],[Land Bonus]]*20)</f>
        <v>0</v>
      </c>
      <c r="AD80" s="137"/>
      <c r="AE80" s="246">
        <f>TblMili[[#This Row],[Hour]]</f>
        <v>77</v>
      </c>
      <c r="AF80" s="138">
        <f ca="1">TblExplore[[#This Row],[Time]]</f>
        <v>46183.166666666482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46183.166666666482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315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TblMili[[#This Row],[Mystic]]*2</f>
        <v>4</v>
      </c>
      <c r="CR80" s="251">
        <f ca="1">TblMili[[#This Row],[Druid (op)]]*2</f>
        <v>4</v>
      </c>
      <c r="CS80" s="94">
        <f ca="1">TblMili[[#This Row],[Mystic bonus]]*TblMili[[#This Row],[Unit 3]]+TblMili[[#This Row],[Druid bonus]]*TblMili[[#This Row],[Unit 4]]</f>
        <v>0</v>
      </c>
      <c r="CT80" s="155">
        <f ca="1">TblMili[[#This Row],[Dryad]]*2</f>
        <v>5.9999999999999991</v>
      </c>
      <c r="CU80" s="94">
        <f ca="1">sylvan*(TblMili[[#This Row],[Mystic bonus]]*TblMili[[#This Row],[Unit 3]])</f>
        <v>0</v>
      </c>
      <c r="CV80" s="155">
        <f ca="1">TblMili[[#This Row],[Rockapult]]*2</f>
        <v>4</v>
      </c>
      <c r="CW80" s="94">
        <f ca="1">gnome*(TblMili[[#This Row],[Rockapult bonus]]*TblMili[[#This Row],[Unit 3]])</f>
        <v>0</v>
      </c>
      <c r="CX80" s="155">
        <f ca="1">TblMili[[#This Row],[Adept-DP]]*2</f>
        <v>0</v>
      </c>
      <c r="CY80" s="94">
        <f ca="1">dark_elf*(TblMili[[#This Row],[Adept bonus]]*TblMili[[#This Row],[Unit 3]])</f>
        <v>0</v>
      </c>
      <c r="CZ80" s="155">
        <f ca="1">TblMili[[#This Row],[Frost Mage]]*2</f>
        <v>5.9999999999999991</v>
      </c>
      <c r="DA80" s="155">
        <f ca="1">TblMili[[#This Row],[Ice Elemental]]*2</f>
        <v>0</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81" s="154"/>
      <c r="AC81" s="180">
        <f ca="1">(TblConstr[[#This Row],[Tot Smi]]+TblConstr[[#This Row],[Dest Smi]])/(TblConstr[[#This Row],[Land]]-TblExplore[[#This Row],[Land Bonus]]*20)</f>
        <v>0</v>
      </c>
      <c r="AD81" s="137"/>
      <c r="AE81" s="246">
        <f>TblMili[[#This Row],[Hour]]</f>
        <v>78</v>
      </c>
      <c r="AF81" s="138">
        <f ca="1">TblExplore[[#This Row],[Time]]</f>
        <v>46183.208333333147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46183.208333333147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315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TblMili[[#This Row],[Mystic]]*2</f>
        <v>4</v>
      </c>
      <c r="CR81" s="251">
        <f ca="1">TblMili[[#This Row],[Druid (op)]]*2</f>
        <v>4</v>
      </c>
      <c r="CS81" s="94">
        <f ca="1">TblMili[[#This Row],[Mystic bonus]]*TblMili[[#This Row],[Unit 3]]+TblMili[[#This Row],[Druid bonus]]*TblMili[[#This Row],[Unit 4]]</f>
        <v>0</v>
      </c>
      <c r="CT81" s="155">
        <f ca="1">TblMili[[#This Row],[Dryad]]*2</f>
        <v>5.9999999999999991</v>
      </c>
      <c r="CU81" s="94">
        <f ca="1">sylvan*(TblMili[[#This Row],[Mystic bonus]]*TblMili[[#This Row],[Unit 3]])</f>
        <v>0</v>
      </c>
      <c r="CV81" s="155">
        <f ca="1">TblMili[[#This Row],[Rockapult]]*2</f>
        <v>4</v>
      </c>
      <c r="CW81" s="94">
        <f ca="1">gnome*(TblMili[[#This Row],[Rockapult bonus]]*TblMili[[#This Row],[Unit 3]])</f>
        <v>0</v>
      </c>
      <c r="CX81" s="155">
        <f ca="1">TblMili[[#This Row],[Adept-DP]]*2</f>
        <v>0</v>
      </c>
      <c r="CY81" s="94">
        <f ca="1">dark_elf*(TblMili[[#This Row],[Adept bonus]]*TblMili[[#This Row],[Unit 3]])</f>
        <v>0</v>
      </c>
      <c r="CZ81" s="155">
        <f ca="1">TblMili[[#This Row],[Frost Mage]]*2</f>
        <v>5.9999999999999991</v>
      </c>
      <c r="DA81" s="155">
        <f ca="1">TblMili[[#This Row],[Ice Elemental]]*2</f>
        <v>0</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82" s="154"/>
      <c r="AC82" s="180">
        <f ca="1">(TblConstr[[#This Row],[Tot Smi]]+TblConstr[[#This Row],[Dest Smi]])/(TblConstr[[#This Row],[Land]]-TblExplore[[#This Row],[Land Bonus]]*20)</f>
        <v>0</v>
      </c>
      <c r="AD82" s="137"/>
      <c r="AE82" s="246">
        <f>TblMili[[#This Row],[Hour]]</f>
        <v>79</v>
      </c>
      <c r="AF82" s="138">
        <f ca="1">TblExplore[[#This Row],[Time]]</f>
        <v>46183.249999999811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46183.249999999811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315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TblMili[[#This Row],[Mystic]]*2</f>
        <v>4</v>
      </c>
      <c r="CR82" s="251">
        <f ca="1">TblMili[[#This Row],[Druid (op)]]*2</f>
        <v>4</v>
      </c>
      <c r="CS82" s="94">
        <f ca="1">TblMili[[#This Row],[Mystic bonus]]*TblMili[[#This Row],[Unit 3]]+TblMili[[#This Row],[Druid bonus]]*TblMili[[#This Row],[Unit 4]]</f>
        <v>0</v>
      </c>
      <c r="CT82" s="155">
        <f ca="1">TblMili[[#This Row],[Dryad]]*2</f>
        <v>5.9999999999999991</v>
      </c>
      <c r="CU82" s="94">
        <f ca="1">sylvan*(TblMili[[#This Row],[Mystic bonus]]*TblMili[[#This Row],[Unit 3]])</f>
        <v>0</v>
      </c>
      <c r="CV82" s="155">
        <f ca="1">TblMili[[#This Row],[Rockapult]]*2</f>
        <v>4</v>
      </c>
      <c r="CW82" s="94">
        <f ca="1">gnome*(TblMili[[#This Row],[Rockapult bonus]]*TblMili[[#This Row],[Unit 3]])</f>
        <v>0</v>
      </c>
      <c r="CX82" s="155">
        <f ca="1">TblMili[[#This Row],[Adept-DP]]*2</f>
        <v>0</v>
      </c>
      <c r="CY82" s="94">
        <f ca="1">dark_elf*(TblMili[[#This Row],[Adept bonus]]*TblMili[[#This Row],[Unit 3]])</f>
        <v>0</v>
      </c>
      <c r="CZ82" s="155">
        <f ca="1">TblMili[[#This Row],[Frost Mage]]*2</f>
        <v>5.9999999999999991</v>
      </c>
      <c r="DA82" s="155">
        <f ca="1">TblMili[[#This Row],[Ice Elemental]]*2</f>
        <v>0</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83" s="154"/>
      <c r="AC83" s="180">
        <f ca="1">(TblConstr[[#This Row],[Tot Smi]]+TblConstr[[#This Row],[Dest Smi]])/(TblConstr[[#This Row],[Land]]-TblExplore[[#This Row],[Land Bonus]]*20)</f>
        <v>0</v>
      </c>
      <c r="AD83" s="137"/>
      <c r="AE83" s="246">
        <f>TblMili[[#This Row],[Hour]]</f>
        <v>80</v>
      </c>
      <c r="AF83" s="138">
        <f ca="1">TblExplore[[#This Row],[Time]]</f>
        <v>46183.291666666475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46183.291666666475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315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TblMili[[#This Row],[Mystic]]*2</f>
        <v>4</v>
      </c>
      <c r="CR83" s="251">
        <f ca="1">TblMili[[#This Row],[Druid (op)]]*2</f>
        <v>4</v>
      </c>
      <c r="CS83" s="94">
        <f ca="1">TblMili[[#This Row],[Mystic bonus]]*TblMili[[#This Row],[Unit 3]]+TblMili[[#This Row],[Druid bonus]]*TblMili[[#This Row],[Unit 4]]</f>
        <v>0</v>
      </c>
      <c r="CT83" s="155">
        <f ca="1">TblMili[[#This Row],[Dryad]]*2</f>
        <v>5.9999999999999991</v>
      </c>
      <c r="CU83" s="94">
        <f ca="1">sylvan*(TblMili[[#This Row],[Mystic bonus]]*TblMili[[#This Row],[Unit 3]])</f>
        <v>0</v>
      </c>
      <c r="CV83" s="155">
        <f ca="1">TblMili[[#This Row],[Rockapult]]*2</f>
        <v>4</v>
      </c>
      <c r="CW83" s="94">
        <f ca="1">gnome*(TblMili[[#This Row],[Rockapult bonus]]*TblMili[[#This Row],[Unit 3]])</f>
        <v>0</v>
      </c>
      <c r="CX83" s="155">
        <f ca="1">TblMili[[#This Row],[Adept-DP]]*2</f>
        <v>0</v>
      </c>
      <c r="CY83" s="94">
        <f ca="1">dark_elf*(TblMili[[#This Row],[Adept bonus]]*TblMili[[#This Row],[Unit 3]])</f>
        <v>0</v>
      </c>
      <c r="CZ83" s="155">
        <f ca="1">TblMili[[#This Row],[Frost Mage]]*2</f>
        <v>5.9999999999999991</v>
      </c>
      <c r="DA83" s="155">
        <f ca="1">TblMili[[#This Row],[Ice Elemental]]*2</f>
        <v>0</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84" s="154"/>
      <c r="AC84" s="180">
        <f ca="1">(TblConstr[[#This Row],[Tot Smi]]+TblConstr[[#This Row],[Dest Smi]])/(TblConstr[[#This Row],[Land]]-TblExplore[[#This Row],[Land Bonus]]*20)</f>
        <v>0</v>
      </c>
      <c r="AD84" s="137"/>
      <c r="AE84" s="246">
        <f>TblMili[[#This Row],[Hour]]</f>
        <v>81</v>
      </c>
      <c r="AF84" s="138">
        <f ca="1">TblExplore[[#This Row],[Time]]</f>
        <v>46183.333333333139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46183.333333333139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315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TblMili[[#This Row],[Mystic]]*2</f>
        <v>4</v>
      </c>
      <c r="CR84" s="251">
        <f ca="1">TblMili[[#This Row],[Druid (op)]]*2</f>
        <v>4</v>
      </c>
      <c r="CS84" s="94">
        <f ca="1">TblMili[[#This Row],[Mystic bonus]]*TblMili[[#This Row],[Unit 3]]+TblMili[[#This Row],[Druid bonus]]*TblMili[[#This Row],[Unit 4]]</f>
        <v>0</v>
      </c>
      <c r="CT84" s="155">
        <f ca="1">TblMili[[#This Row],[Dryad]]*2</f>
        <v>5.9999999999999991</v>
      </c>
      <c r="CU84" s="94">
        <f ca="1">sylvan*(TblMili[[#This Row],[Mystic bonus]]*TblMili[[#This Row],[Unit 3]])</f>
        <v>0</v>
      </c>
      <c r="CV84" s="155">
        <f ca="1">TblMili[[#This Row],[Rockapult]]*2</f>
        <v>4</v>
      </c>
      <c r="CW84" s="94">
        <f ca="1">gnome*(TblMili[[#This Row],[Rockapult bonus]]*TblMili[[#This Row],[Unit 3]])</f>
        <v>0</v>
      </c>
      <c r="CX84" s="155">
        <f ca="1">TblMili[[#This Row],[Adept-DP]]*2</f>
        <v>0</v>
      </c>
      <c r="CY84" s="94">
        <f ca="1">dark_elf*(TblMili[[#This Row],[Adept bonus]]*TblMili[[#This Row],[Unit 3]])</f>
        <v>0</v>
      </c>
      <c r="CZ84" s="155">
        <f ca="1">TblMili[[#This Row],[Frost Mage]]*2</f>
        <v>5.9999999999999991</v>
      </c>
      <c r="DA84" s="155">
        <f ca="1">TblMili[[#This Row],[Ice Elemental]]*2</f>
        <v>0</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85" s="154"/>
      <c r="AC85" s="180">
        <f ca="1">(TblConstr[[#This Row],[Tot Smi]]+TblConstr[[#This Row],[Dest Smi]])/(TblConstr[[#This Row],[Land]]-TblExplore[[#This Row],[Land Bonus]]*20)</f>
        <v>0</v>
      </c>
      <c r="AD85" s="137"/>
      <c r="AE85" s="246">
        <f>TblMili[[#This Row],[Hour]]</f>
        <v>82</v>
      </c>
      <c r="AF85" s="138">
        <f ca="1">TblExplore[[#This Row],[Time]]</f>
        <v>46183.374999999804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46183.374999999804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315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TblMili[[#This Row],[Mystic]]*2</f>
        <v>4</v>
      </c>
      <c r="CR85" s="251">
        <f ca="1">TblMili[[#This Row],[Druid (op)]]*2</f>
        <v>4</v>
      </c>
      <c r="CS85" s="94">
        <f ca="1">TblMili[[#This Row],[Mystic bonus]]*TblMili[[#This Row],[Unit 3]]+TblMili[[#This Row],[Druid bonus]]*TblMili[[#This Row],[Unit 4]]</f>
        <v>0</v>
      </c>
      <c r="CT85" s="155">
        <f ca="1">TblMili[[#This Row],[Dryad]]*2</f>
        <v>5.9999999999999991</v>
      </c>
      <c r="CU85" s="94">
        <f ca="1">sylvan*(TblMili[[#This Row],[Mystic bonus]]*TblMili[[#This Row],[Unit 3]])</f>
        <v>0</v>
      </c>
      <c r="CV85" s="155">
        <f ca="1">TblMili[[#This Row],[Rockapult]]*2</f>
        <v>4</v>
      </c>
      <c r="CW85" s="94">
        <f ca="1">gnome*(TblMili[[#This Row],[Rockapult bonus]]*TblMili[[#This Row],[Unit 3]])</f>
        <v>0</v>
      </c>
      <c r="CX85" s="155">
        <f ca="1">TblMili[[#This Row],[Adept-DP]]*2</f>
        <v>0</v>
      </c>
      <c r="CY85" s="94">
        <f ca="1">dark_elf*(TblMili[[#This Row],[Adept bonus]]*TblMili[[#This Row],[Unit 3]])</f>
        <v>0</v>
      </c>
      <c r="CZ85" s="155">
        <f ca="1">TblMili[[#This Row],[Frost Mage]]*2</f>
        <v>5.9999999999999991</v>
      </c>
      <c r="DA85" s="155">
        <f ca="1">TblMili[[#This Row],[Ice Elemental]]*2</f>
        <v>0</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86" s="154"/>
      <c r="AC86" s="180">
        <f ca="1">(TblConstr[[#This Row],[Tot Smi]]+TblConstr[[#This Row],[Dest Smi]])/(TblConstr[[#This Row],[Land]]-TblExplore[[#This Row],[Land Bonus]]*20)</f>
        <v>0</v>
      </c>
      <c r="AD86" s="137"/>
      <c r="AE86" s="246">
        <f>TblMili[[#This Row],[Hour]]</f>
        <v>83</v>
      </c>
      <c r="AF86" s="138">
        <f ca="1">TblExplore[[#This Row],[Time]]</f>
        <v>46183.416666666468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46183.416666666468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315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TblMili[[#This Row],[Mystic]]*2</f>
        <v>4</v>
      </c>
      <c r="CR86" s="251">
        <f ca="1">TblMili[[#This Row],[Druid (op)]]*2</f>
        <v>4</v>
      </c>
      <c r="CS86" s="94">
        <f ca="1">TblMili[[#This Row],[Mystic bonus]]*TblMili[[#This Row],[Unit 3]]+TblMili[[#This Row],[Druid bonus]]*TblMili[[#This Row],[Unit 4]]</f>
        <v>0</v>
      </c>
      <c r="CT86" s="155">
        <f ca="1">TblMili[[#This Row],[Dryad]]*2</f>
        <v>5.9999999999999991</v>
      </c>
      <c r="CU86" s="94">
        <f ca="1">sylvan*(TblMili[[#This Row],[Mystic bonus]]*TblMili[[#This Row],[Unit 3]])</f>
        <v>0</v>
      </c>
      <c r="CV86" s="155">
        <f ca="1">TblMili[[#This Row],[Rockapult]]*2</f>
        <v>4</v>
      </c>
      <c r="CW86" s="94">
        <f ca="1">gnome*(TblMili[[#This Row],[Rockapult bonus]]*TblMili[[#This Row],[Unit 3]])</f>
        <v>0</v>
      </c>
      <c r="CX86" s="155">
        <f ca="1">TblMili[[#This Row],[Adept-DP]]*2</f>
        <v>0</v>
      </c>
      <c r="CY86" s="94">
        <f ca="1">dark_elf*(TblMili[[#This Row],[Adept bonus]]*TblMili[[#This Row],[Unit 3]])</f>
        <v>0</v>
      </c>
      <c r="CZ86" s="155">
        <f ca="1">TblMili[[#This Row],[Frost Mage]]*2</f>
        <v>5.9999999999999991</v>
      </c>
      <c r="DA86" s="155">
        <f ca="1">TblMili[[#This Row],[Ice Elemental]]*2</f>
        <v>0</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87" s="154"/>
      <c r="AC87" s="180">
        <f ca="1">(TblConstr[[#This Row],[Tot Smi]]+TblConstr[[#This Row],[Dest Smi]])/(TblConstr[[#This Row],[Land]]-TblExplore[[#This Row],[Land Bonus]]*20)</f>
        <v>0</v>
      </c>
      <c r="AD87" s="137"/>
      <c r="AE87" s="246">
        <f>TblMili[[#This Row],[Hour]]</f>
        <v>84</v>
      </c>
      <c r="AF87" s="138">
        <f ca="1">TblExplore[[#This Row],[Time]]</f>
        <v>46183.458333333132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46183.458333333132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315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TblMili[[#This Row],[Mystic]]*2</f>
        <v>4</v>
      </c>
      <c r="CR87" s="251">
        <f ca="1">TblMili[[#This Row],[Druid (op)]]*2</f>
        <v>4</v>
      </c>
      <c r="CS87" s="94">
        <f ca="1">TblMili[[#This Row],[Mystic bonus]]*TblMili[[#This Row],[Unit 3]]+TblMili[[#This Row],[Druid bonus]]*TblMili[[#This Row],[Unit 4]]</f>
        <v>0</v>
      </c>
      <c r="CT87" s="155">
        <f ca="1">TblMili[[#This Row],[Dryad]]*2</f>
        <v>5.9999999999999991</v>
      </c>
      <c r="CU87" s="94">
        <f ca="1">sylvan*(TblMili[[#This Row],[Mystic bonus]]*TblMili[[#This Row],[Unit 3]])</f>
        <v>0</v>
      </c>
      <c r="CV87" s="155">
        <f ca="1">TblMili[[#This Row],[Rockapult]]*2</f>
        <v>4</v>
      </c>
      <c r="CW87" s="94">
        <f ca="1">gnome*(TblMili[[#This Row],[Rockapult bonus]]*TblMili[[#This Row],[Unit 3]])</f>
        <v>0</v>
      </c>
      <c r="CX87" s="155">
        <f ca="1">TblMili[[#This Row],[Adept-DP]]*2</f>
        <v>0</v>
      </c>
      <c r="CY87" s="94">
        <f ca="1">dark_elf*(TblMili[[#This Row],[Adept bonus]]*TblMili[[#This Row],[Unit 3]])</f>
        <v>0</v>
      </c>
      <c r="CZ87" s="155">
        <f ca="1">TblMili[[#This Row],[Frost Mage]]*2</f>
        <v>5.9999999999999991</v>
      </c>
      <c r="DA87" s="155">
        <f ca="1">TblMili[[#This Row],[Ice Elemental]]*2</f>
        <v>0</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88" s="154"/>
      <c r="AC88" s="180">
        <f ca="1">(TblConstr[[#This Row],[Tot Smi]]+TblConstr[[#This Row],[Dest Smi]])/(TblConstr[[#This Row],[Land]]-TblExplore[[#This Row],[Land Bonus]]*20)</f>
        <v>0</v>
      </c>
      <c r="AD88" s="246"/>
      <c r="AE88" s="246">
        <f>TblMili[[#This Row],[Hour]]</f>
        <v>85</v>
      </c>
      <c r="AF88" s="138">
        <f ca="1">TblExplore[[#This Row],[Time]]</f>
        <v>46183.499999999796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46183.499999999796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315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TblMili[[#This Row],[Mystic]]*2</f>
        <v>4</v>
      </c>
      <c r="CR88" s="251">
        <f ca="1">TblMili[[#This Row],[Druid (op)]]*2</f>
        <v>4</v>
      </c>
      <c r="CS88" s="94">
        <f ca="1">TblMili[[#This Row],[Mystic bonus]]*TblMili[[#This Row],[Unit 3]]+TblMili[[#This Row],[Druid bonus]]*TblMili[[#This Row],[Unit 4]]</f>
        <v>0</v>
      </c>
      <c r="CT88" s="155">
        <f ca="1">TblMili[[#This Row],[Dryad]]*2</f>
        <v>5.9999999999999991</v>
      </c>
      <c r="CU88" s="94">
        <f ca="1">sylvan*(TblMili[[#This Row],[Mystic bonus]]*TblMili[[#This Row],[Unit 3]])</f>
        <v>0</v>
      </c>
      <c r="CV88" s="155">
        <f ca="1">TblMili[[#This Row],[Rockapult]]*2</f>
        <v>4</v>
      </c>
      <c r="CW88" s="94">
        <f ca="1">gnome*(TblMili[[#This Row],[Rockapult bonus]]*TblMili[[#This Row],[Unit 3]])</f>
        <v>0</v>
      </c>
      <c r="CX88" s="155">
        <f ca="1">TblMili[[#This Row],[Adept-DP]]*2</f>
        <v>0</v>
      </c>
      <c r="CY88" s="94">
        <f ca="1">dark_elf*(TblMili[[#This Row],[Adept bonus]]*TblMili[[#This Row],[Unit 3]])</f>
        <v>0</v>
      </c>
      <c r="CZ88" s="155">
        <f ca="1">TblMili[[#This Row],[Frost Mage]]*2</f>
        <v>5.9999999999999991</v>
      </c>
      <c r="DA88" s="155">
        <f ca="1">TblMili[[#This Row],[Ice Elemental]]*2</f>
        <v>0</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89" s="154"/>
      <c r="AC89" s="180">
        <f ca="1">(TblConstr[[#This Row],[Tot Smi]]+TblConstr[[#This Row],[Dest Smi]])/(TblConstr[[#This Row],[Land]]-TblExplore[[#This Row],[Land Bonus]]*20)</f>
        <v>0</v>
      </c>
      <c r="AD89" s="137"/>
      <c r="AE89" s="246">
        <f>TblMili[[#This Row],[Hour]]</f>
        <v>86</v>
      </c>
      <c r="AF89" s="138">
        <f ca="1">TblExplore[[#This Row],[Time]]</f>
        <v>46183.541666666461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46183.541666666461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315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TblMili[[#This Row],[Mystic]]*2</f>
        <v>4</v>
      </c>
      <c r="CR89" s="251">
        <f ca="1">TblMili[[#This Row],[Druid (op)]]*2</f>
        <v>4</v>
      </c>
      <c r="CS89" s="94">
        <f ca="1">TblMili[[#This Row],[Mystic bonus]]*TblMili[[#This Row],[Unit 3]]+TblMili[[#This Row],[Druid bonus]]*TblMili[[#This Row],[Unit 4]]</f>
        <v>0</v>
      </c>
      <c r="CT89" s="155">
        <f ca="1">TblMili[[#This Row],[Dryad]]*2</f>
        <v>5.9999999999999991</v>
      </c>
      <c r="CU89" s="94">
        <f ca="1">sylvan*(TblMili[[#This Row],[Mystic bonus]]*TblMili[[#This Row],[Unit 3]])</f>
        <v>0</v>
      </c>
      <c r="CV89" s="155">
        <f ca="1">TblMili[[#This Row],[Rockapult]]*2</f>
        <v>4</v>
      </c>
      <c r="CW89" s="94">
        <f ca="1">gnome*(TblMili[[#This Row],[Rockapult bonus]]*TblMili[[#This Row],[Unit 3]])</f>
        <v>0</v>
      </c>
      <c r="CX89" s="155">
        <f ca="1">TblMili[[#This Row],[Adept-DP]]*2</f>
        <v>0</v>
      </c>
      <c r="CY89" s="94">
        <f ca="1">dark_elf*(TblMili[[#This Row],[Adept bonus]]*TblMili[[#This Row],[Unit 3]])</f>
        <v>0</v>
      </c>
      <c r="CZ89" s="155">
        <f ca="1">TblMili[[#This Row],[Frost Mage]]*2</f>
        <v>5.9999999999999991</v>
      </c>
      <c r="DA89" s="155">
        <f ca="1">TblMili[[#This Row],[Ice Elemental]]*2</f>
        <v>0</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90" s="154"/>
      <c r="AC90" s="180">
        <f ca="1">(TblConstr[[#This Row],[Tot Smi]]+TblConstr[[#This Row],[Dest Smi]])/(TblConstr[[#This Row],[Land]]-TblExplore[[#This Row],[Land Bonus]]*20)</f>
        <v>0</v>
      </c>
      <c r="AD90" s="137"/>
      <c r="AE90" s="246">
        <f>TblMili[[#This Row],[Hour]]</f>
        <v>87</v>
      </c>
      <c r="AF90" s="138">
        <f ca="1">TblExplore[[#This Row],[Time]]</f>
        <v>46183.583333333125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46183.583333333125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315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TblMili[[#This Row],[Mystic]]*2</f>
        <v>4</v>
      </c>
      <c r="CR90" s="251">
        <f ca="1">TblMili[[#This Row],[Druid (op)]]*2</f>
        <v>4</v>
      </c>
      <c r="CS90" s="94">
        <f ca="1">TblMili[[#This Row],[Mystic bonus]]*TblMili[[#This Row],[Unit 3]]+TblMili[[#This Row],[Druid bonus]]*TblMili[[#This Row],[Unit 4]]</f>
        <v>0</v>
      </c>
      <c r="CT90" s="155">
        <f ca="1">TblMili[[#This Row],[Dryad]]*2</f>
        <v>5.9999999999999991</v>
      </c>
      <c r="CU90" s="94">
        <f ca="1">sylvan*(TblMili[[#This Row],[Mystic bonus]]*TblMili[[#This Row],[Unit 3]])</f>
        <v>0</v>
      </c>
      <c r="CV90" s="155">
        <f ca="1">TblMili[[#This Row],[Rockapult]]*2</f>
        <v>4</v>
      </c>
      <c r="CW90" s="94">
        <f ca="1">gnome*(TblMili[[#This Row],[Rockapult bonus]]*TblMili[[#This Row],[Unit 3]])</f>
        <v>0</v>
      </c>
      <c r="CX90" s="155">
        <f ca="1">TblMili[[#This Row],[Adept-DP]]*2</f>
        <v>0</v>
      </c>
      <c r="CY90" s="94">
        <f ca="1">dark_elf*(TblMili[[#This Row],[Adept bonus]]*TblMili[[#This Row],[Unit 3]])</f>
        <v>0</v>
      </c>
      <c r="CZ90" s="155">
        <f ca="1">TblMili[[#This Row],[Frost Mage]]*2</f>
        <v>5.9999999999999991</v>
      </c>
      <c r="DA90" s="155">
        <f ca="1">TblMili[[#This Row],[Ice Elemental]]*2</f>
        <v>0</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91" s="154"/>
      <c r="AC91" s="180">
        <f ca="1">(TblConstr[[#This Row],[Tot Smi]]+TblConstr[[#This Row],[Dest Smi]])/(TblConstr[[#This Row],[Land]]-TblExplore[[#This Row],[Land Bonus]]*20)</f>
        <v>0</v>
      </c>
      <c r="AD91" s="137"/>
      <c r="AE91" s="246">
        <f>TblMili[[#This Row],[Hour]]</f>
        <v>88</v>
      </c>
      <c r="AF91" s="138">
        <f ca="1">TblExplore[[#This Row],[Time]]</f>
        <v>46183.624999999789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46183.624999999789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315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TblMili[[#This Row],[Mystic]]*2</f>
        <v>4</v>
      </c>
      <c r="CR91" s="251">
        <f ca="1">TblMili[[#This Row],[Druid (op)]]*2</f>
        <v>4</v>
      </c>
      <c r="CS91" s="94">
        <f ca="1">TblMili[[#This Row],[Mystic bonus]]*TblMili[[#This Row],[Unit 3]]+TblMili[[#This Row],[Druid bonus]]*TblMili[[#This Row],[Unit 4]]</f>
        <v>0</v>
      </c>
      <c r="CT91" s="155">
        <f ca="1">TblMili[[#This Row],[Dryad]]*2</f>
        <v>5.9999999999999991</v>
      </c>
      <c r="CU91" s="94">
        <f ca="1">sylvan*(TblMili[[#This Row],[Mystic bonus]]*TblMili[[#This Row],[Unit 3]])</f>
        <v>0</v>
      </c>
      <c r="CV91" s="155">
        <f ca="1">TblMili[[#This Row],[Rockapult]]*2</f>
        <v>4</v>
      </c>
      <c r="CW91" s="94">
        <f ca="1">gnome*(TblMili[[#This Row],[Rockapult bonus]]*TblMili[[#This Row],[Unit 3]])</f>
        <v>0</v>
      </c>
      <c r="CX91" s="155">
        <f ca="1">TblMili[[#This Row],[Adept-DP]]*2</f>
        <v>0</v>
      </c>
      <c r="CY91" s="94">
        <f ca="1">dark_elf*(TblMili[[#This Row],[Adept bonus]]*TblMili[[#This Row],[Unit 3]])</f>
        <v>0</v>
      </c>
      <c r="CZ91" s="155">
        <f ca="1">TblMili[[#This Row],[Frost Mage]]*2</f>
        <v>5.9999999999999991</v>
      </c>
      <c r="DA91" s="155">
        <f ca="1">TblMili[[#This Row],[Ice Elemental]]*2</f>
        <v>0</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92" s="154"/>
      <c r="AC92" s="180">
        <f ca="1">(TblConstr[[#This Row],[Tot Smi]]+TblConstr[[#This Row],[Dest Smi]])/(TblConstr[[#This Row],[Land]]-TblExplore[[#This Row],[Land Bonus]]*20)</f>
        <v>0</v>
      </c>
      <c r="AD92" s="137"/>
      <c r="AE92" s="246">
        <f>TblMili[[#This Row],[Hour]]</f>
        <v>89</v>
      </c>
      <c r="AF92" s="138">
        <f ca="1">TblExplore[[#This Row],[Time]]</f>
        <v>46183.666666666453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46183.666666666453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315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TblMili[[#This Row],[Mystic]]*2</f>
        <v>4</v>
      </c>
      <c r="CR92" s="251">
        <f ca="1">TblMili[[#This Row],[Druid (op)]]*2</f>
        <v>4</v>
      </c>
      <c r="CS92" s="94">
        <f ca="1">TblMili[[#This Row],[Mystic bonus]]*TblMili[[#This Row],[Unit 3]]+TblMili[[#This Row],[Druid bonus]]*TblMili[[#This Row],[Unit 4]]</f>
        <v>0</v>
      </c>
      <c r="CT92" s="155">
        <f ca="1">TblMili[[#This Row],[Dryad]]*2</f>
        <v>5.9999999999999991</v>
      </c>
      <c r="CU92" s="94">
        <f ca="1">sylvan*(TblMili[[#This Row],[Mystic bonus]]*TblMili[[#This Row],[Unit 3]])</f>
        <v>0</v>
      </c>
      <c r="CV92" s="155">
        <f ca="1">TblMili[[#This Row],[Rockapult]]*2</f>
        <v>4</v>
      </c>
      <c r="CW92" s="94">
        <f ca="1">gnome*(TblMili[[#This Row],[Rockapult bonus]]*TblMili[[#This Row],[Unit 3]])</f>
        <v>0</v>
      </c>
      <c r="CX92" s="155">
        <f ca="1">TblMili[[#This Row],[Adept-DP]]*2</f>
        <v>0</v>
      </c>
      <c r="CY92" s="94">
        <f ca="1">dark_elf*(TblMili[[#This Row],[Adept bonus]]*TblMili[[#This Row],[Unit 3]])</f>
        <v>0</v>
      </c>
      <c r="CZ92" s="155">
        <f ca="1">TblMili[[#This Row],[Frost Mage]]*2</f>
        <v>5.9999999999999991</v>
      </c>
      <c r="DA92" s="155">
        <f ca="1">TblMili[[#This Row],[Ice Elemental]]*2</f>
        <v>0</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93" s="154"/>
      <c r="AC93" s="180">
        <f ca="1">(TblConstr[[#This Row],[Tot Smi]]+TblConstr[[#This Row],[Dest Smi]])/(TblConstr[[#This Row],[Land]]-TblExplore[[#This Row],[Land Bonus]]*20)</f>
        <v>0</v>
      </c>
      <c r="AD93" s="137"/>
      <c r="AE93" s="246">
        <f>TblMili[[#This Row],[Hour]]</f>
        <v>90</v>
      </c>
      <c r="AF93" s="138">
        <f ca="1">TblExplore[[#This Row],[Time]]</f>
        <v>46183.708333333117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46183.708333333117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315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TblMili[[#This Row],[Mystic]]*2</f>
        <v>4</v>
      </c>
      <c r="CR93" s="251">
        <f ca="1">TblMili[[#This Row],[Druid (op)]]*2</f>
        <v>4</v>
      </c>
      <c r="CS93" s="94">
        <f ca="1">TblMili[[#This Row],[Mystic bonus]]*TblMili[[#This Row],[Unit 3]]+TblMili[[#This Row],[Druid bonus]]*TblMili[[#This Row],[Unit 4]]</f>
        <v>0</v>
      </c>
      <c r="CT93" s="155">
        <f ca="1">TblMili[[#This Row],[Dryad]]*2</f>
        <v>5.9999999999999991</v>
      </c>
      <c r="CU93" s="94">
        <f ca="1">sylvan*(TblMili[[#This Row],[Mystic bonus]]*TblMili[[#This Row],[Unit 3]])</f>
        <v>0</v>
      </c>
      <c r="CV93" s="155">
        <f ca="1">TblMili[[#This Row],[Rockapult]]*2</f>
        <v>4</v>
      </c>
      <c r="CW93" s="94">
        <f ca="1">gnome*(TblMili[[#This Row],[Rockapult bonus]]*TblMili[[#This Row],[Unit 3]])</f>
        <v>0</v>
      </c>
      <c r="CX93" s="155">
        <f ca="1">TblMili[[#This Row],[Adept-DP]]*2</f>
        <v>0</v>
      </c>
      <c r="CY93" s="94">
        <f ca="1">dark_elf*(TblMili[[#This Row],[Adept bonus]]*TblMili[[#This Row],[Unit 3]])</f>
        <v>0</v>
      </c>
      <c r="CZ93" s="155">
        <f ca="1">TblMili[[#This Row],[Frost Mage]]*2</f>
        <v>5.9999999999999991</v>
      </c>
      <c r="DA93" s="155">
        <f ca="1">TblMili[[#This Row],[Ice Elemental]]*2</f>
        <v>0</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94" s="154"/>
      <c r="AC94" s="180">
        <f ca="1">(TblConstr[[#This Row],[Tot Smi]]+TblConstr[[#This Row],[Dest Smi]])/(TblConstr[[#This Row],[Land]]-TblExplore[[#This Row],[Land Bonus]]*20)</f>
        <v>0</v>
      </c>
      <c r="AD94" s="137"/>
      <c r="AE94" s="246">
        <f>TblMili[[#This Row],[Hour]]</f>
        <v>91</v>
      </c>
      <c r="AF94" s="138">
        <f ca="1">TblExplore[[#This Row],[Time]]</f>
        <v>46183.749999999782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46183.749999999782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315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TblMili[[#This Row],[Mystic]]*2</f>
        <v>4</v>
      </c>
      <c r="CR94" s="251">
        <f ca="1">TblMili[[#This Row],[Druid (op)]]*2</f>
        <v>4</v>
      </c>
      <c r="CS94" s="94">
        <f ca="1">TblMili[[#This Row],[Mystic bonus]]*TblMili[[#This Row],[Unit 3]]+TblMili[[#This Row],[Druid bonus]]*TblMili[[#This Row],[Unit 4]]</f>
        <v>0</v>
      </c>
      <c r="CT94" s="155">
        <f ca="1">TblMili[[#This Row],[Dryad]]*2</f>
        <v>5.9999999999999991</v>
      </c>
      <c r="CU94" s="94">
        <f ca="1">sylvan*(TblMili[[#This Row],[Mystic bonus]]*TblMili[[#This Row],[Unit 3]])</f>
        <v>0</v>
      </c>
      <c r="CV94" s="155">
        <f ca="1">TblMili[[#This Row],[Rockapult]]*2</f>
        <v>4</v>
      </c>
      <c r="CW94" s="94">
        <f ca="1">gnome*(TblMili[[#This Row],[Rockapult bonus]]*TblMili[[#This Row],[Unit 3]])</f>
        <v>0</v>
      </c>
      <c r="CX94" s="155">
        <f ca="1">TblMili[[#This Row],[Adept-DP]]*2</f>
        <v>0</v>
      </c>
      <c r="CY94" s="94">
        <f ca="1">dark_elf*(TblMili[[#This Row],[Adept bonus]]*TblMili[[#This Row],[Unit 3]])</f>
        <v>0</v>
      </c>
      <c r="CZ94" s="155">
        <f ca="1">TblMili[[#This Row],[Frost Mage]]*2</f>
        <v>5.9999999999999991</v>
      </c>
      <c r="DA94" s="155">
        <f ca="1">TblMili[[#This Row],[Ice Elemental]]*2</f>
        <v>0</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95" s="154"/>
      <c r="AC95" s="180">
        <f ca="1">(TblConstr[[#This Row],[Tot Smi]]+TblConstr[[#This Row],[Dest Smi]])/(TblConstr[[#This Row],[Land]]-TblExplore[[#This Row],[Land Bonus]]*20)</f>
        <v>0</v>
      </c>
      <c r="AD95" s="137"/>
      <c r="AE95" s="246">
        <f>TblMili[[#This Row],[Hour]]</f>
        <v>92</v>
      </c>
      <c r="AF95" s="138">
        <f ca="1">TblExplore[[#This Row],[Time]]</f>
        <v>46183.791666666446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46183.791666666446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315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TblMili[[#This Row],[Mystic]]*2</f>
        <v>4</v>
      </c>
      <c r="CR95" s="251">
        <f ca="1">TblMili[[#This Row],[Druid (op)]]*2</f>
        <v>4</v>
      </c>
      <c r="CS95" s="94">
        <f ca="1">TblMili[[#This Row],[Mystic bonus]]*TblMili[[#This Row],[Unit 3]]+TblMili[[#This Row],[Druid bonus]]*TblMili[[#This Row],[Unit 4]]</f>
        <v>0</v>
      </c>
      <c r="CT95" s="155">
        <f ca="1">TblMili[[#This Row],[Dryad]]*2</f>
        <v>5.9999999999999991</v>
      </c>
      <c r="CU95" s="94">
        <f ca="1">sylvan*(TblMili[[#This Row],[Mystic bonus]]*TblMili[[#This Row],[Unit 3]])</f>
        <v>0</v>
      </c>
      <c r="CV95" s="155">
        <f ca="1">TblMili[[#This Row],[Rockapult]]*2</f>
        <v>4</v>
      </c>
      <c r="CW95" s="94">
        <f ca="1">gnome*(TblMili[[#This Row],[Rockapult bonus]]*TblMili[[#This Row],[Unit 3]])</f>
        <v>0</v>
      </c>
      <c r="CX95" s="155">
        <f ca="1">TblMili[[#This Row],[Adept-DP]]*2</f>
        <v>0</v>
      </c>
      <c r="CY95" s="94">
        <f ca="1">dark_elf*(TblMili[[#This Row],[Adept bonus]]*TblMili[[#This Row],[Unit 3]])</f>
        <v>0</v>
      </c>
      <c r="CZ95" s="155">
        <f ca="1">TblMili[[#This Row],[Frost Mage]]*2</f>
        <v>5.9999999999999991</v>
      </c>
      <c r="DA95" s="155">
        <f ca="1">TblMili[[#This Row],[Ice Elemental]]*2</f>
        <v>0</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96" s="154"/>
      <c r="AC96" s="180">
        <f ca="1">(TblConstr[[#This Row],[Tot Smi]]+TblConstr[[#This Row],[Dest Smi]])/(TblConstr[[#This Row],[Land]]-TblExplore[[#This Row],[Land Bonus]]*20)</f>
        <v>0</v>
      </c>
      <c r="AD96" s="137"/>
      <c r="AE96" s="246">
        <f>TblMili[[#This Row],[Hour]]</f>
        <v>93</v>
      </c>
      <c r="AF96" s="138">
        <f ca="1">TblExplore[[#This Row],[Time]]</f>
        <v>46183.83333333311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46183.83333333311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315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TblMili[[#This Row],[Mystic]]*2</f>
        <v>4</v>
      </c>
      <c r="CR96" s="251">
        <f ca="1">TblMili[[#This Row],[Druid (op)]]*2</f>
        <v>4</v>
      </c>
      <c r="CS96" s="94">
        <f ca="1">TblMili[[#This Row],[Mystic bonus]]*TblMili[[#This Row],[Unit 3]]+TblMili[[#This Row],[Druid bonus]]*TblMili[[#This Row],[Unit 4]]</f>
        <v>0</v>
      </c>
      <c r="CT96" s="155">
        <f ca="1">TblMili[[#This Row],[Dryad]]*2</f>
        <v>5.9999999999999991</v>
      </c>
      <c r="CU96" s="94">
        <f ca="1">sylvan*(TblMili[[#This Row],[Mystic bonus]]*TblMili[[#This Row],[Unit 3]])</f>
        <v>0</v>
      </c>
      <c r="CV96" s="155">
        <f ca="1">TblMili[[#This Row],[Rockapult]]*2</f>
        <v>4</v>
      </c>
      <c r="CW96" s="94">
        <f ca="1">gnome*(TblMili[[#This Row],[Rockapult bonus]]*TblMili[[#This Row],[Unit 3]])</f>
        <v>0</v>
      </c>
      <c r="CX96" s="155">
        <f ca="1">TblMili[[#This Row],[Adept-DP]]*2</f>
        <v>0</v>
      </c>
      <c r="CY96" s="94">
        <f ca="1">dark_elf*(TblMili[[#This Row],[Adept bonus]]*TblMili[[#This Row],[Unit 3]])</f>
        <v>0</v>
      </c>
      <c r="CZ96" s="155">
        <f ca="1">TblMili[[#This Row],[Frost Mage]]*2</f>
        <v>5.9999999999999991</v>
      </c>
      <c r="DA96" s="155">
        <f ca="1">TblMili[[#This Row],[Ice Elemental]]*2</f>
        <v>0</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97" s="154"/>
      <c r="AC97" s="180">
        <f ca="1">(TblConstr[[#This Row],[Tot Smi]]+TblConstr[[#This Row],[Dest Smi]])/(TblConstr[[#This Row],[Land]]-TblExplore[[#This Row],[Land Bonus]]*20)</f>
        <v>0</v>
      </c>
      <c r="AD97" s="137"/>
      <c r="AE97" s="246">
        <f>TblMili[[#This Row],[Hour]]</f>
        <v>94</v>
      </c>
      <c r="AF97" s="138">
        <f ca="1">TblExplore[[#This Row],[Time]]</f>
        <v>46183.874999999774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46183.874999999774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315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TblMili[[#This Row],[Mystic]]*2</f>
        <v>4</v>
      </c>
      <c r="CR97" s="251">
        <f ca="1">TblMili[[#This Row],[Druid (op)]]*2</f>
        <v>4</v>
      </c>
      <c r="CS97" s="94">
        <f ca="1">TblMili[[#This Row],[Mystic bonus]]*TblMili[[#This Row],[Unit 3]]+TblMili[[#This Row],[Druid bonus]]*TblMili[[#This Row],[Unit 4]]</f>
        <v>0</v>
      </c>
      <c r="CT97" s="155">
        <f ca="1">TblMili[[#This Row],[Dryad]]*2</f>
        <v>5.9999999999999991</v>
      </c>
      <c r="CU97" s="94">
        <f ca="1">sylvan*(TblMili[[#This Row],[Mystic bonus]]*TblMili[[#This Row],[Unit 3]])</f>
        <v>0</v>
      </c>
      <c r="CV97" s="155">
        <f ca="1">TblMili[[#This Row],[Rockapult]]*2</f>
        <v>4</v>
      </c>
      <c r="CW97" s="94">
        <f ca="1">gnome*(TblMili[[#This Row],[Rockapult bonus]]*TblMili[[#This Row],[Unit 3]])</f>
        <v>0</v>
      </c>
      <c r="CX97" s="155">
        <f ca="1">TblMili[[#This Row],[Adept-DP]]*2</f>
        <v>0</v>
      </c>
      <c r="CY97" s="94">
        <f ca="1">dark_elf*(TblMili[[#This Row],[Adept bonus]]*TblMili[[#This Row],[Unit 3]])</f>
        <v>0</v>
      </c>
      <c r="CZ97" s="155">
        <f ca="1">TblMili[[#This Row],[Frost Mage]]*2</f>
        <v>5.9999999999999991</v>
      </c>
      <c r="DA97" s="155">
        <f ca="1">TblMili[[#This Row],[Ice Elemental]]*2</f>
        <v>0</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98" s="154"/>
      <c r="AC98" s="180">
        <f ca="1">(TblConstr[[#This Row],[Tot Smi]]+TblConstr[[#This Row],[Dest Smi]])/(TblConstr[[#This Row],[Land]]-TblExplore[[#This Row],[Land Bonus]]*20)</f>
        <v>0</v>
      </c>
      <c r="AD98" s="137"/>
      <c r="AE98" s="246">
        <f>TblMili[[#This Row],[Hour]]</f>
        <v>95</v>
      </c>
      <c r="AF98" s="138">
        <f ca="1">TblExplore[[#This Row],[Time]]</f>
        <v>46183.916666666439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46183.916666666439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315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TblMili[[#This Row],[Mystic]]*2</f>
        <v>4</v>
      </c>
      <c r="CR98" s="251">
        <f ca="1">TblMili[[#This Row],[Druid (op)]]*2</f>
        <v>4</v>
      </c>
      <c r="CS98" s="94">
        <f ca="1">TblMili[[#This Row],[Mystic bonus]]*TblMili[[#This Row],[Unit 3]]+TblMili[[#This Row],[Druid bonus]]*TblMili[[#This Row],[Unit 4]]</f>
        <v>0</v>
      </c>
      <c r="CT98" s="155">
        <f ca="1">TblMili[[#This Row],[Dryad]]*2</f>
        <v>5.9999999999999991</v>
      </c>
      <c r="CU98" s="94">
        <f ca="1">sylvan*(TblMili[[#This Row],[Mystic bonus]]*TblMili[[#This Row],[Unit 3]])</f>
        <v>0</v>
      </c>
      <c r="CV98" s="155">
        <f ca="1">TblMili[[#This Row],[Rockapult]]*2</f>
        <v>4</v>
      </c>
      <c r="CW98" s="94">
        <f ca="1">gnome*(TblMili[[#This Row],[Rockapult bonus]]*TblMili[[#This Row],[Unit 3]])</f>
        <v>0</v>
      </c>
      <c r="CX98" s="155">
        <f ca="1">TblMili[[#This Row],[Adept-DP]]*2</f>
        <v>0</v>
      </c>
      <c r="CY98" s="94">
        <f ca="1">dark_elf*(TblMili[[#This Row],[Adept bonus]]*TblMili[[#This Row],[Unit 3]])</f>
        <v>0</v>
      </c>
      <c r="CZ98" s="155">
        <f ca="1">TblMili[[#This Row],[Frost Mage]]*2</f>
        <v>5.9999999999999991</v>
      </c>
      <c r="DA98" s="155">
        <f ca="1">TblMili[[#This Row],[Ice Elemental]]*2</f>
        <v>0</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99" s="154"/>
      <c r="AC99" s="180">
        <f ca="1">(TblConstr[[#This Row],[Tot Smi]]+TblConstr[[#This Row],[Dest Smi]])/(TblConstr[[#This Row],[Land]]-TblExplore[[#This Row],[Land Bonus]]*20)</f>
        <v>0</v>
      </c>
      <c r="AD99" s="137"/>
      <c r="AE99" s="246">
        <f>TblMili[[#This Row],[Hour]]</f>
        <v>96</v>
      </c>
      <c r="AF99" s="138">
        <f ca="1">TblExplore[[#This Row],[Time]]</f>
        <v>46183.958333333103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46183.958333333103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315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TblMili[[#This Row],[Mystic]]*2</f>
        <v>4</v>
      </c>
      <c r="CR99" s="251">
        <f ca="1">TblMili[[#This Row],[Druid (op)]]*2</f>
        <v>4</v>
      </c>
      <c r="CS99" s="94">
        <f ca="1">TblMili[[#This Row],[Mystic bonus]]*TblMili[[#This Row],[Unit 3]]+TblMili[[#This Row],[Druid bonus]]*TblMili[[#This Row],[Unit 4]]</f>
        <v>0</v>
      </c>
      <c r="CT99" s="155">
        <f ca="1">TblMili[[#This Row],[Dryad]]*2</f>
        <v>5.9999999999999991</v>
      </c>
      <c r="CU99" s="94">
        <f ca="1">sylvan*(TblMili[[#This Row],[Mystic bonus]]*TblMili[[#This Row],[Unit 3]])</f>
        <v>0</v>
      </c>
      <c r="CV99" s="155">
        <f ca="1">TblMili[[#This Row],[Rockapult]]*2</f>
        <v>4</v>
      </c>
      <c r="CW99" s="94">
        <f ca="1">gnome*(TblMili[[#This Row],[Rockapult bonus]]*TblMili[[#This Row],[Unit 3]])</f>
        <v>0</v>
      </c>
      <c r="CX99" s="155">
        <f ca="1">TblMili[[#This Row],[Adept-DP]]*2</f>
        <v>0</v>
      </c>
      <c r="CY99" s="94">
        <f ca="1">dark_elf*(TblMili[[#This Row],[Adept bonus]]*TblMili[[#This Row],[Unit 3]])</f>
        <v>0</v>
      </c>
      <c r="CZ99" s="155">
        <f ca="1">TblMili[[#This Row],[Frost Mage]]*2</f>
        <v>5.9999999999999991</v>
      </c>
      <c r="DA99" s="155">
        <f ca="1">TblMili[[#This Row],[Ice Elemental]]*2</f>
        <v>0</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00" s="154"/>
      <c r="AC100" s="180">
        <f ca="1">(TblConstr[[#This Row],[Tot Smi]]+TblConstr[[#This Row],[Dest Smi]])/(TblConstr[[#This Row],[Land]]-TblExplore[[#This Row],[Land Bonus]]*20)</f>
        <v>0</v>
      </c>
      <c r="AD100" s="137"/>
      <c r="AE100" s="246">
        <f>TblMili[[#This Row],[Hour]]</f>
        <v>97</v>
      </c>
      <c r="AF100" s="138">
        <f ca="1">TblExplore[[#This Row],[Time]]</f>
        <v>46183.999999999767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46183.999999999767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315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TblMili[[#This Row],[Mystic]]*2</f>
        <v>4</v>
      </c>
      <c r="CR100" s="251">
        <f ca="1">TblMili[[#This Row],[Druid (op)]]*2</f>
        <v>4</v>
      </c>
      <c r="CS100" s="94">
        <f ca="1">TblMili[[#This Row],[Mystic bonus]]*TblMili[[#This Row],[Unit 3]]+TblMili[[#This Row],[Druid bonus]]*TblMili[[#This Row],[Unit 4]]</f>
        <v>0</v>
      </c>
      <c r="CT100" s="155">
        <f ca="1">TblMili[[#This Row],[Dryad]]*2</f>
        <v>5.9999999999999991</v>
      </c>
      <c r="CU100" s="94">
        <f ca="1">sylvan*(TblMili[[#This Row],[Mystic bonus]]*TblMili[[#This Row],[Unit 3]])</f>
        <v>0</v>
      </c>
      <c r="CV100" s="155">
        <f ca="1">TblMili[[#This Row],[Rockapult]]*2</f>
        <v>4</v>
      </c>
      <c r="CW100" s="94">
        <f ca="1">gnome*(TblMili[[#This Row],[Rockapult bonus]]*TblMili[[#This Row],[Unit 3]])</f>
        <v>0</v>
      </c>
      <c r="CX100" s="155">
        <f ca="1">TblMili[[#This Row],[Adept-DP]]*2</f>
        <v>0</v>
      </c>
      <c r="CY100" s="94">
        <f ca="1">dark_elf*(TblMili[[#This Row],[Adept bonus]]*TblMili[[#This Row],[Unit 3]])</f>
        <v>0</v>
      </c>
      <c r="CZ100" s="155">
        <f ca="1">TblMili[[#This Row],[Frost Mage]]*2</f>
        <v>5.9999999999999991</v>
      </c>
      <c r="DA100" s="155">
        <f ca="1">TblMili[[#This Row],[Ice Elemental]]*2</f>
        <v>0</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01" s="154"/>
      <c r="AC101" s="180">
        <f ca="1">(TblConstr[[#This Row],[Tot Smi]]+TblConstr[[#This Row],[Dest Smi]])/(TblConstr[[#This Row],[Land]]-TblExplore[[#This Row],[Land Bonus]]*20)</f>
        <v>0</v>
      </c>
      <c r="AD101" s="137"/>
      <c r="AE101" s="246">
        <f>TblMili[[#This Row],[Hour]]</f>
        <v>98</v>
      </c>
      <c r="AF101" s="138">
        <f ca="1">TblExplore[[#This Row],[Time]]</f>
        <v>46184.041666666431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46184.041666666431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315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TblMili[[#This Row],[Mystic]]*2</f>
        <v>4</v>
      </c>
      <c r="CR101" s="251">
        <f ca="1">TblMili[[#This Row],[Druid (op)]]*2</f>
        <v>4</v>
      </c>
      <c r="CS101" s="94">
        <f ca="1">TblMili[[#This Row],[Mystic bonus]]*TblMili[[#This Row],[Unit 3]]+TblMili[[#This Row],[Druid bonus]]*TblMili[[#This Row],[Unit 4]]</f>
        <v>0</v>
      </c>
      <c r="CT101" s="155">
        <f ca="1">TblMili[[#This Row],[Dryad]]*2</f>
        <v>5.9999999999999991</v>
      </c>
      <c r="CU101" s="94">
        <f ca="1">sylvan*(TblMili[[#This Row],[Mystic bonus]]*TblMili[[#This Row],[Unit 3]])</f>
        <v>0</v>
      </c>
      <c r="CV101" s="155">
        <f ca="1">TblMili[[#This Row],[Rockapult]]*2</f>
        <v>4</v>
      </c>
      <c r="CW101" s="94">
        <f ca="1">gnome*(TblMili[[#This Row],[Rockapult bonus]]*TblMili[[#This Row],[Unit 3]])</f>
        <v>0</v>
      </c>
      <c r="CX101" s="155">
        <f ca="1">TblMili[[#This Row],[Adept-DP]]*2</f>
        <v>0</v>
      </c>
      <c r="CY101" s="94">
        <f ca="1">dark_elf*(TblMili[[#This Row],[Adept bonus]]*TblMili[[#This Row],[Unit 3]])</f>
        <v>0</v>
      </c>
      <c r="CZ101" s="155">
        <f ca="1">TblMili[[#This Row],[Frost Mage]]*2</f>
        <v>5.9999999999999991</v>
      </c>
      <c r="DA101" s="155">
        <f ca="1">TblMili[[#This Row],[Ice Elemental]]*2</f>
        <v>0</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02" s="154"/>
      <c r="AC102" s="180">
        <f ca="1">(TblConstr[[#This Row],[Tot Smi]]+TblConstr[[#This Row],[Dest Smi]])/(TblConstr[[#This Row],[Land]]-TblExplore[[#This Row],[Land Bonus]]*20)</f>
        <v>0</v>
      </c>
      <c r="AD102" s="137"/>
      <c r="AE102" s="246">
        <f>TblMili[[#This Row],[Hour]]</f>
        <v>99</v>
      </c>
      <c r="AF102" s="138">
        <f ca="1">TblExplore[[#This Row],[Time]]</f>
        <v>46184.083333333096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46184.083333333096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315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TblMili[[#This Row],[Mystic]]*2</f>
        <v>4</v>
      </c>
      <c r="CR102" s="251">
        <f ca="1">TblMili[[#This Row],[Druid (op)]]*2</f>
        <v>4</v>
      </c>
      <c r="CS102" s="94">
        <f ca="1">TblMili[[#This Row],[Mystic bonus]]*TblMili[[#This Row],[Unit 3]]+TblMili[[#This Row],[Druid bonus]]*TblMili[[#This Row],[Unit 4]]</f>
        <v>0</v>
      </c>
      <c r="CT102" s="155">
        <f ca="1">TblMili[[#This Row],[Dryad]]*2</f>
        <v>5.9999999999999991</v>
      </c>
      <c r="CU102" s="94">
        <f ca="1">sylvan*(TblMili[[#This Row],[Mystic bonus]]*TblMili[[#This Row],[Unit 3]])</f>
        <v>0</v>
      </c>
      <c r="CV102" s="155">
        <f ca="1">TblMili[[#This Row],[Rockapult]]*2</f>
        <v>4</v>
      </c>
      <c r="CW102" s="94">
        <f ca="1">gnome*(TblMili[[#This Row],[Rockapult bonus]]*TblMili[[#This Row],[Unit 3]])</f>
        <v>0</v>
      </c>
      <c r="CX102" s="155">
        <f ca="1">TblMili[[#This Row],[Adept-DP]]*2</f>
        <v>0</v>
      </c>
      <c r="CY102" s="94">
        <f ca="1">dark_elf*(TblMili[[#This Row],[Adept bonus]]*TblMili[[#This Row],[Unit 3]])</f>
        <v>0</v>
      </c>
      <c r="CZ102" s="155">
        <f ca="1">TblMili[[#This Row],[Frost Mage]]*2</f>
        <v>5.9999999999999991</v>
      </c>
      <c r="DA102" s="155">
        <f ca="1">TblMili[[#This Row],[Ice Elemental]]*2</f>
        <v>0</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03" s="154"/>
      <c r="AC103" s="180">
        <f ca="1">(TblConstr[[#This Row],[Tot Smi]]+TblConstr[[#This Row],[Dest Smi]])/(TblConstr[[#This Row],[Land]]-TblExplore[[#This Row],[Land Bonus]]*20)</f>
        <v>0</v>
      </c>
      <c r="AD103" s="137"/>
      <c r="AE103" s="246">
        <f>TblMili[[#This Row],[Hour]]</f>
        <v>100</v>
      </c>
      <c r="AF103" s="138">
        <f ca="1">TblExplore[[#This Row],[Time]]</f>
        <v>46184.12499999976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46184.12499999976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315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TblMili[[#This Row],[Mystic]]*2</f>
        <v>4</v>
      </c>
      <c r="CR103" s="251">
        <f ca="1">TblMili[[#This Row],[Druid (op)]]*2</f>
        <v>4</v>
      </c>
      <c r="CS103" s="94">
        <f ca="1">TblMili[[#This Row],[Mystic bonus]]*TblMili[[#This Row],[Unit 3]]+TblMili[[#This Row],[Druid bonus]]*TblMili[[#This Row],[Unit 4]]</f>
        <v>0</v>
      </c>
      <c r="CT103" s="155">
        <f ca="1">TblMili[[#This Row],[Dryad]]*2</f>
        <v>5.9999999999999991</v>
      </c>
      <c r="CU103" s="94">
        <f ca="1">sylvan*(TblMili[[#This Row],[Mystic bonus]]*TblMili[[#This Row],[Unit 3]])</f>
        <v>0</v>
      </c>
      <c r="CV103" s="155">
        <f ca="1">TblMili[[#This Row],[Rockapult]]*2</f>
        <v>4</v>
      </c>
      <c r="CW103" s="94">
        <f ca="1">gnome*(TblMili[[#This Row],[Rockapult bonus]]*TblMili[[#This Row],[Unit 3]])</f>
        <v>0</v>
      </c>
      <c r="CX103" s="155">
        <f ca="1">TblMili[[#This Row],[Adept-DP]]*2</f>
        <v>0</v>
      </c>
      <c r="CY103" s="94">
        <f ca="1">dark_elf*(TblMili[[#This Row],[Adept bonus]]*TblMili[[#This Row],[Unit 3]])</f>
        <v>0</v>
      </c>
      <c r="CZ103" s="155">
        <f ca="1">TblMili[[#This Row],[Frost Mage]]*2</f>
        <v>5.9999999999999991</v>
      </c>
      <c r="DA103" s="155">
        <f ca="1">TblMili[[#This Row],[Ice Elemental]]*2</f>
        <v>0</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04" s="154"/>
      <c r="AC104" s="180">
        <f ca="1">(TblConstr[[#This Row],[Tot Smi]]+TblConstr[[#This Row],[Dest Smi]])/(TblConstr[[#This Row],[Land]]-TblExplore[[#This Row],[Land Bonus]]*20)</f>
        <v>0</v>
      </c>
      <c r="AD104" s="137"/>
      <c r="AE104" s="246">
        <f>TblMili[[#This Row],[Hour]]</f>
        <v>101</v>
      </c>
      <c r="AF104" s="138">
        <f ca="1">TblExplore[[#This Row],[Time]]</f>
        <v>46184.166666666424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46184.166666666424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315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TblMili[[#This Row],[Mystic]]*2</f>
        <v>4</v>
      </c>
      <c r="CR104" s="251">
        <f ca="1">TblMili[[#This Row],[Druid (op)]]*2</f>
        <v>4</v>
      </c>
      <c r="CS104" s="94">
        <f ca="1">TblMili[[#This Row],[Mystic bonus]]*TblMili[[#This Row],[Unit 3]]+TblMili[[#This Row],[Druid bonus]]*TblMili[[#This Row],[Unit 4]]</f>
        <v>0</v>
      </c>
      <c r="CT104" s="155">
        <f ca="1">TblMili[[#This Row],[Dryad]]*2</f>
        <v>5.9999999999999991</v>
      </c>
      <c r="CU104" s="94">
        <f ca="1">sylvan*(TblMili[[#This Row],[Mystic bonus]]*TblMili[[#This Row],[Unit 3]])</f>
        <v>0</v>
      </c>
      <c r="CV104" s="155">
        <f ca="1">TblMili[[#This Row],[Rockapult]]*2</f>
        <v>4</v>
      </c>
      <c r="CW104" s="94">
        <f ca="1">gnome*(TblMili[[#This Row],[Rockapult bonus]]*TblMili[[#This Row],[Unit 3]])</f>
        <v>0</v>
      </c>
      <c r="CX104" s="155">
        <f ca="1">TblMili[[#This Row],[Adept-DP]]*2</f>
        <v>0</v>
      </c>
      <c r="CY104" s="94">
        <f ca="1">dark_elf*(TblMili[[#This Row],[Adept bonus]]*TblMili[[#This Row],[Unit 3]])</f>
        <v>0</v>
      </c>
      <c r="CZ104" s="155">
        <f ca="1">TblMili[[#This Row],[Frost Mage]]*2</f>
        <v>5.9999999999999991</v>
      </c>
      <c r="DA104" s="155">
        <f ca="1">TblMili[[#This Row],[Ice Elemental]]*2</f>
        <v>0</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05" s="154"/>
      <c r="AC105" s="180">
        <f ca="1">(TblConstr[[#This Row],[Tot Smi]]+TblConstr[[#This Row],[Dest Smi]])/(TblConstr[[#This Row],[Land]]-TblExplore[[#This Row],[Land Bonus]]*20)</f>
        <v>0</v>
      </c>
      <c r="AD105" s="137"/>
      <c r="AE105" s="246">
        <f>TblMili[[#This Row],[Hour]]</f>
        <v>102</v>
      </c>
      <c r="AF105" s="138">
        <f ca="1">TblExplore[[#This Row],[Time]]</f>
        <v>46184.208333333088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46184.208333333088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315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TblMili[[#This Row],[Mystic]]*2</f>
        <v>4</v>
      </c>
      <c r="CR105" s="251">
        <f ca="1">TblMili[[#This Row],[Druid (op)]]*2</f>
        <v>4</v>
      </c>
      <c r="CS105" s="94">
        <f ca="1">TblMili[[#This Row],[Mystic bonus]]*TblMili[[#This Row],[Unit 3]]+TblMili[[#This Row],[Druid bonus]]*TblMili[[#This Row],[Unit 4]]</f>
        <v>0</v>
      </c>
      <c r="CT105" s="155">
        <f ca="1">TblMili[[#This Row],[Dryad]]*2</f>
        <v>5.9999999999999991</v>
      </c>
      <c r="CU105" s="94">
        <f ca="1">sylvan*(TblMili[[#This Row],[Mystic bonus]]*TblMili[[#This Row],[Unit 3]])</f>
        <v>0</v>
      </c>
      <c r="CV105" s="155">
        <f ca="1">TblMili[[#This Row],[Rockapult]]*2</f>
        <v>4</v>
      </c>
      <c r="CW105" s="94">
        <f ca="1">gnome*(TblMili[[#This Row],[Rockapult bonus]]*TblMili[[#This Row],[Unit 3]])</f>
        <v>0</v>
      </c>
      <c r="CX105" s="155">
        <f ca="1">TblMili[[#This Row],[Adept-DP]]*2</f>
        <v>0</v>
      </c>
      <c r="CY105" s="94">
        <f ca="1">dark_elf*(TblMili[[#This Row],[Adept bonus]]*TblMili[[#This Row],[Unit 3]])</f>
        <v>0</v>
      </c>
      <c r="CZ105" s="155">
        <f ca="1">TblMili[[#This Row],[Frost Mage]]*2</f>
        <v>5.9999999999999991</v>
      </c>
      <c r="DA105" s="155">
        <f ca="1">TblMili[[#This Row],[Ice Elemental]]*2</f>
        <v>0</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06" s="154"/>
      <c r="AC106" s="180">
        <f ca="1">(TblConstr[[#This Row],[Tot Smi]]+TblConstr[[#This Row],[Dest Smi]])/(TblConstr[[#This Row],[Land]]-TblExplore[[#This Row],[Land Bonus]]*20)</f>
        <v>0</v>
      </c>
      <c r="AD106" s="137"/>
      <c r="AE106" s="246">
        <f>TblMili[[#This Row],[Hour]]</f>
        <v>103</v>
      </c>
      <c r="AF106" s="138">
        <f ca="1">TblExplore[[#This Row],[Time]]</f>
        <v>46184.249999999753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46184.249999999753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315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TblMili[[#This Row],[Mystic]]*2</f>
        <v>4</v>
      </c>
      <c r="CR106" s="251">
        <f ca="1">TblMili[[#This Row],[Druid (op)]]*2</f>
        <v>4</v>
      </c>
      <c r="CS106" s="94">
        <f ca="1">TblMili[[#This Row],[Mystic bonus]]*TblMili[[#This Row],[Unit 3]]+TblMili[[#This Row],[Druid bonus]]*TblMili[[#This Row],[Unit 4]]</f>
        <v>0</v>
      </c>
      <c r="CT106" s="155">
        <f ca="1">TblMili[[#This Row],[Dryad]]*2</f>
        <v>5.9999999999999991</v>
      </c>
      <c r="CU106" s="94">
        <f ca="1">sylvan*(TblMili[[#This Row],[Mystic bonus]]*TblMili[[#This Row],[Unit 3]])</f>
        <v>0</v>
      </c>
      <c r="CV106" s="155">
        <f ca="1">TblMili[[#This Row],[Rockapult]]*2</f>
        <v>4</v>
      </c>
      <c r="CW106" s="94">
        <f ca="1">gnome*(TblMili[[#This Row],[Rockapult bonus]]*TblMili[[#This Row],[Unit 3]])</f>
        <v>0</v>
      </c>
      <c r="CX106" s="155">
        <f ca="1">TblMili[[#This Row],[Adept-DP]]*2</f>
        <v>0</v>
      </c>
      <c r="CY106" s="94">
        <f ca="1">dark_elf*(TblMili[[#This Row],[Adept bonus]]*TblMili[[#This Row],[Unit 3]])</f>
        <v>0</v>
      </c>
      <c r="CZ106" s="155">
        <f ca="1">TblMili[[#This Row],[Frost Mage]]*2</f>
        <v>5.9999999999999991</v>
      </c>
      <c r="DA106" s="155">
        <f ca="1">TblMili[[#This Row],[Ice Elemental]]*2</f>
        <v>0</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07" s="154"/>
      <c r="AC107" s="180">
        <f ca="1">(TblConstr[[#This Row],[Tot Smi]]+TblConstr[[#This Row],[Dest Smi]])/(TblConstr[[#This Row],[Land]]-TblExplore[[#This Row],[Land Bonus]]*20)</f>
        <v>0</v>
      </c>
      <c r="AD107" s="137"/>
      <c r="AE107" s="246">
        <f>TblMili[[#This Row],[Hour]]</f>
        <v>104</v>
      </c>
      <c r="AF107" s="138">
        <f ca="1">TblExplore[[#This Row],[Time]]</f>
        <v>46184.291666666417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46184.291666666417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315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TblMili[[#This Row],[Mystic]]*2</f>
        <v>4</v>
      </c>
      <c r="CR107" s="251">
        <f ca="1">TblMili[[#This Row],[Druid (op)]]*2</f>
        <v>4</v>
      </c>
      <c r="CS107" s="94">
        <f ca="1">TblMili[[#This Row],[Mystic bonus]]*TblMili[[#This Row],[Unit 3]]+TblMili[[#This Row],[Druid bonus]]*TblMili[[#This Row],[Unit 4]]</f>
        <v>0</v>
      </c>
      <c r="CT107" s="155">
        <f ca="1">TblMili[[#This Row],[Dryad]]*2</f>
        <v>5.9999999999999991</v>
      </c>
      <c r="CU107" s="94">
        <f ca="1">sylvan*(TblMili[[#This Row],[Mystic bonus]]*TblMili[[#This Row],[Unit 3]])</f>
        <v>0</v>
      </c>
      <c r="CV107" s="155">
        <f ca="1">TblMili[[#This Row],[Rockapult]]*2</f>
        <v>4</v>
      </c>
      <c r="CW107" s="94">
        <f ca="1">gnome*(TblMili[[#This Row],[Rockapult bonus]]*TblMili[[#This Row],[Unit 3]])</f>
        <v>0</v>
      </c>
      <c r="CX107" s="155">
        <f ca="1">TblMili[[#This Row],[Adept-DP]]*2</f>
        <v>0</v>
      </c>
      <c r="CY107" s="94">
        <f ca="1">dark_elf*(TblMili[[#This Row],[Adept bonus]]*TblMili[[#This Row],[Unit 3]])</f>
        <v>0</v>
      </c>
      <c r="CZ107" s="155">
        <f ca="1">TblMili[[#This Row],[Frost Mage]]*2</f>
        <v>5.9999999999999991</v>
      </c>
      <c r="DA107" s="155">
        <f ca="1">TblMili[[#This Row],[Ice Elemental]]*2</f>
        <v>0</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108" s="154"/>
      <c r="AC108" s="180">
        <f ca="1">(TblConstr[[#This Row],[Tot Smi]]+TblConstr[[#This Row],[Dest Smi]])/(TblConstr[[#This Row],[Land]]-TblExplore[[#This Row],[Land Bonus]]*20)</f>
        <v>0</v>
      </c>
      <c r="AD108" s="137"/>
      <c r="AE108" s="246">
        <f>TblMili[[#This Row],[Hour]]</f>
        <v>105</v>
      </c>
      <c r="AF108" s="138">
        <f ca="1">TblExplore[[#This Row],[Time]]</f>
        <v>46184.333333333081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46184.333333333081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315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TblMili[[#This Row],[Mystic]]*2</f>
        <v>4</v>
      </c>
      <c r="CR108" s="251">
        <f ca="1">TblMili[[#This Row],[Druid (op)]]*2</f>
        <v>4</v>
      </c>
      <c r="CS108" s="94">
        <f ca="1">TblMili[[#This Row],[Mystic bonus]]*TblMili[[#This Row],[Unit 3]]+TblMili[[#This Row],[Druid bonus]]*TblMili[[#This Row],[Unit 4]]</f>
        <v>0</v>
      </c>
      <c r="CT108" s="155">
        <f ca="1">TblMili[[#This Row],[Dryad]]*2</f>
        <v>5.9999999999999991</v>
      </c>
      <c r="CU108" s="94">
        <f ca="1">sylvan*(TblMili[[#This Row],[Mystic bonus]]*TblMili[[#This Row],[Unit 3]])</f>
        <v>0</v>
      </c>
      <c r="CV108" s="155">
        <f ca="1">TblMili[[#This Row],[Rockapult]]*2</f>
        <v>4</v>
      </c>
      <c r="CW108" s="94">
        <f ca="1">gnome*(TblMili[[#This Row],[Rockapult bonus]]*TblMili[[#This Row],[Unit 3]])</f>
        <v>0</v>
      </c>
      <c r="CX108" s="155">
        <f ca="1">TblMili[[#This Row],[Adept-DP]]*2</f>
        <v>0</v>
      </c>
      <c r="CY108" s="94">
        <f ca="1">dark_elf*(TblMili[[#This Row],[Adept bonus]]*TblMili[[#This Row],[Unit 3]])</f>
        <v>0</v>
      </c>
      <c r="CZ108" s="155">
        <f ca="1">TblMili[[#This Row],[Frost Mage]]*2</f>
        <v>5.9999999999999991</v>
      </c>
      <c r="DA108" s="155">
        <f ca="1">TblMili[[#This Row],[Ice Elemental]]*2</f>
        <v>0</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606</v>
      </c>
      <c r="AB109" s="154"/>
      <c r="AC109" s="180">
        <f ca="1">(TblConstr[[#This Row],[Tot Smi]]+TblConstr[[#This Row],[Dest Smi]])/(TblConstr[[#This Row],[Land]]-TblExplore[[#This Row],[Land Bonus]]*20)</f>
        <v>0</v>
      </c>
      <c r="AD109" s="137"/>
      <c r="AE109" s="246">
        <f>TblMili[[#This Row],[Hour]]</f>
        <v>106</v>
      </c>
      <c r="AF109" s="138">
        <f ca="1">TblExplore[[#This Row],[Time]]</f>
        <v>46184.374999999745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46184.374999999745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315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TblMili[[#This Row],[Mystic]]*2</f>
        <v>4</v>
      </c>
      <c r="CR109" s="251">
        <f ca="1">TblMili[[#This Row],[Druid (op)]]*2</f>
        <v>4</v>
      </c>
      <c r="CS109" s="94">
        <f ca="1">TblMili[[#This Row],[Mystic bonus]]*TblMili[[#This Row],[Unit 3]]+TblMili[[#This Row],[Druid bonus]]*TblMili[[#This Row],[Unit 4]]</f>
        <v>0</v>
      </c>
      <c r="CT109" s="155">
        <f ca="1">TblMili[[#This Row],[Dryad]]*2</f>
        <v>5.9999999999999991</v>
      </c>
      <c r="CU109" s="94">
        <f ca="1">sylvan*(TblMili[[#This Row],[Mystic bonus]]*TblMili[[#This Row],[Unit 3]])</f>
        <v>0</v>
      </c>
      <c r="CV109" s="155">
        <f ca="1">TblMili[[#This Row],[Rockapult]]*2</f>
        <v>4</v>
      </c>
      <c r="CW109" s="94">
        <f ca="1">gnome*(TblMili[[#This Row],[Rockapult bonus]]*TblMili[[#This Row],[Unit 3]])</f>
        <v>0</v>
      </c>
      <c r="CX109" s="155">
        <f ca="1">TblMili[[#This Row],[Adept-DP]]*2</f>
        <v>0</v>
      </c>
      <c r="CY109" s="94">
        <f ca="1">dark_elf*(TblMili[[#This Row],[Adept bonus]]*TblMili[[#This Row],[Unit 3]])</f>
        <v>0</v>
      </c>
      <c r="CZ109" s="155">
        <f ca="1">TblMili[[#This Row],[Frost Mage]]*2</f>
        <v>5.9999999999999991</v>
      </c>
      <c r="DA109" s="155">
        <f ca="1">TblMili[[#This Row],[Ice Elemental]]*2</f>
        <v>0</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608</v>
      </c>
      <c r="AB110" s="154"/>
      <c r="AC110" s="180">
        <f ca="1">(TblConstr[[#This Row],[Tot Smi]]+TblConstr[[#This Row],[Dest Smi]])/(TblConstr[[#This Row],[Land]]-TblExplore[[#This Row],[Land Bonus]]*20)</f>
        <v>0</v>
      </c>
      <c r="AD110" s="137"/>
      <c r="AE110" s="246">
        <f>TblMili[[#This Row],[Hour]]</f>
        <v>107</v>
      </c>
      <c r="AF110" s="138">
        <f ca="1">TblExplore[[#This Row],[Time]]</f>
        <v>46184.41666666641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46184.41666666641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315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TblMili[[#This Row],[Mystic]]*2</f>
        <v>4</v>
      </c>
      <c r="CR110" s="251">
        <f ca="1">TblMili[[#This Row],[Druid (op)]]*2</f>
        <v>4</v>
      </c>
      <c r="CS110" s="94">
        <f ca="1">TblMili[[#This Row],[Mystic bonus]]*TblMili[[#This Row],[Unit 3]]+TblMili[[#This Row],[Druid bonus]]*TblMili[[#This Row],[Unit 4]]</f>
        <v>0</v>
      </c>
      <c r="CT110" s="155">
        <f ca="1">TblMili[[#This Row],[Dryad]]*2</f>
        <v>5.9999999999999991</v>
      </c>
      <c r="CU110" s="94">
        <f ca="1">sylvan*(TblMili[[#This Row],[Mystic bonus]]*TblMili[[#This Row],[Unit 3]])</f>
        <v>0</v>
      </c>
      <c r="CV110" s="155">
        <f ca="1">TblMili[[#This Row],[Rockapult]]*2</f>
        <v>4</v>
      </c>
      <c r="CW110" s="94">
        <f ca="1">gnome*(TblMili[[#This Row],[Rockapult bonus]]*TblMili[[#This Row],[Unit 3]])</f>
        <v>0</v>
      </c>
      <c r="CX110" s="155">
        <f ca="1">TblMili[[#This Row],[Adept-DP]]*2</f>
        <v>0</v>
      </c>
      <c r="CY110" s="94">
        <f ca="1">dark_elf*(TblMili[[#This Row],[Adept bonus]]*TblMili[[#This Row],[Unit 3]])</f>
        <v>0</v>
      </c>
      <c r="CZ110" s="155">
        <f ca="1">TblMili[[#This Row],[Frost Mage]]*2</f>
        <v>5.9999999999999991</v>
      </c>
      <c r="DA110" s="155">
        <f ca="1">TblMili[[#This Row],[Ice Elemental]]*2</f>
        <v>0</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610</v>
      </c>
      <c r="AB111" s="154"/>
      <c r="AC111" s="180">
        <f ca="1">(TblConstr[[#This Row],[Tot Smi]]+TblConstr[[#This Row],[Dest Smi]])/(TblConstr[[#This Row],[Land]]-TblExplore[[#This Row],[Land Bonus]]*20)</f>
        <v>0</v>
      </c>
      <c r="AD111" s="137"/>
      <c r="AE111" s="246">
        <f>TblMili[[#This Row],[Hour]]</f>
        <v>108</v>
      </c>
      <c r="AF111" s="138">
        <f ca="1">TblExplore[[#This Row],[Time]]</f>
        <v>46184.458333333074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46184.458333333074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315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TblMili[[#This Row],[Mystic]]*2</f>
        <v>4</v>
      </c>
      <c r="CR111" s="251">
        <f ca="1">TblMili[[#This Row],[Druid (op)]]*2</f>
        <v>4</v>
      </c>
      <c r="CS111" s="94">
        <f ca="1">TblMili[[#This Row],[Mystic bonus]]*TblMili[[#This Row],[Unit 3]]+TblMili[[#This Row],[Druid bonus]]*TblMili[[#This Row],[Unit 4]]</f>
        <v>0</v>
      </c>
      <c r="CT111" s="155">
        <f ca="1">TblMili[[#This Row],[Dryad]]*2</f>
        <v>5.9999999999999991</v>
      </c>
      <c r="CU111" s="94">
        <f ca="1">sylvan*(TblMili[[#This Row],[Mystic bonus]]*TblMili[[#This Row],[Unit 3]])</f>
        <v>0</v>
      </c>
      <c r="CV111" s="155">
        <f ca="1">TblMili[[#This Row],[Rockapult]]*2</f>
        <v>4</v>
      </c>
      <c r="CW111" s="94">
        <f ca="1">gnome*(TblMili[[#This Row],[Rockapult bonus]]*TblMili[[#This Row],[Unit 3]])</f>
        <v>0</v>
      </c>
      <c r="CX111" s="155">
        <f ca="1">TblMili[[#This Row],[Adept-DP]]*2</f>
        <v>0</v>
      </c>
      <c r="CY111" s="94">
        <f ca="1">dark_elf*(TblMili[[#This Row],[Adept bonus]]*TblMili[[#This Row],[Unit 3]])</f>
        <v>0</v>
      </c>
      <c r="CZ111" s="155">
        <f ca="1">TblMili[[#This Row],[Frost Mage]]*2</f>
        <v>5.9999999999999991</v>
      </c>
      <c r="DA111" s="155">
        <f ca="1">TblMili[[#This Row],[Ice Elemental]]*2</f>
        <v>0</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612</v>
      </c>
      <c r="AB112" s="154"/>
      <c r="AC112" s="180">
        <f ca="1">(TblConstr[[#This Row],[Tot Smi]]+TblConstr[[#This Row],[Dest Smi]])/(TblConstr[[#This Row],[Land]]-TblExplore[[#This Row],[Land Bonus]]*20)</f>
        <v>0</v>
      </c>
      <c r="AD112" s="137"/>
      <c r="AE112" s="246">
        <f>TblMili[[#This Row],[Hour]]</f>
        <v>109</v>
      </c>
      <c r="AF112" s="138">
        <f ca="1">TblExplore[[#This Row],[Time]]</f>
        <v>46184.499999999738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46184.499999999738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315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TblMili[[#This Row],[Mystic]]*2</f>
        <v>4</v>
      </c>
      <c r="CR112" s="251">
        <f ca="1">TblMili[[#This Row],[Druid (op)]]*2</f>
        <v>4</v>
      </c>
      <c r="CS112" s="94">
        <f ca="1">TblMili[[#This Row],[Mystic bonus]]*TblMili[[#This Row],[Unit 3]]+TblMili[[#This Row],[Druid bonus]]*TblMili[[#This Row],[Unit 4]]</f>
        <v>0</v>
      </c>
      <c r="CT112" s="155">
        <f ca="1">TblMili[[#This Row],[Dryad]]*2</f>
        <v>5.9999999999999991</v>
      </c>
      <c r="CU112" s="94">
        <f ca="1">sylvan*(TblMili[[#This Row],[Mystic bonus]]*TblMili[[#This Row],[Unit 3]])</f>
        <v>0</v>
      </c>
      <c r="CV112" s="155">
        <f ca="1">TblMili[[#This Row],[Rockapult]]*2</f>
        <v>4</v>
      </c>
      <c r="CW112" s="94">
        <f ca="1">gnome*(TblMili[[#This Row],[Rockapult bonus]]*TblMili[[#This Row],[Unit 3]])</f>
        <v>0</v>
      </c>
      <c r="CX112" s="155">
        <f ca="1">TblMili[[#This Row],[Adept-DP]]*2</f>
        <v>0</v>
      </c>
      <c r="CY112" s="94">
        <f ca="1">dark_elf*(TblMili[[#This Row],[Adept bonus]]*TblMili[[#This Row],[Unit 3]])</f>
        <v>0</v>
      </c>
      <c r="CZ112" s="155">
        <f ca="1">TblMili[[#This Row],[Frost Mage]]*2</f>
        <v>5.9999999999999991</v>
      </c>
      <c r="DA112" s="155">
        <f ca="1">TblMili[[#This Row],[Ice Elemental]]*2</f>
        <v>0</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113" s="154"/>
      <c r="AC113" s="180">
        <f ca="1">(TblConstr[[#This Row],[Tot Smi]]+TblConstr[[#This Row],[Dest Smi]])/(TblConstr[[#This Row],[Land]]-TblExplore[[#This Row],[Land Bonus]]*20)</f>
        <v>0</v>
      </c>
      <c r="AD113" s="137"/>
      <c r="AE113" s="246">
        <f>TblMili[[#This Row],[Hour]]</f>
        <v>110</v>
      </c>
      <c r="AF113" s="138">
        <f ca="1">TblExplore[[#This Row],[Time]]</f>
        <v>46184.541666666402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46184.541666666402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315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TblMili[[#This Row],[Mystic]]*2</f>
        <v>4</v>
      </c>
      <c r="CR113" s="251">
        <f ca="1">TblMili[[#This Row],[Druid (op)]]*2</f>
        <v>4</v>
      </c>
      <c r="CS113" s="94">
        <f ca="1">TblMili[[#This Row],[Mystic bonus]]*TblMili[[#This Row],[Unit 3]]+TblMili[[#This Row],[Druid bonus]]*TblMili[[#This Row],[Unit 4]]</f>
        <v>0</v>
      </c>
      <c r="CT113" s="155">
        <f ca="1">TblMili[[#This Row],[Dryad]]*2</f>
        <v>5.9999999999999991</v>
      </c>
      <c r="CU113" s="94">
        <f ca="1">sylvan*(TblMili[[#This Row],[Mystic bonus]]*TblMili[[#This Row],[Unit 3]])</f>
        <v>0</v>
      </c>
      <c r="CV113" s="155">
        <f ca="1">TblMili[[#This Row],[Rockapult]]*2</f>
        <v>4</v>
      </c>
      <c r="CW113" s="94">
        <f ca="1">gnome*(TblMili[[#This Row],[Rockapult bonus]]*TblMili[[#This Row],[Unit 3]])</f>
        <v>0</v>
      </c>
      <c r="CX113" s="155">
        <f ca="1">TblMili[[#This Row],[Adept-DP]]*2</f>
        <v>0</v>
      </c>
      <c r="CY113" s="94">
        <f ca="1">dark_elf*(TblMili[[#This Row],[Adept bonus]]*TblMili[[#This Row],[Unit 3]])</f>
        <v>0</v>
      </c>
      <c r="CZ113" s="155">
        <f ca="1">TblMili[[#This Row],[Frost Mage]]*2</f>
        <v>5.9999999999999991</v>
      </c>
      <c r="DA113" s="155">
        <f ca="1">TblMili[[#This Row],[Ice Elemental]]*2</f>
        <v>0</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616</v>
      </c>
      <c r="AB114" s="154"/>
      <c r="AC114" s="180">
        <f ca="1">(TblConstr[[#This Row],[Tot Smi]]+TblConstr[[#This Row],[Dest Smi]])/(TblConstr[[#This Row],[Land]]-TblExplore[[#This Row],[Land Bonus]]*20)</f>
        <v>0</v>
      </c>
      <c r="AD114" s="137"/>
      <c r="AE114" s="246">
        <f>TblMili[[#This Row],[Hour]]</f>
        <v>111</v>
      </c>
      <c r="AF114" s="138">
        <f ca="1">TblExplore[[#This Row],[Time]]</f>
        <v>46184.583333333067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46184.583333333067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315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TblMili[[#This Row],[Mystic]]*2</f>
        <v>4</v>
      </c>
      <c r="CR114" s="251">
        <f ca="1">TblMili[[#This Row],[Druid (op)]]*2</f>
        <v>4</v>
      </c>
      <c r="CS114" s="94">
        <f ca="1">TblMili[[#This Row],[Mystic bonus]]*TblMili[[#This Row],[Unit 3]]+TblMili[[#This Row],[Druid bonus]]*TblMili[[#This Row],[Unit 4]]</f>
        <v>0</v>
      </c>
      <c r="CT114" s="155">
        <f ca="1">TblMili[[#This Row],[Dryad]]*2</f>
        <v>5.9999999999999991</v>
      </c>
      <c r="CU114" s="94">
        <f ca="1">sylvan*(TblMili[[#This Row],[Mystic bonus]]*TblMili[[#This Row],[Unit 3]])</f>
        <v>0</v>
      </c>
      <c r="CV114" s="155">
        <f ca="1">TblMili[[#This Row],[Rockapult]]*2</f>
        <v>4</v>
      </c>
      <c r="CW114" s="94">
        <f ca="1">gnome*(TblMili[[#This Row],[Rockapult bonus]]*TblMili[[#This Row],[Unit 3]])</f>
        <v>0</v>
      </c>
      <c r="CX114" s="155">
        <f ca="1">TblMili[[#This Row],[Adept-DP]]*2</f>
        <v>0</v>
      </c>
      <c r="CY114" s="94">
        <f ca="1">dark_elf*(TblMili[[#This Row],[Adept bonus]]*TblMili[[#This Row],[Unit 3]])</f>
        <v>0</v>
      </c>
      <c r="CZ114" s="155">
        <f ca="1">TblMili[[#This Row],[Frost Mage]]*2</f>
        <v>5.9999999999999991</v>
      </c>
      <c r="DA114" s="155">
        <f ca="1">TblMili[[#This Row],[Ice Elemental]]*2</f>
        <v>0</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618</v>
      </c>
      <c r="AB115" s="154"/>
      <c r="AC115" s="180">
        <f ca="1">(TblConstr[[#This Row],[Tot Smi]]+TblConstr[[#This Row],[Dest Smi]])/(TblConstr[[#This Row],[Land]]-TblExplore[[#This Row],[Land Bonus]]*20)</f>
        <v>0</v>
      </c>
      <c r="AD115" s="137"/>
      <c r="AE115" s="246">
        <f>TblMili[[#This Row],[Hour]]</f>
        <v>112</v>
      </c>
      <c r="AF115" s="138">
        <f ca="1">TblExplore[[#This Row],[Time]]</f>
        <v>46184.624999999731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46184.624999999731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315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TblMili[[#This Row],[Mystic]]*2</f>
        <v>4</v>
      </c>
      <c r="CR115" s="251">
        <f ca="1">TblMili[[#This Row],[Druid (op)]]*2</f>
        <v>4</v>
      </c>
      <c r="CS115" s="94">
        <f ca="1">TblMili[[#This Row],[Mystic bonus]]*TblMili[[#This Row],[Unit 3]]+TblMili[[#This Row],[Druid bonus]]*TblMili[[#This Row],[Unit 4]]</f>
        <v>0</v>
      </c>
      <c r="CT115" s="155">
        <f ca="1">TblMili[[#This Row],[Dryad]]*2</f>
        <v>5.9999999999999991</v>
      </c>
      <c r="CU115" s="94">
        <f ca="1">sylvan*(TblMili[[#This Row],[Mystic bonus]]*TblMili[[#This Row],[Unit 3]])</f>
        <v>0</v>
      </c>
      <c r="CV115" s="155">
        <f ca="1">TblMili[[#This Row],[Rockapult]]*2</f>
        <v>4</v>
      </c>
      <c r="CW115" s="94">
        <f ca="1">gnome*(TblMili[[#This Row],[Rockapult bonus]]*TblMili[[#This Row],[Unit 3]])</f>
        <v>0</v>
      </c>
      <c r="CX115" s="155">
        <f ca="1">TblMili[[#This Row],[Adept-DP]]*2</f>
        <v>0</v>
      </c>
      <c r="CY115" s="94">
        <f ca="1">dark_elf*(TblMili[[#This Row],[Adept bonus]]*TblMili[[#This Row],[Unit 3]])</f>
        <v>0</v>
      </c>
      <c r="CZ115" s="155">
        <f ca="1">TblMili[[#This Row],[Frost Mage]]*2</f>
        <v>5.9999999999999991</v>
      </c>
      <c r="DA115" s="155">
        <f ca="1">TblMili[[#This Row],[Ice Elemental]]*2</f>
        <v>0</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620</v>
      </c>
      <c r="AB116" s="154"/>
      <c r="AC116" s="180">
        <f ca="1">(TblConstr[[#This Row],[Tot Smi]]+TblConstr[[#This Row],[Dest Smi]])/(TblConstr[[#This Row],[Land]]-TblExplore[[#This Row],[Land Bonus]]*20)</f>
        <v>0</v>
      </c>
      <c r="AD116" s="137"/>
      <c r="AE116" s="246">
        <f>TblMili[[#This Row],[Hour]]</f>
        <v>113</v>
      </c>
      <c r="AF116" s="138">
        <f ca="1">TblExplore[[#This Row],[Time]]</f>
        <v>46184.666666666395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46184.666666666395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315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TblMili[[#This Row],[Mystic]]*2</f>
        <v>4</v>
      </c>
      <c r="CR116" s="251">
        <f ca="1">TblMili[[#This Row],[Druid (op)]]*2</f>
        <v>4</v>
      </c>
      <c r="CS116" s="94">
        <f ca="1">TblMili[[#This Row],[Mystic bonus]]*TblMili[[#This Row],[Unit 3]]+TblMili[[#This Row],[Druid bonus]]*TblMili[[#This Row],[Unit 4]]</f>
        <v>0</v>
      </c>
      <c r="CT116" s="155">
        <f ca="1">TblMili[[#This Row],[Dryad]]*2</f>
        <v>5.9999999999999991</v>
      </c>
      <c r="CU116" s="94">
        <f ca="1">sylvan*(TblMili[[#This Row],[Mystic bonus]]*TblMili[[#This Row],[Unit 3]])</f>
        <v>0</v>
      </c>
      <c r="CV116" s="155">
        <f ca="1">TblMili[[#This Row],[Rockapult]]*2</f>
        <v>4</v>
      </c>
      <c r="CW116" s="94">
        <f ca="1">gnome*(TblMili[[#This Row],[Rockapult bonus]]*TblMili[[#This Row],[Unit 3]])</f>
        <v>0</v>
      </c>
      <c r="CX116" s="155">
        <f ca="1">TblMili[[#This Row],[Adept-DP]]*2</f>
        <v>0</v>
      </c>
      <c r="CY116" s="94">
        <f ca="1">dark_elf*(TblMili[[#This Row],[Adept bonus]]*TblMili[[#This Row],[Unit 3]])</f>
        <v>0</v>
      </c>
      <c r="CZ116" s="155">
        <f ca="1">TblMili[[#This Row],[Frost Mage]]*2</f>
        <v>5.9999999999999991</v>
      </c>
      <c r="DA116" s="155">
        <f ca="1">TblMili[[#This Row],[Ice Elemental]]*2</f>
        <v>0</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621</v>
      </c>
      <c r="AB117" s="154"/>
      <c r="AC117" s="180">
        <f ca="1">(TblConstr[[#This Row],[Tot Smi]]+TblConstr[[#This Row],[Dest Smi]])/(TblConstr[[#This Row],[Land]]-TblExplore[[#This Row],[Land Bonus]]*20)</f>
        <v>0</v>
      </c>
      <c r="AD117" s="137"/>
      <c r="AE117" s="246">
        <f>TblMili[[#This Row],[Hour]]</f>
        <v>114</v>
      </c>
      <c r="AF117" s="138">
        <f ca="1">TblExplore[[#This Row],[Time]]</f>
        <v>46184.708333333059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46184.708333333059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315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TblMili[[#This Row],[Mystic]]*2</f>
        <v>4</v>
      </c>
      <c r="CR117" s="251">
        <f ca="1">TblMili[[#This Row],[Druid (op)]]*2</f>
        <v>4</v>
      </c>
      <c r="CS117" s="94">
        <f ca="1">TblMili[[#This Row],[Mystic bonus]]*TblMili[[#This Row],[Unit 3]]+TblMili[[#This Row],[Druid bonus]]*TblMili[[#This Row],[Unit 4]]</f>
        <v>0</v>
      </c>
      <c r="CT117" s="155">
        <f ca="1">TblMili[[#This Row],[Dryad]]*2</f>
        <v>5.9999999999999991</v>
      </c>
      <c r="CU117" s="94">
        <f ca="1">sylvan*(TblMili[[#This Row],[Mystic bonus]]*TblMili[[#This Row],[Unit 3]])</f>
        <v>0</v>
      </c>
      <c r="CV117" s="155">
        <f ca="1">TblMili[[#This Row],[Rockapult]]*2</f>
        <v>4</v>
      </c>
      <c r="CW117" s="94">
        <f ca="1">gnome*(TblMili[[#This Row],[Rockapult bonus]]*TblMili[[#This Row],[Unit 3]])</f>
        <v>0</v>
      </c>
      <c r="CX117" s="155">
        <f ca="1">TblMili[[#This Row],[Adept-DP]]*2</f>
        <v>0</v>
      </c>
      <c r="CY117" s="94">
        <f ca="1">dark_elf*(TblMili[[#This Row],[Adept bonus]]*TblMili[[#This Row],[Unit 3]])</f>
        <v>0</v>
      </c>
      <c r="CZ117" s="155">
        <f ca="1">TblMili[[#This Row],[Frost Mage]]*2</f>
        <v>5.9999999999999991</v>
      </c>
      <c r="DA117" s="155">
        <f ca="1">TblMili[[#This Row],[Ice Elemental]]*2</f>
        <v>0</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622</v>
      </c>
      <c r="AB118" s="154"/>
      <c r="AC118" s="180">
        <f ca="1">(TblConstr[[#This Row],[Tot Smi]]+TblConstr[[#This Row],[Dest Smi]])/(TblConstr[[#This Row],[Land]]-TblExplore[[#This Row],[Land Bonus]]*20)</f>
        <v>0</v>
      </c>
      <c r="AD118" s="137"/>
      <c r="AE118" s="246">
        <f>TblMili[[#This Row],[Hour]]</f>
        <v>115</v>
      </c>
      <c r="AF118" s="138">
        <f ca="1">TblExplore[[#This Row],[Time]]</f>
        <v>46184.749999999724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46184.749999999724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315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TblMili[[#This Row],[Mystic]]*2</f>
        <v>4</v>
      </c>
      <c r="CR118" s="251">
        <f ca="1">TblMili[[#This Row],[Druid (op)]]*2</f>
        <v>4</v>
      </c>
      <c r="CS118" s="94">
        <f ca="1">TblMili[[#This Row],[Mystic bonus]]*TblMili[[#This Row],[Unit 3]]+TblMili[[#This Row],[Druid bonus]]*TblMili[[#This Row],[Unit 4]]</f>
        <v>0</v>
      </c>
      <c r="CT118" s="155">
        <f ca="1">TblMili[[#This Row],[Dryad]]*2</f>
        <v>5.9999999999999991</v>
      </c>
      <c r="CU118" s="94">
        <f ca="1">sylvan*(TblMili[[#This Row],[Mystic bonus]]*TblMili[[#This Row],[Unit 3]])</f>
        <v>0</v>
      </c>
      <c r="CV118" s="155">
        <f ca="1">TblMili[[#This Row],[Rockapult]]*2</f>
        <v>4</v>
      </c>
      <c r="CW118" s="94">
        <f ca="1">gnome*(TblMili[[#This Row],[Rockapult bonus]]*TblMili[[#This Row],[Unit 3]])</f>
        <v>0</v>
      </c>
      <c r="CX118" s="155">
        <f ca="1">TblMili[[#This Row],[Adept-DP]]*2</f>
        <v>0</v>
      </c>
      <c r="CY118" s="94">
        <f ca="1">dark_elf*(TblMili[[#This Row],[Adept bonus]]*TblMili[[#This Row],[Unit 3]])</f>
        <v>0</v>
      </c>
      <c r="CZ118" s="155">
        <f ca="1">TblMili[[#This Row],[Frost Mage]]*2</f>
        <v>5.9999999999999991</v>
      </c>
      <c r="DA118" s="155">
        <f ca="1">TblMili[[#This Row],[Ice Elemental]]*2</f>
        <v>0</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623</v>
      </c>
      <c r="AB119" s="154"/>
      <c r="AC119" s="180">
        <f ca="1">(TblConstr[[#This Row],[Tot Smi]]+TblConstr[[#This Row],[Dest Smi]])/(TblConstr[[#This Row],[Land]]-TblExplore[[#This Row],[Land Bonus]]*20)</f>
        <v>0</v>
      </c>
      <c r="AD119" s="137"/>
      <c r="AE119" s="246">
        <f>TblMili[[#This Row],[Hour]]</f>
        <v>116</v>
      </c>
      <c r="AF119" s="138">
        <f ca="1">TblExplore[[#This Row],[Time]]</f>
        <v>46184.791666666388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46184.791666666388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315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TblMili[[#This Row],[Mystic]]*2</f>
        <v>4</v>
      </c>
      <c r="CR119" s="251">
        <f ca="1">TblMili[[#This Row],[Druid (op)]]*2</f>
        <v>4</v>
      </c>
      <c r="CS119" s="94">
        <f ca="1">TblMili[[#This Row],[Mystic bonus]]*TblMili[[#This Row],[Unit 3]]+TblMili[[#This Row],[Druid bonus]]*TblMili[[#This Row],[Unit 4]]</f>
        <v>0</v>
      </c>
      <c r="CT119" s="155">
        <f ca="1">TblMili[[#This Row],[Dryad]]*2</f>
        <v>5.9999999999999991</v>
      </c>
      <c r="CU119" s="94">
        <f ca="1">sylvan*(TblMili[[#This Row],[Mystic bonus]]*TblMili[[#This Row],[Unit 3]])</f>
        <v>0</v>
      </c>
      <c r="CV119" s="155">
        <f ca="1">TblMili[[#This Row],[Rockapult]]*2</f>
        <v>4</v>
      </c>
      <c r="CW119" s="94">
        <f ca="1">gnome*(TblMili[[#This Row],[Rockapult bonus]]*TblMili[[#This Row],[Unit 3]])</f>
        <v>0</v>
      </c>
      <c r="CX119" s="155">
        <f ca="1">TblMili[[#This Row],[Adept-DP]]*2</f>
        <v>0</v>
      </c>
      <c r="CY119" s="94">
        <f ca="1">dark_elf*(TblMili[[#This Row],[Adept bonus]]*TblMili[[#This Row],[Unit 3]])</f>
        <v>0</v>
      </c>
      <c r="CZ119" s="155">
        <f ca="1">TblMili[[#This Row],[Frost Mage]]*2</f>
        <v>5.9999999999999991</v>
      </c>
      <c r="DA119" s="155">
        <f ca="1">TblMili[[#This Row],[Ice Elemental]]*2</f>
        <v>0</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120" s="154"/>
      <c r="AC120" s="180">
        <f ca="1">(TblConstr[[#This Row],[Tot Smi]]+TblConstr[[#This Row],[Dest Smi]])/(TblConstr[[#This Row],[Land]]-TblExplore[[#This Row],[Land Bonus]]*20)</f>
        <v>0</v>
      </c>
      <c r="AD120" s="137"/>
      <c r="AE120" s="246">
        <f>TblMili[[#This Row],[Hour]]</f>
        <v>117</v>
      </c>
      <c r="AF120" s="138">
        <f ca="1">TblExplore[[#This Row],[Time]]</f>
        <v>46184.833333333052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46184.833333333052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315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TblMili[[#This Row],[Mystic]]*2</f>
        <v>4</v>
      </c>
      <c r="CR120" s="251">
        <f ca="1">TblMili[[#This Row],[Druid (op)]]*2</f>
        <v>4</v>
      </c>
      <c r="CS120" s="94">
        <f ca="1">TblMili[[#This Row],[Mystic bonus]]*TblMili[[#This Row],[Unit 3]]+TblMili[[#This Row],[Druid bonus]]*TblMili[[#This Row],[Unit 4]]</f>
        <v>0</v>
      </c>
      <c r="CT120" s="155">
        <f ca="1">TblMili[[#This Row],[Dryad]]*2</f>
        <v>5.9999999999999991</v>
      </c>
      <c r="CU120" s="94">
        <f ca="1">sylvan*(TblMili[[#This Row],[Mystic bonus]]*TblMili[[#This Row],[Unit 3]])</f>
        <v>0</v>
      </c>
      <c r="CV120" s="155">
        <f ca="1">TblMili[[#This Row],[Rockapult]]*2</f>
        <v>4</v>
      </c>
      <c r="CW120" s="94">
        <f ca="1">gnome*(TblMili[[#This Row],[Rockapult bonus]]*TblMili[[#This Row],[Unit 3]])</f>
        <v>0</v>
      </c>
      <c r="CX120" s="155">
        <f ca="1">TblMili[[#This Row],[Adept-DP]]*2</f>
        <v>0</v>
      </c>
      <c r="CY120" s="94">
        <f ca="1">dark_elf*(TblMili[[#This Row],[Adept bonus]]*TblMili[[#This Row],[Unit 3]])</f>
        <v>0</v>
      </c>
      <c r="CZ120" s="155">
        <f ca="1">TblMili[[#This Row],[Frost Mage]]*2</f>
        <v>5.9999999999999991</v>
      </c>
      <c r="DA120" s="155">
        <f ca="1">TblMili[[#This Row],[Ice Elemental]]*2</f>
        <v>0</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625</v>
      </c>
      <c r="AB121" s="154"/>
      <c r="AC121" s="180">
        <f ca="1">(TblConstr[[#This Row],[Tot Smi]]+TblConstr[[#This Row],[Dest Smi]])/(TblConstr[[#This Row],[Land]]-TblExplore[[#This Row],[Land Bonus]]*20)</f>
        <v>0</v>
      </c>
      <c r="AD121" s="137"/>
      <c r="AE121" s="246">
        <f>TblMili[[#This Row],[Hour]]</f>
        <v>118</v>
      </c>
      <c r="AF121" s="138">
        <f ca="1">TblExplore[[#This Row],[Time]]</f>
        <v>46184.874999999716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46184.874999999716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315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TblMili[[#This Row],[Mystic]]*2</f>
        <v>4</v>
      </c>
      <c r="CR121" s="251">
        <f ca="1">TblMili[[#This Row],[Druid (op)]]*2</f>
        <v>4</v>
      </c>
      <c r="CS121" s="94">
        <f ca="1">TblMili[[#This Row],[Mystic bonus]]*TblMili[[#This Row],[Unit 3]]+TblMili[[#This Row],[Druid bonus]]*TblMili[[#This Row],[Unit 4]]</f>
        <v>0</v>
      </c>
      <c r="CT121" s="155">
        <f ca="1">TblMili[[#This Row],[Dryad]]*2</f>
        <v>5.9999999999999991</v>
      </c>
      <c r="CU121" s="94">
        <f ca="1">sylvan*(TblMili[[#This Row],[Mystic bonus]]*TblMili[[#This Row],[Unit 3]])</f>
        <v>0</v>
      </c>
      <c r="CV121" s="155">
        <f ca="1">TblMili[[#This Row],[Rockapult]]*2</f>
        <v>4</v>
      </c>
      <c r="CW121" s="94">
        <f ca="1">gnome*(TblMili[[#This Row],[Rockapult bonus]]*TblMili[[#This Row],[Unit 3]])</f>
        <v>0</v>
      </c>
      <c r="CX121" s="155">
        <f ca="1">TblMili[[#This Row],[Adept-DP]]*2</f>
        <v>0</v>
      </c>
      <c r="CY121" s="94">
        <f ca="1">dark_elf*(TblMili[[#This Row],[Adept bonus]]*TblMili[[#This Row],[Unit 3]])</f>
        <v>0</v>
      </c>
      <c r="CZ121" s="155">
        <f ca="1">TblMili[[#This Row],[Frost Mage]]*2</f>
        <v>5.9999999999999991</v>
      </c>
      <c r="DA121" s="155">
        <f ca="1">TblMili[[#This Row],[Ice Elemental]]*2</f>
        <v>0</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4"/>
      <c r="AC122" s="180">
        <f ca="1">(TblConstr[[#This Row],[Tot Smi]]+TblConstr[[#This Row],[Dest Smi]])/(TblConstr[[#This Row],[Land]]-TblExplore[[#This Row],[Land Bonus]]*20)</f>
        <v>0</v>
      </c>
      <c r="AD122" s="137"/>
      <c r="AE122" s="246">
        <f>TblMili[[#This Row],[Hour]]</f>
        <v>119</v>
      </c>
      <c r="AF122" s="138">
        <f ca="1">TblExplore[[#This Row],[Time]]</f>
        <v>46184.91666666638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46184.91666666638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315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TblMili[[#This Row],[Mystic]]*2</f>
        <v>4</v>
      </c>
      <c r="CR122" s="251">
        <f ca="1">TblMili[[#This Row],[Druid (op)]]*2</f>
        <v>4</v>
      </c>
      <c r="CS122" s="94">
        <f ca="1">TblMili[[#This Row],[Mystic bonus]]*TblMili[[#This Row],[Unit 3]]+TblMili[[#This Row],[Druid bonus]]*TblMili[[#This Row],[Unit 4]]</f>
        <v>0</v>
      </c>
      <c r="CT122" s="155">
        <f ca="1">TblMili[[#This Row],[Dryad]]*2</f>
        <v>5.9999999999999991</v>
      </c>
      <c r="CU122" s="94">
        <f ca="1">sylvan*(TblMili[[#This Row],[Mystic bonus]]*TblMili[[#This Row],[Unit 3]])</f>
        <v>0</v>
      </c>
      <c r="CV122" s="155">
        <f ca="1">TblMili[[#This Row],[Rockapult]]*2</f>
        <v>4</v>
      </c>
      <c r="CW122" s="94">
        <f ca="1">gnome*(TblMili[[#This Row],[Rockapult bonus]]*TblMili[[#This Row],[Unit 3]])</f>
        <v>0</v>
      </c>
      <c r="CX122" s="155">
        <f ca="1">TblMili[[#This Row],[Adept-DP]]*2</f>
        <v>0</v>
      </c>
      <c r="CY122" s="94">
        <f ca="1">dark_elf*(TblMili[[#This Row],[Adept bonus]]*TblMili[[#This Row],[Unit 3]])</f>
        <v>0</v>
      </c>
      <c r="CZ122" s="155">
        <f ca="1">TblMili[[#This Row],[Frost Mage]]*2</f>
        <v>5.9999999999999991</v>
      </c>
      <c r="DA122" s="155">
        <f ca="1">TblMili[[#This Row],[Ice Elemental]]*2</f>
        <v>0</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627</v>
      </c>
      <c r="AB123" s="154"/>
      <c r="AC123" s="180">
        <f ca="1">(TblConstr[[#This Row],[Tot Smi]]+TblConstr[[#This Row],[Dest Smi]])/(TblConstr[[#This Row],[Land]]-TblExplore[[#This Row],[Land Bonus]]*20)</f>
        <v>0</v>
      </c>
      <c r="AD123" s="137"/>
      <c r="AE123" s="246">
        <f>TblMili[[#This Row],[Hour]]</f>
        <v>120</v>
      </c>
      <c r="AF123" s="138">
        <f ca="1">TblExplore[[#This Row],[Time]]</f>
        <v>46184.958333333045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46184.958333333045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315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TblMili[[#This Row],[Mystic]]*2</f>
        <v>4</v>
      </c>
      <c r="CR123" s="251">
        <f ca="1">TblMili[[#This Row],[Druid (op)]]*2</f>
        <v>4</v>
      </c>
      <c r="CS123" s="94">
        <f ca="1">TblMili[[#This Row],[Mystic bonus]]*TblMili[[#This Row],[Unit 3]]+TblMili[[#This Row],[Druid bonus]]*TblMili[[#This Row],[Unit 4]]</f>
        <v>0</v>
      </c>
      <c r="CT123" s="155">
        <f ca="1">TblMili[[#This Row],[Dryad]]*2</f>
        <v>5.9999999999999991</v>
      </c>
      <c r="CU123" s="94">
        <f ca="1">sylvan*(TblMili[[#This Row],[Mystic bonus]]*TblMili[[#This Row],[Unit 3]])</f>
        <v>0</v>
      </c>
      <c r="CV123" s="155">
        <f ca="1">TblMili[[#This Row],[Rockapult]]*2</f>
        <v>4</v>
      </c>
      <c r="CW123" s="94">
        <f ca="1">gnome*(TblMili[[#This Row],[Rockapult bonus]]*TblMili[[#This Row],[Unit 3]])</f>
        <v>0</v>
      </c>
      <c r="CX123" s="155">
        <f ca="1">TblMili[[#This Row],[Adept-DP]]*2</f>
        <v>0</v>
      </c>
      <c r="CY123" s="94">
        <f ca="1">dark_elf*(TblMili[[#This Row],[Adept bonus]]*TblMili[[#This Row],[Unit 3]])</f>
        <v>0</v>
      </c>
      <c r="CZ123" s="155">
        <f ca="1">TblMili[[#This Row],[Frost Mage]]*2</f>
        <v>5.9999999999999991</v>
      </c>
      <c r="DA123" s="155">
        <f ca="1">TblMili[[#This Row],[Ice Elemental]]*2</f>
        <v>0</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628</v>
      </c>
      <c r="AB124" s="154"/>
      <c r="AC124" s="180">
        <f ca="1">(TblConstr[[#This Row],[Tot Smi]]+TblConstr[[#This Row],[Dest Smi]])/(TblConstr[[#This Row],[Land]]-TblExplore[[#This Row],[Land Bonus]]*20)</f>
        <v>0</v>
      </c>
      <c r="AD124" s="256"/>
      <c r="AE124" s="257">
        <f>TblMili[[#This Row],[Hour]]</f>
        <v>121</v>
      </c>
      <c r="AF124" s="138">
        <f ca="1">TblExplore[[#This Row],[Time]]</f>
        <v>46184.999999999709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46184.999999999709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315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TblMili[[#This Row],[Mystic]]*2</f>
        <v>4</v>
      </c>
      <c r="CR124" s="251">
        <f ca="1">TblMili[[#This Row],[Druid (op)]]*2</f>
        <v>4</v>
      </c>
      <c r="CS124" s="94">
        <f ca="1">TblMili[[#This Row],[Mystic bonus]]*TblMili[[#This Row],[Unit 3]]+TblMili[[#This Row],[Druid bonus]]*TblMili[[#This Row],[Unit 4]]</f>
        <v>0</v>
      </c>
      <c r="CT124" s="155">
        <f ca="1">TblMili[[#This Row],[Dryad]]*2</f>
        <v>5.9999999999999991</v>
      </c>
      <c r="CU124" s="94">
        <f ca="1">sylvan*(TblMili[[#This Row],[Mystic bonus]]*TblMili[[#This Row],[Unit 3]])</f>
        <v>0</v>
      </c>
      <c r="CV124" s="155">
        <f ca="1">TblMili[[#This Row],[Rockapult]]*2</f>
        <v>4</v>
      </c>
      <c r="CW124" s="94">
        <f ca="1">gnome*(TblMili[[#This Row],[Rockapult bonus]]*TblMili[[#This Row],[Unit 3]])</f>
        <v>0</v>
      </c>
      <c r="CX124" s="155">
        <f ca="1">TblMili[[#This Row],[Adept-DP]]*2</f>
        <v>0</v>
      </c>
      <c r="CY124" s="94">
        <f ca="1">dark_elf*(TblMili[[#This Row],[Adept bonus]]*TblMili[[#This Row],[Unit 3]])</f>
        <v>0</v>
      </c>
      <c r="CZ124" s="155">
        <f ca="1">TblMili[[#This Row],[Frost Mage]]*2</f>
        <v>5.9999999999999991</v>
      </c>
      <c r="DA124" s="155">
        <f ca="1">TblMili[[#This Row],[Ice Elemental]]*2</f>
        <v>0</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125" s="154"/>
      <c r="AC125" s="180">
        <f ca="1">(TblConstr[[#This Row],[Tot Smi]]+TblConstr[[#This Row],[Dest Smi]])/(TblConstr[[#This Row],[Land]]-TblExplore[[#This Row],[Land Bonus]]*20)</f>
        <v>0</v>
      </c>
      <c r="AD125" s="137"/>
      <c r="AE125" s="246">
        <f>TblMili[[#This Row],[Hour]]</f>
        <v>122</v>
      </c>
      <c r="AF125" s="138">
        <f ca="1">TblExplore[[#This Row],[Time]]</f>
        <v>46185.041666666373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46185.041666666373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315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TblMili[[#This Row],[Mystic]]*2</f>
        <v>4</v>
      </c>
      <c r="CR125" s="251">
        <f ca="1">TblMili[[#This Row],[Druid (op)]]*2</f>
        <v>4</v>
      </c>
      <c r="CS125" s="94">
        <f ca="1">TblMili[[#This Row],[Mystic bonus]]*TblMili[[#This Row],[Unit 3]]+TblMili[[#This Row],[Druid bonus]]*TblMili[[#This Row],[Unit 4]]</f>
        <v>0</v>
      </c>
      <c r="CT125" s="155">
        <f ca="1">TblMili[[#This Row],[Dryad]]*2</f>
        <v>5.9999999999999991</v>
      </c>
      <c r="CU125" s="94">
        <f ca="1">sylvan*(TblMili[[#This Row],[Mystic bonus]]*TblMili[[#This Row],[Unit 3]])</f>
        <v>0</v>
      </c>
      <c r="CV125" s="155">
        <f ca="1">TblMili[[#This Row],[Rockapult]]*2</f>
        <v>4</v>
      </c>
      <c r="CW125" s="94">
        <f ca="1">gnome*(TblMili[[#This Row],[Rockapult bonus]]*TblMili[[#This Row],[Unit 3]])</f>
        <v>0</v>
      </c>
      <c r="CX125" s="155">
        <f ca="1">TblMili[[#This Row],[Adept-DP]]*2</f>
        <v>0</v>
      </c>
      <c r="CY125" s="94">
        <f ca="1">dark_elf*(TblMili[[#This Row],[Adept bonus]]*TblMili[[#This Row],[Unit 3]])</f>
        <v>0</v>
      </c>
      <c r="CZ125" s="155">
        <f ca="1">TblMili[[#This Row],[Frost Mage]]*2</f>
        <v>5.9999999999999991</v>
      </c>
      <c r="DA125" s="155">
        <f ca="1">TblMili[[#This Row],[Ice Elemental]]*2</f>
        <v>0</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630</v>
      </c>
      <c r="AB126" s="154"/>
      <c r="AC126" s="180">
        <f ca="1">(TblConstr[[#This Row],[Tot Smi]]+TblConstr[[#This Row],[Dest Smi]])/(TblConstr[[#This Row],[Land]]-TblExplore[[#This Row],[Land Bonus]]*20)</f>
        <v>0</v>
      </c>
      <c r="AD126" s="137"/>
      <c r="AE126" s="246">
        <f>TblMili[[#This Row],[Hour]]</f>
        <v>123</v>
      </c>
      <c r="AF126" s="138">
        <f ca="1">TblExplore[[#This Row],[Time]]</f>
        <v>46185.083333333037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46185.083333333037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315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TblMili[[#This Row],[Mystic]]*2</f>
        <v>4</v>
      </c>
      <c r="CR126" s="251">
        <f ca="1">TblMili[[#This Row],[Druid (op)]]*2</f>
        <v>4</v>
      </c>
      <c r="CS126" s="94">
        <f ca="1">TblMili[[#This Row],[Mystic bonus]]*TblMili[[#This Row],[Unit 3]]+TblMili[[#This Row],[Druid bonus]]*TblMili[[#This Row],[Unit 4]]</f>
        <v>0</v>
      </c>
      <c r="CT126" s="155">
        <f ca="1">TblMili[[#This Row],[Dryad]]*2</f>
        <v>5.9999999999999991</v>
      </c>
      <c r="CU126" s="94">
        <f ca="1">sylvan*(TblMili[[#This Row],[Mystic bonus]]*TblMili[[#This Row],[Unit 3]])</f>
        <v>0</v>
      </c>
      <c r="CV126" s="155">
        <f ca="1">TblMili[[#This Row],[Rockapult]]*2</f>
        <v>4</v>
      </c>
      <c r="CW126" s="94">
        <f ca="1">gnome*(TblMili[[#This Row],[Rockapult bonus]]*TblMili[[#This Row],[Unit 3]])</f>
        <v>0</v>
      </c>
      <c r="CX126" s="155">
        <f ca="1">TblMili[[#This Row],[Adept-DP]]*2</f>
        <v>0</v>
      </c>
      <c r="CY126" s="94">
        <f ca="1">dark_elf*(TblMili[[#This Row],[Adept bonus]]*TblMili[[#This Row],[Unit 3]])</f>
        <v>0</v>
      </c>
      <c r="CZ126" s="155">
        <f ca="1">TblMili[[#This Row],[Frost Mage]]*2</f>
        <v>5.9999999999999991</v>
      </c>
      <c r="DA126" s="155">
        <f ca="1">TblMili[[#This Row],[Ice Elemental]]*2</f>
        <v>0</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631</v>
      </c>
      <c r="AB127" s="154"/>
      <c r="AC127" s="180">
        <f ca="1">(TblConstr[[#This Row],[Tot Smi]]+TblConstr[[#This Row],[Dest Smi]])/(TblConstr[[#This Row],[Land]]-TblExplore[[#This Row],[Land Bonus]]*20)</f>
        <v>0</v>
      </c>
      <c r="AD127" s="137"/>
      <c r="AE127" s="246">
        <f>TblMili[[#This Row],[Hour]]</f>
        <v>124</v>
      </c>
      <c r="AF127" s="138">
        <f ca="1">TblExplore[[#This Row],[Time]]</f>
        <v>46185.124999999702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46185.124999999702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315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TblMili[[#This Row],[Mystic]]*2</f>
        <v>4</v>
      </c>
      <c r="CR127" s="251">
        <f ca="1">TblMili[[#This Row],[Druid (op)]]*2</f>
        <v>4</v>
      </c>
      <c r="CS127" s="94">
        <f ca="1">TblMili[[#This Row],[Mystic bonus]]*TblMili[[#This Row],[Unit 3]]+TblMili[[#This Row],[Druid bonus]]*TblMili[[#This Row],[Unit 4]]</f>
        <v>0</v>
      </c>
      <c r="CT127" s="155">
        <f ca="1">TblMili[[#This Row],[Dryad]]*2</f>
        <v>5.9999999999999991</v>
      </c>
      <c r="CU127" s="94">
        <f ca="1">sylvan*(TblMili[[#This Row],[Mystic bonus]]*TblMili[[#This Row],[Unit 3]])</f>
        <v>0</v>
      </c>
      <c r="CV127" s="155">
        <f ca="1">TblMili[[#This Row],[Rockapult]]*2</f>
        <v>4</v>
      </c>
      <c r="CW127" s="94">
        <f ca="1">gnome*(TblMili[[#This Row],[Rockapult bonus]]*TblMili[[#This Row],[Unit 3]])</f>
        <v>0</v>
      </c>
      <c r="CX127" s="155">
        <f ca="1">TblMili[[#This Row],[Adept-DP]]*2</f>
        <v>0</v>
      </c>
      <c r="CY127" s="94">
        <f ca="1">dark_elf*(TblMili[[#This Row],[Adept bonus]]*TblMili[[#This Row],[Unit 3]])</f>
        <v>0</v>
      </c>
      <c r="CZ127" s="155">
        <f ca="1">TblMili[[#This Row],[Frost Mage]]*2</f>
        <v>5.9999999999999991</v>
      </c>
      <c r="DA127" s="155">
        <f ca="1">TblMili[[#This Row],[Ice Elemental]]*2</f>
        <v>0</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128" s="154"/>
      <c r="AC128" s="180">
        <f ca="1">(TblConstr[[#This Row],[Tot Smi]]+TblConstr[[#This Row],[Dest Smi]])/(TblConstr[[#This Row],[Land]]-TblExplore[[#This Row],[Land Bonus]]*20)</f>
        <v>0</v>
      </c>
      <c r="AD128" s="137"/>
      <c r="AE128" s="246">
        <f>TblMili[[#This Row],[Hour]]</f>
        <v>125</v>
      </c>
      <c r="AF128" s="138">
        <f ca="1">TblExplore[[#This Row],[Time]]</f>
        <v>46185.166666666366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46185.166666666366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315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TblMili[[#This Row],[Mystic]]*2</f>
        <v>4</v>
      </c>
      <c r="CR128" s="251">
        <f ca="1">TblMili[[#This Row],[Druid (op)]]*2</f>
        <v>4</v>
      </c>
      <c r="CS128" s="94">
        <f ca="1">TblMili[[#This Row],[Mystic bonus]]*TblMili[[#This Row],[Unit 3]]+TblMili[[#This Row],[Druid bonus]]*TblMili[[#This Row],[Unit 4]]</f>
        <v>0</v>
      </c>
      <c r="CT128" s="155">
        <f ca="1">TblMili[[#This Row],[Dryad]]*2</f>
        <v>5.9999999999999991</v>
      </c>
      <c r="CU128" s="94">
        <f ca="1">sylvan*(TblMili[[#This Row],[Mystic bonus]]*TblMili[[#This Row],[Unit 3]])</f>
        <v>0</v>
      </c>
      <c r="CV128" s="155">
        <f ca="1">TblMili[[#This Row],[Rockapult]]*2</f>
        <v>4</v>
      </c>
      <c r="CW128" s="94">
        <f ca="1">gnome*(TblMili[[#This Row],[Rockapult bonus]]*TblMili[[#This Row],[Unit 3]])</f>
        <v>0</v>
      </c>
      <c r="CX128" s="155">
        <f ca="1">TblMili[[#This Row],[Adept-DP]]*2</f>
        <v>0</v>
      </c>
      <c r="CY128" s="94">
        <f ca="1">dark_elf*(TblMili[[#This Row],[Adept bonus]]*TblMili[[#This Row],[Unit 3]])</f>
        <v>0</v>
      </c>
      <c r="CZ128" s="155">
        <f ca="1">TblMili[[#This Row],[Frost Mage]]*2</f>
        <v>5.9999999999999991</v>
      </c>
      <c r="DA128" s="155">
        <f ca="1">TblMili[[#This Row],[Ice Elemental]]*2</f>
        <v>0</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129" s="154"/>
      <c r="AC129" s="180">
        <f ca="1">(TblConstr[[#This Row],[Tot Smi]]+TblConstr[[#This Row],[Dest Smi]])/(TblConstr[[#This Row],[Land]]-TblExplore[[#This Row],[Land Bonus]]*20)</f>
        <v>0</v>
      </c>
      <c r="AD129" s="137"/>
      <c r="AE129" s="246">
        <f>TblMili[[#This Row],[Hour]]</f>
        <v>126</v>
      </c>
      <c r="AF129" s="138">
        <f ca="1">TblExplore[[#This Row],[Time]]</f>
        <v>46185.20833333303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46185.20833333303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315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TblMili[[#This Row],[Mystic]]*2</f>
        <v>4</v>
      </c>
      <c r="CR129" s="251">
        <f ca="1">TblMili[[#This Row],[Druid (op)]]*2</f>
        <v>4</v>
      </c>
      <c r="CS129" s="94">
        <f ca="1">TblMili[[#This Row],[Mystic bonus]]*TblMili[[#This Row],[Unit 3]]+TblMili[[#This Row],[Druid bonus]]*TblMili[[#This Row],[Unit 4]]</f>
        <v>0</v>
      </c>
      <c r="CT129" s="155">
        <f ca="1">TblMili[[#This Row],[Dryad]]*2</f>
        <v>5.9999999999999991</v>
      </c>
      <c r="CU129" s="94">
        <f ca="1">sylvan*(TblMili[[#This Row],[Mystic bonus]]*TblMili[[#This Row],[Unit 3]])</f>
        <v>0</v>
      </c>
      <c r="CV129" s="155">
        <f ca="1">TblMili[[#This Row],[Rockapult]]*2</f>
        <v>4</v>
      </c>
      <c r="CW129" s="94">
        <f ca="1">gnome*(TblMili[[#This Row],[Rockapult bonus]]*TblMili[[#This Row],[Unit 3]])</f>
        <v>0</v>
      </c>
      <c r="CX129" s="155">
        <f ca="1">TblMili[[#This Row],[Adept-DP]]*2</f>
        <v>0</v>
      </c>
      <c r="CY129" s="94">
        <f ca="1">dark_elf*(TblMili[[#This Row],[Adept bonus]]*TblMili[[#This Row],[Unit 3]])</f>
        <v>0</v>
      </c>
      <c r="CZ129" s="155">
        <f ca="1">TblMili[[#This Row],[Frost Mage]]*2</f>
        <v>5.9999999999999991</v>
      </c>
      <c r="DA129" s="155">
        <f ca="1">TblMili[[#This Row],[Ice Elemental]]*2</f>
        <v>0</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634</v>
      </c>
      <c r="AB130" s="154"/>
      <c r="AC130" s="180">
        <f ca="1">(TblConstr[[#This Row],[Tot Smi]]+TblConstr[[#This Row],[Dest Smi]])/(TblConstr[[#This Row],[Land]]-TblExplore[[#This Row],[Land Bonus]]*20)</f>
        <v>0</v>
      </c>
      <c r="AD130" s="137"/>
      <c r="AE130" s="246">
        <f>TblMili[[#This Row],[Hour]]</f>
        <v>127</v>
      </c>
      <c r="AF130" s="138">
        <f ca="1">TblExplore[[#This Row],[Time]]</f>
        <v>46185.249999999694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46185.249999999694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315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TblMili[[#This Row],[Mystic]]*2</f>
        <v>4</v>
      </c>
      <c r="CR130" s="251">
        <f ca="1">TblMili[[#This Row],[Druid (op)]]*2</f>
        <v>4</v>
      </c>
      <c r="CS130" s="94">
        <f ca="1">TblMili[[#This Row],[Mystic bonus]]*TblMili[[#This Row],[Unit 3]]+TblMili[[#This Row],[Druid bonus]]*TblMili[[#This Row],[Unit 4]]</f>
        <v>0</v>
      </c>
      <c r="CT130" s="155">
        <f ca="1">TblMili[[#This Row],[Dryad]]*2</f>
        <v>5.9999999999999991</v>
      </c>
      <c r="CU130" s="94">
        <f ca="1">sylvan*(TblMili[[#This Row],[Mystic bonus]]*TblMili[[#This Row],[Unit 3]])</f>
        <v>0</v>
      </c>
      <c r="CV130" s="155">
        <f ca="1">TblMili[[#This Row],[Rockapult]]*2</f>
        <v>4</v>
      </c>
      <c r="CW130" s="94">
        <f ca="1">gnome*(TblMili[[#This Row],[Rockapult bonus]]*TblMili[[#This Row],[Unit 3]])</f>
        <v>0</v>
      </c>
      <c r="CX130" s="155">
        <f ca="1">TblMili[[#This Row],[Adept-DP]]*2</f>
        <v>0</v>
      </c>
      <c r="CY130" s="94">
        <f ca="1">dark_elf*(TblMili[[#This Row],[Adept bonus]]*TblMili[[#This Row],[Unit 3]])</f>
        <v>0</v>
      </c>
      <c r="CZ130" s="155">
        <f ca="1">TblMili[[#This Row],[Frost Mage]]*2</f>
        <v>5.9999999999999991</v>
      </c>
      <c r="DA130" s="155">
        <f ca="1">TblMili[[#This Row],[Ice Elemental]]*2</f>
        <v>0</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635</v>
      </c>
      <c r="AB131" s="154"/>
      <c r="AC131" s="180">
        <f ca="1">(TblConstr[[#This Row],[Tot Smi]]+TblConstr[[#This Row],[Dest Smi]])/(TblConstr[[#This Row],[Land]]-TblExplore[[#This Row],[Land Bonus]]*20)</f>
        <v>0</v>
      </c>
      <c r="AD131" s="137"/>
      <c r="AE131" s="246">
        <f>TblMili[[#This Row],[Hour]]</f>
        <v>128</v>
      </c>
      <c r="AF131" s="138">
        <f ca="1">TblExplore[[#This Row],[Time]]</f>
        <v>46185.291666666359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46185.291666666359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315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TblMili[[#This Row],[Mystic]]*2</f>
        <v>4</v>
      </c>
      <c r="CR131" s="251">
        <f ca="1">TblMili[[#This Row],[Druid (op)]]*2</f>
        <v>4</v>
      </c>
      <c r="CS131" s="94">
        <f ca="1">TblMili[[#This Row],[Mystic bonus]]*TblMili[[#This Row],[Unit 3]]+TblMili[[#This Row],[Druid bonus]]*TblMili[[#This Row],[Unit 4]]</f>
        <v>0</v>
      </c>
      <c r="CT131" s="155">
        <f ca="1">TblMili[[#This Row],[Dryad]]*2</f>
        <v>5.9999999999999991</v>
      </c>
      <c r="CU131" s="94">
        <f ca="1">sylvan*(TblMili[[#This Row],[Mystic bonus]]*TblMili[[#This Row],[Unit 3]])</f>
        <v>0</v>
      </c>
      <c r="CV131" s="155">
        <f ca="1">TblMili[[#This Row],[Rockapult]]*2</f>
        <v>4</v>
      </c>
      <c r="CW131" s="94">
        <f ca="1">gnome*(TblMili[[#This Row],[Rockapult bonus]]*TblMili[[#This Row],[Unit 3]])</f>
        <v>0</v>
      </c>
      <c r="CX131" s="155">
        <f ca="1">TblMili[[#This Row],[Adept-DP]]*2</f>
        <v>0</v>
      </c>
      <c r="CY131" s="94">
        <f ca="1">dark_elf*(TblMili[[#This Row],[Adept bonus]]*TblMili[[#This Row],[Unit 3]])</f>
        <v>0</v>
      </c>
      <c r="CZ131" s="155">
        <f ca="1">TblMili[[#This Row],[Frost Mage]]*2</f>
        <v>5.9999999999999991</v>
      </c>
      <c r="DA131" s="155">
        <f ca="1">TblMili[[#This Row],[Ice Elemental]]*2</f>
        <v>0</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636</v>
      </c>
      <c r="AB132" s="154"/>
      <c r="AC132" s="180">
        <f ca="1">(TblConstr[[#This Row],[Tot Smi]]+TblConstr[[#This Row],[Dest Smi]])/(TblConstr[[#This Row],[Land]]-TblExplore[[#This Row],[Land Bonus]]*20)</f>
        <v>0</v>
      </c>
      <c r="AD132" s="137"/>
      <c r="AE132" s="246">
        <f>TblMili[[#This Row],[Hour]]</f>
        <v>129</v>
      </c>
      <c r="AF132" s="138">
        <f ca="1">TblExplore[[#This Row],[Time]]</f>
        <v>46185.333333333023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46185.333333333023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315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TblMili[[#This Row],[Mystic]]*2</f>
        <v>4</v>
      </c>
      <c r="CR132" s="251">
        <f ca="1">TblMili[[#This Row],[Druid (op)]]*2</f>
        <v>4</v>
      </c>
      <c r="CS132" s="94">
        <f ca="1">TblMili[[#This Row],[Mystic bonus]]*TblMili[[#This Row],[Unit 3]]+TblMili[[#This Row],[Druid bonus]]*TblMili[[#This Row],[Unit 4]]</f>
        <v>0</v>
      </c>
      <c r="CT132" s="155">
        <f ca="1">TblMili[[#This Row],[Dryad]]*2</f>
        <v>5.9999999999999991</v>
      </c>
      <c r="CU132" s="94">
        <f ca="1">sylvan*(TblMili[[#This Row],[Mystic bonus]]*TblMili[[#This Row],[Unit 3]])</f>
        <v>0</v>
      </c>
      <c r="CV132" s="155">
        <f ca="1">TblMili[[#This Row],[Rockapult]]*2</f>
        <v>4</v>
      </c>
      <c r="CW132" s="94">
        <f ca="1">gnome*(TblMili[[#This Row],[Rockapult bonus]]*TblMili[[#This Row],[Unit 3]])</f>
        <v>0</v>
      </c>
      <c r="CX132" s="155">
        <f ca="1">TblMili[[#This Row],[Adept-DP]]*2</f>
        <v>0</v>
      </c>
      <c r="CY132" s="94">
        <f ca="1">dark_elf*(TblMili[[#This Row],[Adept bonus]]*TblMili[[#This Row],[Unit 3]])</f>
        <v>0</v>
      </c>
      <c r="CZ132" s="155">
        <f ca="1">TblMili[[#This Row],[Frost Mage]]*2</f>
        <v>5.9999999999999991</v>
      </c>
      <c r="DA132" s="155">
        <f ca="1">TblMili[[#This Row],[Ice Elemental]]*2</f>
        <v>0</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133" s="154"/>
      <c r="AC133" s="180">
        <f ca="1">(TblConstr[[#This Row],[Tot Smi]]+TblConstr[[#This Row],[Dest Smi]])/(TblConstr[[#This Row],[Land]]-TblExplore[[#This Row],[Land Bonus]]*20)</f>
        <v>0</v>
      </c>
      <c r="AD133" s="137"/>
      <c r="AE133" s="246">
        <f>TblMili[[#This Row],[Hour]]</f>
        <v>130</v>
      </c>
      <c r="AF133" s="138">
        <f ca="1">TblExplore[[#This Row],[Time]]</f>
        <v>46185.374999999687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46185.374999999687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315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TblMili[[#This Row],[Mystic]]*2</f>
        <v>4</v>
      </c>
      <c r="CR133" s="251">
        <f ca="1">TblMili[[#This Row],[Druid (op)]]*2</f>
        <v>4</v>
      </c>
      <c r="CS133" s="94">
        <f ca="1">TblMili[[#This Row],[Mystic bonus]]*TblMili[[#This Row],[Unit 3]]+TblMili[[#This Row],[Druid bonus]]*TblMili[[#This Row],[Unit 4]]</f>
        <v>0</v>
      </c>
      <c r="CT133" s="155">
        <f ca="1">TblMili[[#This Row],[Dryad]]*2</f>
        <v>5.9999999999999991</v>
      </c>
      <c r="CU133" s="94">
        <f ca="1">sylvan*(TblMili[[#This Row],[Mystic bonus]]*TblMili[[#This Row],[Unit 3]])</f>
        <v>0</v>
      </c>
      <c r="CV133" s="155">
        <f ca="1">TblMili[[#This Row],[Rockapult]]*2</f>
        <v>4</v>
      </c>
      <c r="CW133" s="94">
        <f ca="1">gnome*(TblMili[[#This Row],[Rockapult bonus]]*TblMili[[#This Row],[Unit 3]])</f>
        <v>0</v>
      </c>
      <c r="CX133" s="155">
        <f ca="1">TblMili[[#This Row],[Adept-DP]]*2</f>
        <v>0</v>
      </c>
      <c r="CY133" s="94">
        <f ca="1">dark_elf*(TblMili[[#This Row],[Adept bonus]]*TblMili[[#This Row],[Unit 3]])</f>
        <v>0</v>
      </c>
      <c r="CZ133" s="155">
        <f ca="1">TblMili[[#This Row],[Frost Mage]]*2</f>
        <v>5.9999999999999991</v>
      </c>
      <c r="DA133" s="155">
        <f ca="1">TblMili[[#This Row],[Ice Elemental]]*2</f>
        <v>0</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638</v>
      </c>
      <c r="AB134" s="154"/>
      <c r="AC134" s="180">
        <f ca="1">(TblConstr[[#This Row],[Tot Smi]]+TblConstr[[#This Row],[Dest Smi]])/(TblConstr[[#This Row],[Land]]-TblExplore[[#This Row],[Land Bonus]]*20)</f>
        <v>0</v>
      </c>
      <c r="AD134" s="137"/>
      <c r="AE134" s="246">
        <f>TblMili[[#This Row],[Hour]]</f>
        <v>131</v>
      </c>
      <c r="AF134" s="138">
        <f ca="1">TblExplore[[#This Row],[Time]]</f>
        <v>46185.416666666351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46185.416666666351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315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TblMili[[#This Row],[Mystic]]*2</f>
        <v>4</v>
      </c>
      <c r="CR134" s="251">
        <f ca="1">TblMili[[#This Row],[Druid (op)]]*2</f>
        <v>4</v>
      </c>
      <c r="CS134" s="94">
        <f ca="1">TblMili[[#This Row],[Mystic bonus]]*TblMili[[#This Row],[Unit 3]]+TblMili[[#This Row],[Druid bonus]]*TblMili[[#This Row],[Unit 4]]</f>
        <v>0</v>
      </c>
      <c r="CT134" s="155">
        <f ca="1">TblMili[[#This Row],[Dryad]]*2</f>
        <v>5.9999999999999991</v>
      </c>
      <c r="CU134" s="94">
        <f ca="1">sylvan*(TblMili[[#This Row],[Mystic bonus]]*TblMili[[#This Row],[Unit 3]])</f>
        <v>0</v>
      </c>
      <c r="CV134" s="155">
        <f ca="1">TblMili[[#This Row],[Rockapult]]*2</f>
        <v>4</v>
      </c>
      <c r="CW134" s="94">
        <f ca="1">gnome*(TblMili[[#This Row],[Rockapult bonus]]*TblMili[[#This Row],[Unit 3]])</f>
        <v>0</v>
      </c>
      <c r="CX134" s="155">
        <f ca="1">TblMili[[#This Row],[Adept-DP]]*2</f>
        <v>0</v>
      </c>
      <c r="CY134" s="94">
        <f ca="1">dark_elf*(TblMili[[#This Row],[Adept bonus]]*TblMili[[#This Row],[Unit 3]])</f>
        <v>0</v>
      </c>
      <c r="CZ134" s="155">
        <f ca="1">TblMili[[#This Row],[Frost Mage]]*2</f>
        <v>5.9999999999999991</v>
      </c>
      <c r="DA134" s="155">
        <f ca="1">TblMili[[#This Row],[Ice Elemental]]*2</f>
        <v>0</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639</v>
      </c>
      <c r="AB135" s="154"/>
      <c r="AC135" s="180">
        <f ca="1">(TblConstr[[#This Row],[Tot Smi]]+TblConstr[[#This Row],[Dest Smi]])/(TblConstr[[#This Row],[Land]]-TblExplore[[#This Row],[Land Bonus]]*20)</f>
        <v>0</v>
      </c>
      <c r="AD135" s="137"/>
      <c r="AE135" s="246">
        <f>TblMili[[#This Row],[Hour]]</f>
        <v>132</v>
      </c>
      <c r="AF135" s="138">
        <f ca="1">TblExplore[[#This Row],[Time]]</f>
        <v>46185.458333333016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46185.458333333016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315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TblMili[[#This Row],[Mystic]]*2</f>
        <v>4</v>
      </c>
      <c r="CR135" s="251">
        <f ca="1">TblMili[[#This Row],[Druid (op)]]*2</f>
        <v>4</v>
      </c>
      <c r="CS135" s="94">
        <f ca="1">TblMili[[#This Row],[Mystic bonus]]*TblMili[[#This Row],[Unit 3]]+TblMili[[#This Row],[Druid bonus]]*TblMili[[#This Row],[Unit 4]]</f>
        <v>0</v>
      </c>
      <c r="CT135" s="155">
        <f ca="1">TblMili[[#This Row],[Dryad]]*2</f>
        <v>5.9999999999999991</v>
      </c>
      <c r="CU135" s="94">
        <f ca="1">sylvan*(TblMili[[#This Row],[Mystic bonus]]*TblMili[[#This Row],[Unit 3]])</f>
        <v>0</v>
      </c>
      <c r="CV135" s="155">
        <f ca="1">TblMili[[#This Row],[Rockapult]]*2</f>
        <v>4</v>
      </c>
      <c r="CW135" s="94">
        <f ca="1">gnome*(TblMili[[#This Row],[Rockapult bonus]]*TblMili[[#This Row],[Unit 3]])</f>
        <v>0</v>
      </c>
      <c r="CX135" s="155">
        <f ca="1">TblMili[[#This Row],[Adept-DP]]*2</f>
        <v>0</v>
      </c>
      <c r="CY135" s="94">
        <f ca="1">dark_elf*(TblMili[[#This Row],[Adept bonus]]*TblMili[[#This Row],[Unit 3]])</f>
        <v>0</v>
      </c>
      <c r="CZ135" s="155">
        <f ca="1">TblMili[[#This Row],[Frost Mage]]*2</f>
        <v>5.9999999999999991</v>
      </c>
      <c r="DA135" s="155">
        <f ca="1">TblMili[[#This Row],[Ice Elemental]]*2</f>
        <v>0</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640</v>
      </c>
      <c r="AB136" s="154"/>
      <c r="AC136" s="180">
        <f ca="1">(TblConstr[[#This Row],[Tot Smi]]+TblConstr[[#This Row],[Dest Smi]])/(TblConstr[[#This Row],[Land]]-TblExplore[[#This Row],[Land Bonus]]*20)</f>
        <v>0</v>
      </c>
      <c r="AD136" s="246"/>
      <c r="AE136" s="246">
        <f>TblMili[[#This Row],[Hour]]</f>
        <v>133</v>
      </c>
      <c r="AF136" s="138">
        <f ca="1">TblExplore[[#This Row],[Time]]</f>
        <v>46185.49999999968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AS]]*TblMili[[#This Row],[ASs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46185.49999999968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315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TblMili[[#This Row],[Mystic]]*2</f>
        <v>4</v>
      </c>
      <c r="CR136" s="251">
        <f ca="1">TblMili[[#This Row],[Druid (op)]]*2</f>
        <v>4</v>
      </c>
      <c r="CS136" s="94">
        <f ca="1">TblMili[[#This Row],[Mystic bonus]]*TblMili[[#This Row],[Unit 3]]+TblMili[[#This Row],[Druid bonus]]*TblMili[[#This Row],[Unit 4]]</f>
        <v>0</v>
      </c>
      <c r="CT136" s="155">
        <f ca="1">TblMili[[#This Row],[Dryad]]*2</f>
        <v>5.9999999999999991</v>
      </c>
      <c r="CU136" s="94">
        <f ca="1">sylvan*(TblMili[[#This Row],[Mystic bonus]]*TblMili[[#This Row],[Unit 3]])</f>
        <v>0</v>
      </c>
      <c r="CV136" s="155">
        <f ca="1">TblMili[[#This Row],[Rockapult]]*2</f>
        <v>4</v>
      </c>
      <c r="CW136" s="94">
        <f ca="1">gnome*(TblMili[[#This Row],[Rockapult bonus]]*TblMili[[#This Row],[Unit 3]])</f>
        <v>0</v>
      </c>
      <c r="CX136" s="155">
        <f ca="1">TblMili[[#This Row],[Adept-DP]]*2</f>
        <v>0</v>
      </c>
      <c r="CY136" s="94">
        <f ca="1">dark_elf*(TblMili[[#This Row],[Adept bonus]]*TblMili[[#This Row],[Unit 3]])</f>
        <v>0</v>
      </c>
      <c r="CZ136" s="155">
        <f ca="1">TblMili[[#This Row],[Frost Mage]]*2</f>
        <v>5.9999999999999991</v>
      </c>
      <c r="DA136" s="155">
        <f ca="1">TblMili[[#This Row],[Ice Elemental]]*2</f>
        <v>0</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1" t="s">
        <v>314</v>
      </c>
      <c r="C1269" s="531"/>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4" priority="37" stopIfTrue="1">
      <formula>ROW()-2=#REF!</formula>
    </cfRule>
  </conditionalFormatting>
  <conditionalFormatting sqref="A1269:DF1270">
    <cfRule type="expression" dxfId="393" priority="38" stopIfTrue="1">
      <formula>$B$1270&gt;144</formula>
    </cfRule>
  </conditionalFormatting>
  <conditionalFormatting sqref="A4:DI136">
    <cfRule type="expression" dxfId="392" priority="1" stopIfTrue="1">
      <formula>ROW()-3=$B$1270</formula>
    </cfRule>
    <cfRule type="expression" dxfId="391" priority="2" stopIfTrue="1">
      <formula>OR(ROW()-3=$B$1270,A4&lt;0)</formula>
    </cfRule>
    <cfRule type="expression" dxfId="390" priority="35">
      <formula>$A4=49</formula>
    </cfRule>
  </conditionalFormatting>
  <conditionalFormatting sqref="A3:DI136">
    <cfRule type="expression" dxfId="389" priority="39">
      <formula>ROUND(($A3-1)/12,0)=INT($A3-1)/12</formula>
    </cfRule>
  </conditionalFormatting>
  <conditionalFormatting sqref="A1:AO2 AQ1:AV2 AX1:BU2 BW1:CM1 BY2:CN2 CX2:XFD2 CO1:DD1 DF1:XFD1 A3:XFD3">
    <cfRule type="expression" dxfId="388"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topLeftCell="B1"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8" t="s">
        <v>1068</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8"/>
      <c r="P2" s="242" t="s">
        <v>92</v>
      </c>
      <c r="Q2" s="242" t="s">
        <v>103</v>
      </c>
      <c r="R2" s="242" t="s">
        <v>328</v>
      </c>
      <c r="S2" s="242" t="s">
        <v>342</v>
      </c>
      <c r="T2" s="242" t="s">
        <v>498</v>
      </c>
      <c r="U2" s="242" t="s">
        <v>90</v>
      </c>
      <c r="V2" s="242" t="s">
        <v>1123</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1104</v>
      </c>
      <c r="O3" s="135" t="s">
        <v>1069</v>
      </c>
      <c r="P3" s="135" t="s">
        <v>297</v>
      </c>
      <c r="Q3" s="135" t="s">
        <v>334</v>
      </c>
      <c r="R3" s="135" t="s">
        <v>1070</v>
      </c>
      <c r="S3" s="135" t="s">
        <v>340</v>
      </c>
      <c r="T3" s="135" t="s">
        <v>424</v>
      </c>
      <c r="U3" s="135" t="s">
        <v>1063</v>
      </c>
      <c r="V3" s="135" t="s">
        <v>1153</v>
      </c>
      <c r="W3" s="135" t="s">
        <v>501</v>
      </c>
      <c r="X3" s="135" t="s">
        <v>765</v>
      </c>
      <c r="Y3" s="135" t="s">
        <v>910</v>
      </c>
      <c r="Z3" s="135" t="s">
        <v>911</v>
      </c>
      <c r="AA3" s="135" t="s">
        <v>766</v>
      </c>
      <c r="AB3" s="135" t="s">
        <v>912</v>
      </c>
      <c r="AC3" s="135" t="s">
        <v>913</v>
      </c>
      <c r="AD3" s="135" t="s">
        <v>914</v>
      </c>
      <c r="AE3" s="135" t="s">
        <v>915</v>
      </c>
      <c r="AF3" s="135" t="s">
        <v>916</v>
      </c>
      <c r="AG3" s="135" t="s">
        <v>919</v>
      </c>
      <c r="AH3" s="135" t="s">
        <v>920</v>
      </c>
      <c r="AI3" s="135" t="s">
        <v>1105</v>
      </c>
      <c r="AJ3" s="135" t="s">
        <v>917</v>
      </c>
      <c r="AK3" s="135" t="s">
        <v>921</v>
      </c>
      <c r="AL3" s="135" t="s">
        <v>922</v>
      </c>
      <c r="AM3" s="135" t="s">
        <v>1079</v>
      </c>
      <c r="AN3" s="135" t="s">
        <v>923</v>
      </c>
      <c r="AO3" s="135" t="s">
        <v>918</v>
      </c>
      <c r="AP3" s="411" t="s">
        <v>1064</v>
      </c>
      <c r="AQ3" s="411" t="s">
        <v>1154</v>
      </c>
    </row>
    <row r="4" spans="1:43" x14ac:dyDescent="0.2">
      <c r="A4" s="137">
        <f>TblRezone[[#This Row],[Hour]]</f>
        <v>1</v>
      </c>
      <c r="B4" s="154">
        <f ca="1">TblConstr[[#This Row],[Land]]</f>
        <v>50</v>
      </c>
      <c r="C4" s="94">
        <f ca="1">TblProd[[#This Row],[Mana]]</f>
        <v>0</v>
      </c>
      <c r="D4" s="397">
        <f>1-TblMagic[[#This Row],[Wiz str cost]]</f>
        <v>1</v>
      </c>
      <c r="E4" s="159">
        <f>Imps!L4</f>
        <v>46180</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46180.041666666664</v>
      </c>
      <c r="F5" s="156">
        <f ca="1">TblImps[[#This Row],[Population]]</f>
        <v>1</v>
      </c>
      <c r="G5" s="218"/>
      <c r="H5" s="218"/>
      <c r="I5" s="218"/>
      <c r="J5" s="218"/>
      <c r="K5" s="405"/>
      <c r="L5" s="218"/>
      <c r="M5" s="218"/>
      <c r="N5" s="218"/>
      <c r="O5" s="218"/>
      <c r="P5" s="218"/>
      <c r="Q5" s="218"/>
      <c r="R5" s="218"/>
      <c r="S5" s="218"/>
      <c r="T5" s="218"/>
      <c r="U5" s="218"/>
      <c r="V5" s="218"/>
      <c r="W5" s="218"/>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46180.083333333328</v>
      </c>
      <c r="F6" s="156">
        <f ca="1">TblImps[[#This Row],[Population]]</f>
        <v>1</v>
      </c>
      <c r="G6" s="218"/>
      <c r="H6" s="218"/>
      <c r="I6" s="218"/>
      <c r="J6" s="218"/>
      <c r="K6" s="405"/>
      <c r="L6" s="218"/>
      <c r="M6" s="218"/>
      <c r="N6" s="218"/>
      <c r="O6" s="218"/>
      <c r="P6" s="218"/>
      <c r="Q6" s="218"/>
      <c r="R6" s="218"/>
      <c r="S6" s="218"/>
      <c r="T6" s="218"/>
      <c r="U6" s="218"/>
      <c r="V6" s="218"/>
      <c r="W6" s="218"/>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46180.124999999993</v>
      </c>
      <c r="F7" s="156">
        <f ca="1">TblImps[[#This Row],[Population]]</f>
        <v>1</v>
      </c>
      <c r="G7" s="218"/>
      <c r="H7" s="218"/>
      <c r="I7" s="218"/>
      <c r="J7" s="218"/>
      <c r="K7" s="405"/>
      <c r="L7" s="218"/>
      <c r="M7" s="218"/>
      <c r="N7" s="218"/>
      <c r="O7" s="218"/>
      <c r="P7" s="218"/>
      <c r="Q7" s="218"/>
      <c r="R7" s="218"/>
      <c r="S7" s="218"/>
      <c r="T7" s="218"/>
      <c r="U7" s="218"/>
      <c r="V7" s="218"/>
      <c r="W7" s="218"/>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46180.166666666657</v>
      </c>
      <c r="F8" s="156">
        <f ca="1">TblImps[[#This Row],[Population]]</f>
        <v>1</v>
      </c>
      <c r="G8" s="218"/>
      <c r="H8" s="218"/>
      <c r="I8" s="218"/>
      <c r="J8" s="218"/>
      <c r="K8" s="405"/>
      <c r="L8" s="218"/>
      <c r="M8" s="218"/>
      <c r="N8" s="218"/>
      <c r="O8" s="218"/>
      <c r="P8" s="218"/>
      <c r="Q8" s="218"/>
      <c r="R8" s="218"/>
      <c r="S8" s="218"/>
      <c r="T8" s="218"/>
      <c r="U8" s="218"/>
      <c r="V8" s="218"/>
      <c r="W8" s="218"/>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46180.208333333321</v>
      </c>
      <c r="F9" s="156">
        <f ca="1">TblImps[[#This Row],[Population]]</f>
        <v>1</v>
      </c>
      <c r="G9" s="218"/>
      <c r="H9" s="218"/>
      <c r="I9" s="218"/>
      <c r="J9" s="218"/>
      <c r="K9" s="405"/>
      <c r="L9" s="218"/>
      <c r="M9" s="218"/>
      <c r="N9" s="218"/>
      <c r="O9" s="218"/>
      <c r="P9" s="218"/>
      <c r="Q9" s="218"/>
      <c r="R9" s="218"/>
      <c r="S9" s="218"/>
      <c r="T9" s="218"/>
      <c r="U9" s="218"/>
      <c r="V9" s="218"/>
      <c r="W9" s="218"/>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46180.249999999985</v>
      </c>
      <c r="F10" s="156">
        <f ca="1">TblImps[[#This Row],[Population]]</f>
        <v>1</v>
      </c>
      <c r="G10" s="218"/>
      <c r="H10" s="218"/>
      <c r="I10" s="218"/>
      <c r="J10" s="218"/>
      <c r="K10" s="405"/>
      <c r="L10" s="218"/>
      <c r="M10" s="218"/>
      <c r="N10" s="218"/>
      <c r="O10" s="218"/>
      <c r="P10" s="218"/>
      <c r="Q10" s="218"/>
      <c r="R10" s="218"/>
      <c r="S10" s="218"/>
      <c r="T10" s="218"/>
      <c r="U10" s="218"/>
      <c r="V10" s="218"/>
      <c r="W10" s="218"/>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46180.29166666665</v>
      </c>
      <c r="F11" s="156">
        <f ca="1">TblImps[[#This Row],[Population]]</f>
        <v>1</v>
      </c>
      <c r="G11" s="218"/>
      <c r="H11" s="218"/>
      <c r="I11" s="218"/>
      <c r="J11" s="218"/>
      <c r="K11" s="405"/>
      <c r="L11" s="218"/>
      <c r="M11" s="218"/>
      <c r="N11" s="218"/>
      <c r="O11" s="218"/>
      <c r="P11" s="218"/>
      <c r="Q11" s="218"/>
      <c r="R11" s="218"/>
      <c r="S11" s="218"/>
      <c r="T11" s="218"/>
      <c r="U11" s="218"/>
      <c r="V11" s="218"/>
      <c r="W11" s="218"/>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46180.333333333314</v>
      </c>
      <c r="F12" s="156">
        <f ca="1">TblImps[[#This Row],[Population]]</f>
        <v>1</v>
      </c>
      <c r="G12" s="218"/>
      <c r="H12" s="218"/>
      <c r="I12" s="218"/>
      <c r="J12" s="218"/>
      <c r="K12" s="405"/>
      <c r="L12" s="218"/>
      <c r="M12" s="218"/>
      <c r="N12" s="218"/>
      <c r="O12" s="218"/>
      <c r="P12" s="218"/>
      <c r="Q12" s="218"/>
      <c r="R12" s="218"/>
      <c r="S12" s="218"/>
      <c r="T12" s="218"/>
      <c r="U12" s="218"/>
      <c r="V12" s="218"/>
      <c r="W12" s="218"/>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46180.374999999978</v>
      </c>
      <c r="F13" s="156">
        <f ca="1">TblImps[[#This Row],[Population]]</f>
        <v>1</v>
      </c>
      <c r="G13" s="218"/>
      <c r="H13" s="218"/>
      <c r="I13" s="218"/>
      <c r="J13" s="218"/>
      <c r="K13" s="405"/>
      <c r="L13" s="218"/>
      <c r="M13" s="218"/>
      <c r="N13" s="218"/>
      <c r="O13" s="218"/>
      <c r="P13" s="218"/>
      <c r="Q13" s="218"/>
      <c r="R13" s="218"/>
      <c r="S13" s="218"/>
      <c r="T13" s="218"/>
      <c r="U13" s="218"/>
      <c r="V13" s="218"/>
      <c r="W13" s="218"/>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46180.416666666642</v>
      </c>
      <c r="F14" s="156">
        <f ca="1">TblImps[[#This Row],[Population]]</f>
        <v>1</v>
      </c>
      <c r="G14" s="218"/>
      <c r="H14" s="218"/>
      <c r="I14" s="218"/>
      <c r="J14" s="218"/>
      <c r="K14" s="405"/>
      <c r="L14" s="218"/>
      <c r="M14" s="218"/>
      <c r="N14" s="218"/>
      <c r="O14" s="218"/>
      <c r="P14" s="218"/>
      <c r="Q14" s="218"/>
      <c r="R14" s="218"/>
      <c r="S14" s="218"/>
      <c r="T14" s="218"/>
      <c r="U14" s="218"/>
      <c r="V14" s="218"/>
      <c r="W14" s="218"/>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46180.458333333307</v>
      </c>
      <c r="F15" s="156">
        <f ca="1">TblImps[[#This Row],[Population]]</f>
        <v>1</v>
      </c>
      <c r="G15" s="218"/>
      <c r="H15" s="218"/>
      <c r="I15" s="218"/>
      <c r="J15" s="218"/>
      <c r="K15" s="405"/>
      <c r="L15" s="218"/>
      <c r="M15" s="218"/>
      <c r="N15" s="218"/>
      <c r="O15" s="218"/>
      <c r="P15" s="218"/>
      <c r="Q15" s="218"/>
      <c r="R15" s="218"/>
      <c r="S15" s="218"/>
      <c r="T15" s="218"/>
      <c r="U15" s="218"/>
      <c r="V15" s="218"/>
      <c r="W15" s="218"/>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46180.499999999971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46180.541666666635</v>
      </c>
      <c r="F17" s="156">
        <f ca="1">TblImps[[#This Row],[Population]]</f>
        <v>1</v>
      </c>
      <c r="G17" s="218"/>
      <c r="H17" s="218"/>
      <c r="I17" s="218"/>
      <c r="J17" s="218"/>
      <c r="K17" s="405"/>
      <c r="L17" s="218"/>
      <c r="M17" s="218"/>
      <c r="N17" s="218"/>
      <c r="O17" s="218"/>
      <c r="P17" s="218"/>
      <c r="Q17" s="218"/>
      <c r="R17" s="218"/>
      <c r="S17" s="218"/>
      <c r="T17" s="218"/>
      <c r="U17" s="218"/>
      <c r="V17" s="218"/>
      <c r="W17" s="218"/>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46180.583333333299</v>
      </c>
      <c r="F18" s="156">
        <f ca="1">TblImps[[#This Row],[Population]]</f>
        <v>1</v>
      </c>
      <c r="G18" s="218"/>
      <c r="H18" s="218"/>
      <c r="I18" s="218"/>
      <c r="J18" s="218"/>
      <c r="K18" s="405"/>
      <c r="L18" s="218"/>
      <c r="M18" s="218"/>
      <c r="N18" s="218"/>
      <c r="O18" s="218"/>
      <c r="P18" s="218"/>
      <c r="Q18" s="218"/>
      <c r="R18" s="218"/>
      <c r="S18" s="218"/>
      <c r="T18" s="218"/>
      <c r="U18" s="218"/>
      <c r="V18" s="218"/>
      <c r="W18" s="218"/>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46180.624999999964</v>
      </c>
      <c r="F19" s="156">
        <f ca="1">TblImps[[#This Row],[Population]]</f>
        <v>1</v>
      </c>
      <c r="G19" s="218"/>
      <c r="H19" s="218"/>
      <c r="I19" s="218"/>
      <c r="J19" s="218"/>
      <c r="K19" s="405"/>
      <c r="L19" s="218"/>
      <c r="M19" s="218"/>
      <c r="N19" s="218"/>
      <c r="O19" s="218"/>
      <c r="P19" s="218"/>
      <c r="Q19" s="218"/>
      <c r="R19" s="218"/>
      <c r="S19" s="218"/>
      <c r="T19" s="218"/>
      <c r="U19" s="218"/>
      <c r="V19" s="218"/>
      <c r="W19" s="218"/>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46180.666666666628</v>
      </c>
      <c r="F20" s="156">
        <f ca="1">TblImps[[#This Row],[Population]]</f>
        <v>1</v>
      </c>
      <c r="G20" s="218"/>
      <c r="H20" s="218"/>
      <c r="I20" s="218"/>
      <c r="J20" s="218"/>
      <c r="K20" s="405"/>
      <c r="L20" s="218"/>
      <c r="M20" s="218"/>
      <c r="N20" s="218"/>
      <c r="O20" s="218"/>
      <c r="P20" s="218"/>
      <c r="Q20" s="218"/>
      <c r="R20" s="218"/>
      <c r="S20" s="218"/>
      <c r="T20" s="218"/>
      <c r="U20" s="218"/>
      <c r="V20" s="218"/>
      <c r="W20" s="218"/>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46180.708333333292</v>
      </c>
      <c r="F21" s="156">
        <f ca="1">TblImps[[#This Row],[Population]]</f>
        <v>1</v>
      </c>
      <c r="G21" s="218"/>
      <c r="H21" s="218"/>
      <c r="I21" s="218"/>
      <c r="J21" s="218"/>
      <c r="K21" s="405"/>
      <c r="L21" s="218"/>
      <c r="M21" s="218"/>
      <c r="N21" s="218"/>
      <c r="O21" s="218"/>
      <c r="P21" s="218"/>
      <c r="Q21" s="218"/>
      <c r="R21" s="218"/>
      <c r="S21" s="218"/>
      <c r="T21" s="218"/>
      <c r="U21" s="218"/>
      <c r="V21" s="218"/>
      <c r="W21" s="218"/>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46180.749999999956</v>
      </c>
      <c r="F22" s="156">
        <f ca="1">TblImps[[#This Row],[Population]]</f>
        <v>1</v>
      </c>
      <c r="G22" s="218"/>
      <c r="H22" s="218"/>
      <c r="I22" s="218"/>
      <c r="J22" s="218"/>
      <c r="K22" s="405"/>
      <c r="L22" s="218"/>
      <c r="M22" s="218"/>
      <c r="N22" s="218"/>
      <c r="O22" s="218"/>
      <c r="P22" s="218"/>
      <c r="Q22" s="218"/>
      <c r="R22" s="218"/>
      <c r="S22" s="218"/>
      <c r="T22" s="218"/>
      <c r="U22" s="218"/>
      <c r="V22" s="218"/>
      <c r="W22" s="218"/>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46180.791666666621</v>
      </c>
      <c r="F23" s="156">
        <f ca="1">TblImps[[#This Row],[Population]]</f>
        <v>1</v>
      </c>
      <c r="G23" s="218"/>
      <c r="H23" s="218"/>
      <c r="I23" s="218"/>
      <c r="J23" s="218"/>
      <c r="K23" s="405"/>
      <c r="L23" s="218"/>
      <c r="M23" s="218"/>
      <c r="N23" s="218"/>
      <c r="O23" s="218"/>
      <c r="P23" s="218"/>
      <c r="Q23" s="218"/>
      <c r="R23" s="218"/>
      <c r="S23" s="218"/>
      <c r="T23" s="218"/>
      <c r="U23" s="218"/>
      <c r="V23" s="218"/>
      <c r="W23" s="218"/>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46180.833333333285</v>
      </c>
      <c r="F24" s="156">
        <f ca="1">TblImps[[#This Row],[Population]]</f>
        <v>1</v>
      </c>
      <c r="G24" s="218"/>
      <c r="H24" s="218"/>
      <c r="I24" s="218"/>
      <c r="J24" s="218"/>
      <c r="K24" s="405"/>
      <c r="L24" s="218"/>
      <c r="M24" s="218"/>
      <c r="N24" s="218"/>
      <c r="O24" s="218"/>
      <c r="P24" s="218"/>
      <c r="Q24" s="218"/>
      <c r="R24" s="218"/>
      <c r="S24" s="218"/>
      <c r="T24" s="218"/>
      <c r="U24" s="218"/>
      <c r="V24" s="218"/>
      <c r="W24" s="218"/>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46180.874999999949</v>
      </c>
      <c r="F25" s="156">
        <f ca="1">TblImps[[#This Row],[Population]]</f>
        <v>1</v>
      </c>
      <c r="G25" s="218"/>
      <c r="H25" s="218"/>
      <c r="I25" s="218"/>
      <c r="J25" s="218"/>
      <c r="K25" s="405"/>
      <c r="L25" s="218"/>
      <c r="M25" s="218"/>
      <c r="N25" s="218"/>
      <c r="O25" s="218"/>
      <c r="P25" s="218"/>
      <c r="Q25" s="218"/>
      <c r="R25" s="218"/>
      <c r="S25" s="218"/>
      <c r="T25" s="218"/>
      <c r="U25" s="218"/>
      <c r="V25" s="218"/>
      <c r="W25" s="218"/>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46180.916666666613</v>
      </c>
      <c r="F26" s="156">
        <f ca="1">TblImps[[#This Row],[Population]]</f>
        <v>1</v>
      </c>
      <c r="G26" s="218"/>
      <c r="H26" s="218"/>
      <c r="I26" s="218"/>
      <c r="J26" s="218"/>
      <c r="K26" s="405"/>
      <c r="L26" s="218"/>
      <c r="M26" s="218"/>
      <c r="N26" s="218"/>
      <c r="O26" s="218"/>
      <c r="P26" s="218"/>
      <c r="Q26" s="218"/>
      <c r="R26" s="218"/>
      <c r="S26" s="218"/>
      <c r="T26" s="218"/>
      <c r="U26" s="218"/>
      <c r="V26" s="218"/>
      <c r="W26" s="218"/>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46180.958333333278</v>
      </c>
      <c r="F27" s="156">
        <f ca="1">TblImps[[#This Row],[Population]]</f>
        <v>1</v>
      </c>
      <c r="G27" s="218"/>
      <c r="H27" s="218"/>
      <c r="I27" s="218"/>
      <c r="J27" s="218"/>
      <c r="K27" s="405"/>
      <c r="L27" s="218"/>
      <c r="M27" s="218"/>
      <c r="N27" s="218"/>
      <c r="O27" s="218"/>
      <c r="P27" s="218"/>
      <c r="Q27" s="218"/>
      <c r="R27" s="218"/>
      <c r="S27" s="218"/>
      <c r="T27" s="218"/>
      <c r="U27" s="218"/>
      <c r="V27" s="218"/>
      <c r="W27" s="218"/>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46180.999999999942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46181.041666666606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46181.08333333327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46181.124999999935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46181.166666666599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46181.208333333263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46181.249999999927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46181.291666666591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46181.333333333256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46181.37499999992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46181.416666666584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46181.458333333248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x14ac:dyDescent="0.2">
      <c r="A40" s="137">
        <f>TblRezone[[#This Row],[Hour]]</f>
        <v>37</v>
      </c>
      <c r="B40" s="154">
        <f ca="1">TblConstr[[#This Row],[Land]]</f>
        <v>50</v>
      </c>
      <c r="C40" s="94">
        <f ca="1">TblProd[[#This Row],[Mana]]</f>
        <v>0</v>
      </c>
      <c r="D40" s="156">
        <f ca="1">MIN(1,OFFSET(TblMagic[[#This Row],[Wiz str]],-1,0)+0.04+ROUNDDOWN(10*OFFSET(TblMili[[#This Row],[WG''s]],-1,0),0)+ tech_2_7*OFFSET(TblTech[[#This Row],[2-7]],-1,0) + tech_5_6*OFFSET(TblTech[[#This Row],[5-6]],-1,0) )-TblMagic[[#This Row],[Wiz str cost]]</f>
        <v>1</v>
      </c>
      <c r="E40" s="159">
        <f ca="1">OFFSET(TblMagic[[#This Row],[Time]],-1,0)+1/24</f>
        <v>46181.499999999913</v>
      </c>
      <c r="F40" s="156">
        <f ca="1">TblImps[[#This Row],[Population]]</f>
        <v>1</v>
      </c>
      <c r="G40" s="218"/>
      <c r="H40" s="218"/>
      <c r="I40" s="218"/>
      <c r="J40" s="218"/>
      <c r="K40" s="405"/>
      <c r="L40" s="218"/>
      <c r="M40" s="218"/>
      <c r="N40" s="218"/>
      <c r="O40" s="218"/>
      <c r="P40" s="218"/>
      <c r="Q40" s="218"/>
      <c r="R40" s="218"/>
      <c r="S40" s="218"/>
      <c r="T40" s="218"/>
      <c r="U40" s="218"/>
      <c r="V40" s="218"/>
      <c r="W40" s="218"/>
      <c r="X40" s="142"/>
      <c r="Y4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6">
        <f>SUMIF(TblMagic[[#This Row],[Gaia''s Watch]:[Useless spell]],1)*0.05</f>
        <v>0</v>
      </c>
      <c r="AA40" s="142"/>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Row],[Infernal Command]],12,IF(OFFSET(TblMagic[[#This Row],[Active Infernal Command]],-1,0)&gt;0,OFFSET(TblMagic[[#This Row],[Active Infernal Command]],-1,0)-1,0))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46181.541666666577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46181.583333333241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46181.624999999905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46181.66666666657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46181.708333333234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46181.749999999898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46181.791666666562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46181.833333333227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46181.874999999891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46181.916666666555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46181.958333333219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s="5" customFormat="1" x14ac:dyDescent="0.2">
      <c r="A52" s="144">
        <f>TblRezone[[#This Row],[Hour]]</f>
        <v>49</v>
      </c>
      <c r="B52" s="162">
        <f ca="1">TblConstr[[#This Row],[Land]]</f>
        <v>50</v>
      </c>
      <c r="C52" s="35">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46181.999999999884</v>
      </c>
      <c r="F52" s="164">
        <f ca="1">TblImps[[#This Row],[Population]]</f>
        <v>1</v>
      </c>
      <c r="G52" s="233"/>
      <c r="H52" s="233"/>
      <c r="I52" s="233"/>
      <c r="J52" s="233"/>
      <c r="K52" s="406"/>
      <c r="L52" s="233"/>
      <c r="M52" s="233"/>
      <c r="N52" s="233"/>
      <c r="O52" s="233"/>
      <c r="P52" s="233"/>
      <c r="Q52" s="233"/>
      <c r="R52" s="233"/>
      <c r="S52" s="233"/>
      <c r="T52" s="233"/>
      <c r="U52" s="233"/>
      <c r="V52" s="233"/>
      <c r="W52" s="233"/>
      <c r="X52" s="149"/>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4">
        <f>SUMIF(TblMagic[[#This Row],[Gaia''s Watch]:[Useless spell]],1)*0.05</f>
        <v>0</v>
      </c>
      <c r="AA52" s="149"/>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Row],[Infernal Command]],12,IF(OFFSET(TblMagic[[#This Row],[Active Infernal Command]],-1,0)&gt;0,OFFSET(TblMagic[[#This Row],[Active Infernal Command]],-1,0)-1,0))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46182.041666666548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46182.083333333212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46182.124999999876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46182.166666666541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46182.208333333205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46182.249999999869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46182.291666666533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46182.333333333198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46182.374999999862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46182.416666666526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46182.45833333319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46182.499999999854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46182.541666666519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46182.583333333183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46182.624999999847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46182.666666666511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46182.708333333176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46182.74999999984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46182.791666666504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46182.833333333168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46182.874999999833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46182.916666666497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46182.958333333161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50</v>
      </c>
      <c r="C76" s="430">
        <f ca="1">TblProd[[#This Row],[Mana]]</f>
        <v>0</v>
      </c>
      <c r="D76" s="458">
        <f ca="1">MIN(1,OFFSET(TblMagic[[#This Row],[Wiz str]],-1,0)+0.04+ROUNDDOWN(10*OFFSET(TblMili[[#This Row],[WG''s]],-1,0),0)+ tech_2_7*OFFSET(TblTech[[#This Row],[2-7]],-1,0) + tech_5_6*OFFSET(TblTech[[#This Row],[5-6]],-1,0) )-TblMagic[[#This Row],[Wiz str cost]]</f>
        <v>1</v>
      </c>
      <c r="E76" s="432">
        <f ca="1">OFFSET(TblMagic[[#This Row],[Time]],-1,0)+1/24</f>
        <v>46182.999999999825</v>
      </c>
      <c r="F76" s="458">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8">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46183.04166666649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46183.083333333154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46183.124999999818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46183.166666666482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46183.208333333147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46183.249999999811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46183.291666666475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46183.333333333139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46183.374999999804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46183.416666666468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46183.458333333132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46183.499999999796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46183.541666666461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46183.583333333125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46183.624999999789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46183.666666666453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46183.708333333117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46183.749999999782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46183.791666666446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46183.83333333311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46183.874999999774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46183.916666666439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46183.958333333103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46183.999999999767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46184.041666666431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46184.083333333096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46184.12499999976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46184.166666666424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46184.208333333088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46184.249999999753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46184.291666666417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46184.333333333081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46184.374999999745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46184.41666666641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46184.458333333074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46184.499999999738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46184.541666666402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46184.583333333067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46184.624999999731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46184.666666666395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46184.708333333059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46184.749999999724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46184.791666666388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46184.833333333052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46184.874999999716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46184.91666666638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46184.958333333045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46184.999999999709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46185.041666666373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46185.083333333037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46185.124999999702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46185.166666666366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46185.20833333303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46185.249999999694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46185.291666666359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46185.333333333023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46185.374999999687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46185.416666666351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46185.458333333016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46185.49999999968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1" t="s">
        <v>314</v>
      </c>
      <c r="D1269" s="48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0" priority="18" stopIfTrue="1">
      <formula>ROW()-2=#REF!</formula>
    </cfRule>
  </conditionalFormatting>
  <conditionalFormatting sqref="A1269:XFD1270">
    <cfRule type="expression" dxfId="269" priority="19" stopIfTrue="1">
      <formula>$C$1270&gt;144</formula>
    </cfRule>
  </conditionalFormatting>
  <conditionalFormatting sqref="A4:AQ136">
    <cfRule type="expression" dxfId="268" priority="1" stopIfTrue="1">
      <formula>ROW()-3=$C$1270</formula>
    </cfRule>
    <cfRule type="expression" dxfId="267" priority="2" stopIfTrue="1">
      <formula>OR(ROW()-3=$C$1270,A4&lt;0)</formula>
    </cfRule>
    <cfRule type="expression" dxfId="266" priority="3">
      <formula>$A4=49</formula>
    </cfRule>
    <cfRule type="expression" dxfId="265" priority="7">
      <formula>ROUND(($A4-1)/12,0)=INT($A4-1)/12</formula>
    </cfRule>
  </conditionalFormatting>
  <conditionalFormatting sqref="A2:N2 A1:S1 U1:XFD1 P2:XFD2 A3:XFD3">
    <cfRule type="expression" dxfId="264" priority="15">
      <formula>$C$1270&lt;0</formula>
    </cfRule>
  </conditionalFormatting>
  <conditionalFormatting sqref="G4:W136">
    <cfRule type="expression" dxfId="263"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994</v>
      </c>
      <c r="F2" s="281">
        <f>IFERROR(SMALL(TblTech[Activate @ hour],1),0)</f>
        <v>0</v>
      </c>
      <c r="G2" s="45" t="s">
        <v>1054</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765</v>
      </c>
      <c r="F3" s="267" t="s">
        <v>995</v>
      </c>
      <c r="G3" s="267" t="s">
        <v>924</v>
      </c>
      <c r="H3" s="267" t="s">
        <v>966</v>
      </c>
      <c r="I3" s="267" t="s">
        <v>967</v>
      </c>
      <c r="J3" s="267" t="s">
        <v>766</v>
      </c>
      <c r="K3" s="243" t="s">
        <v>767</v>
      </c>
      <c r="L3" s="267" t="s">
        <v>925</v>
      </c>
      <c r="M3" s="213" t="s">
        <v>536</v>
      </c>
      <c r="N3" s="213" t="s">
        <v>538</v>
      </c>
      <c r="O3" s="213" t="s">
        <v>539</v>
      </c>
      <c r="P3" s="213" t="s">
        <v>541</v>
      </c>
      <c r="Q3" s="213" t="s">
        <v>542</v>
      </c>
      <c r="R3" s="213" t="s">
        <v>543</v>
      </c>
      <c r="S3" s="213" t="s">
        <v>544</v>
      </c>
      <c r="T3" s="213" t="s">
        <v>545</v>
      </c>
      <c r="U3" s="213" t="s">
        <v>546</v>
      </c>
      <c r="V3" s="213" t="s">
        <v>548</v>
      </c>
      <c r="W3" s="213" t="s">
        <v>550</v>
      </c>
      <c r="X3" s="213" t="s">
        <v>551</v>
      </c>
      <c r="Y3" s="213" t="s">
        <v>552</v>
      </c>
      <c r="Z3" s="213" t="s">
        <v>553</v>
      </c>
      <c r="AA3" s="213" t="s">
        <v>555</v>
      </c>
      <c r="AB3" s="213" t="s">
        <v>556</v>
      </c>
      <c r="AC3" s="213" t="s">
        <v>557</v>
      </c>
      <c r="AD3" s="213" t="s">
        <v>559</v>
      </c>
      <c r="AE3" s="213" t="s">
        <v>561</v>
      </c>
      <c r="AF3" s="213" t="s">
        <v>562</v>
      </c>
      <c r="AG3" s="213" t="s">
        <v>563</v>
      </c>
      <c r="AH3" s="213" t="s">
        <v>565</v>
      </c>
      <c r="AI3" s="213" t="s">
        <v>567</v>
      </c>
      <c r="AJ3" s="213" t="s">
        <v>569</v>
      </c>
      <c r="AK3" s="213" t="s">
        <v>570</v>
      </c>
      <c r="AL3" s="213" t="s">
        <v>571</v>
      </c>
      <c r="AM3" s="213" t="s">
        <v>572</v>
      </c>
      <c r="AN3" s="213" t="s">
        <v>573</v>
      </c>
      <c r="AO3" s="213" t="s">
        <v>574</v>
      </c>
      <c r="AP3" s="213" t="s">
        <v>575</v>
      </c>
      <c r="AQ3" s="213" t="s">
        <v>576</v>
      </c>
      <c r="AR3" s="213" t="s">
        <v>577</v>
      </c>
      <c r="AS3" s="213" t="s">
        <v>578</v>
      </c>
      <c r="AT3" s="213" t="s">
        <v>579</v>
      </c>
      <c r="AU3" s="213" t="s">
        <v>580</v>
      </c>
      <c r="AV3" s="213" t="s">
        <v>581</v>
      </c>
      <c r="AW3" s="213" t="s">
        <v>583</v>
      </c>
      <c r="AX3" s="213" t="s">
        <v>584</v>
      </c>
      <c r="AY3" s="213" t="s">
        <v>585</v>
      </c>
      <c r="AZ3" s="213" t="s">
        <v>586</v>
      </c>
      <c r="BA3" s="213" t="s">
        <v>587</v>
      </c>
      <c r="BB3" s="213" t="s">
        <v>588</v>
      </c>
      <c r="BC3" s="213" t="s">
        <v>589</v>
      </c>
      <c r="BD3" s="213" t="s">
        <v>590</v>
      </c>
      <c r="BE3" s="213" t="s">
        <v>591</v>
      </c>
      <c r="BF3" s="213" t="s">
        <v>592</v>
      </c>
      <c r="BG3" s="213" t="s">
        <v>593</v>
      </c>
      <c r="BH3" s="213" t="s">
        <v>595</v>
      </c>
      <c r="BI3" s="213" t="s">
        <v>596</v>
      </c>
      <c r="BJ3" s="213" t="s">
        <v>598</v>
      </c>
      <c r="BK3" s="213" t="s">
        <v>599</v>
      </c>
      <c r="BL3" s="213" t="s">
        <v>600</v>
      </c>
      <c r="BM3" s="213" t="s">
        <v>602</v>
      </c>
      <c r="BN3" s="213" t="s">
        <v>604</v>
      </c>
      <c r="BO3" s="213" t="s">
        <v>605</v>
      </c>
      <c r="BP3" s="213" t="s">
        <v>606</v>
      </c>
      <c r="BQ3" s="213" t="s">
        <v>608</v>
      </c>
      <c r="BR3" s="213" t="s">
        <v>609</v>
      </c>
      <c r="BS3" s="213" t="s">
        <v>611</v>
      </c>
      <c r="BT3" s="213" t="s">
        <v>613</v>
      </c>
      <c r="BU3" s="213" t="s">
        <v>614</v>
      </c>
      <c r="BV3" s="213" t="s">
        <v>616</v>
      </c>
      <c r="BW3" s="213" t="s">
        <v>617</v>
      </c>
      <c r="BX3" s="213" t="s">
        <v>618</v>
      </c>
      <c r="BY3" s="213" t="s">
        <v>620</v>
      </c>
      <c r="BZ3" s="213" t="s">
        <v>621</v>
      </c>
      <c r="CA3" s="213" t="s">
        <v>675</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676</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677</v>
      </c>
      <c r="I5" s="273" t="s">
        <v>1087</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678</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679</v>
      </c>
      <c r="I7" s="273" t="s">
        <v>1156</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542</v>
      </c>
      <c r="H8" s="274" t="s">
        <v>680</v>
      </c>
      <c r="I8" s="273" t="s">
        <v>1085</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543</v>
      </c>
      <c r="H9" s="274" t="s">
        <v>691</v>
      </c>
      <c r="I9" s="273" t="s">
        <v>558</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544</v>
      </c>
      <c r="H10" s="274" t="s">
        <v>719</v>
      </c>
      <c r="I10" s="273" t="s">
        <v>1157</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545</v>
      </c>
      <c r="H11" s="274" t="s">
        <v>683</v>
      </c>
      <c r="I11" s="273" t="s">
        <v>1040</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546</v>
      </c>
      <c r="H12" s="274" t="s">
        <v>701</v>
      </c>
      <c r="I12" s="273" t="s">
        <v>1161</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548</v>
      </c>
      <c r="H13" s="274" t="s">
        <v>684</v>
      </c>
      <c r="I13" s="273" t="s">
        <v>547</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550</v>
      </c>
      <c r="H14" s="274" t="s">
        <v>1048</v>
      </c>
      <c r="I14" s="273" t="s">
        <v>734</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551</v>
      </c>
      <c r="H16" s="274" t="s">
        <v>686</v>
      </c>
      <c r="I16" s="273" t="s">
        <v>741</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552</v>
      </c>
      <c r="H17" s="274" t="s">
        <v>687</v>
      </c>
      <c r="I17" s="273" t="s">
        <v>742</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553</v>
      </c>
      <c r="H18" s="274" t="s">
        <v>688</v>
      </c>
      <c r="I18" s="273" t="s">
        <v>1082</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555</v>
      </c>
      <c r="H19" s="274" t="s">
        <v>689</v>
      </c>
      <c r="I19" s="273" t="s">
        <v>1158</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556</v>
      </c>
      <c r="H20" s="274" t="s">
        <v>690</v>
      </c>
      <c r="I20" s="273" t="s">
        <v>1041</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557</v>
      </c>
      <c r="H21" s="274" t="s">
        <v>682</v>
      </c>
      <c r="I21" s="273" t="s">
        <v>1084</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559</v>
      </c>
      <c r="H22" s="274" t="s">
        <v>708</v>
      </c>
      <c r="I22" s="273" t="s">
        <v>1159</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561</v>
      </c>
      <c r="H23" s="274" t="s">
        <v>693</v>
      </c>
      <c r="I23" s="273" t="s">
        <v>735</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562</v>
      </c>
      <c r="H24" s="274" t="s">
        <v>694</v>
      </c>
      <c r="I24" s="273" t="s">
        <v>736</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563</v>
      </c>
      <c r="H25" s="274" t="s">
        <v>695</v>
      </c>
      <c r="I25" s="273" t="s">
        <v>564</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565</v>
      </c>
      <c r="H27" s="274" t="s">
        <v>696</v>
      </c>
      <c r="I27" s="273" t="s">
        <v>566</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567</v>
      </c>
      <c r="H28" s="274" t="s">
        <v>697</v>
      </c>
      <c r="I28" s="273" t="s">
        <v>568</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569</v>
      </c>
      <c r="H29" s="274" t="s">
        <v>698</v>
      </c>
      <c r="I29" s="273" t="s">
        <v>1160</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570</v>
      </c>
      <c r="H30" s="274" t="s">
        <v>699</v>
      </c>
      <c r="I30" s="273" t="s">
        <v>1083</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571</v>
      </c>
      <c r="H31" s="274" t="s">
        <v>681</v>
      </c>
      <c r="I31" s="273" t="s">
        <v>1042</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572</v>
      </c>
      <c r="H32" s="274" t="s">
        <v>692</v>
      </c>
      <c r="I32" s="273" t="s">
        <v>560</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573</v>
      </c>
      <c r="H33" s="274" t="s">
        <v>700</v>
      </c>
      <c r="I33" s="273" t="s">
        <v>737</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574</v>
      </c>
      <c r="H34" s="274" t="s">
        <v>1112</v>
      </c>
      <c r="I34" s="273" t="s">
        <v>1113</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575</v>
      </c>
      <c r="H35" s="274" t="s">
        <v>685</v>
      </c>
      <c r="I35" s="273" t="s">
        <v>549</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576</v>
      </c>
      <c r="H37" s="274" t="s">
        <v>702</v>
      </c>
      <c r="I37" s="273" t="s">
        <v>750</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577</v>
      </c>
      <c r="H38" s="274" t="s">
        <v>703</v>
      </c>
      <c r="I38" s="273" t="s">
        <v>624</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578</v>
      </c>
      <c r="H39" s="274" t="s">
        <v>704</v>
      </c>
      <c r="I39" s="273" t="s">
        <v>1043</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579</v>
      </c>
      <c r="H40" s="274" t="s">
        <v>705</v>
      </c>
      <c r="I40" s="273" t="s">
        <v>1086</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580</v>
      </c>
      <c r="H41" s="274" t="s">
        <v>1047</v>
      </c>
      <c r="I41" s="273" t="s">
        <v>1164</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581</v>
      </c>
      <c r="H42" s="274" t="s">
        <v>707</v>
      </c>
      <c r="I42" s="273" t="s">
        <v>1082</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583</v>
      </c>
      <c r="H43" s="274" t="s">
        <v>706</v>
      </c>
      <c r="I43" s="273" t="s">
        <v>582</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584</v>
      </c>
      <c r="H44" s="274" t="s">
        <v>1162</v>
      </c>
      <c r="I44" s="273" t="s">
        <v>1163</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585</v>
      </c>
      <c r="H46" s="274" t="s">
        <v>710</v>
      </c>
      <c r="I46" s="273" t="s">
        <v>1044</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586</v>
      </c>
      <c r="H47" s="274" t="s">
        <v>709</v>
      </c>
      <c r="I47" s="273" t="s">
        <v>1165</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587</v>
      </c>
      <c r="H48" s="274" t="s">
        <v>711</v>
      </c>
      <c r="I48" s="273" t="s">
        <v>1042</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588</v>
      </c>
      <c r="H49" s="274" t="s">
        <v>712</v>
      </c>
      <c r="I49" s="273" t="s">
        <v>625</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589</v>
      </c>
      <c r="H50" s="274" t="s">
        <v>713</v>
      </c>
      <c r="I50" s="273" t="s">
        <v>1042</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590</v>
      </c>
      <c r="H51" s="274" t="s">
        <v>392</v>
      </c>
      <c r="I51" s="273" t="s">
        <v>1045</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591</v>
      </c>
      <c r="H52" s="274" t="s">
        <v>715</v>
      </c>
      <c r="I52" s="273" t="s">
        <v>626</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592</v>
      </c>
      <c r="H54" s="274" t="s">
        <v>716</v>
      </c>
      <c r="I54" s="273" t="s">
        <v>560</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593</v>
      </c>
      <c r="H55" s="274" t="s">
        <v>717</v>
      </c>
      <c r="I55" s="273" t="s">
        <v>594</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595</v>
      </c>
      <c r="H56" s="274" t="s">
        <v>1050</v>
      </c>
      <c r="I56" s="273" t="s">
        <v>1088</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596</v>
      </c>
      <c r="H57" s="274" t="s">
        <v>718</v>
      </c>
      <c r="I57" s="273" t="s">
        <v>597</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598</v>
      </c>
      <c r="H58" s="274" t="s">
        <v>714</v>
      </c>
      <c r="I58" s="273" t="s">
        <v>1097</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599</v>
      </c>
      <c r="H59" s="274" t="s">
        <v>720</v>
      </c>
      <c r="I59" s="273" t="s">
        <v>738</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600</v>
      </c>
      <c r="H61" s="274" t="s">
        <v>721</v>
      </c>
      <c r="I61" s="273" t="s">
        <v>601</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602</v>
      </c>
      <c r="H62" s="274" t="s">
        <v>725</v>
      </c>
      <c r="I62" s="273" t="s">
        <v>1046</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604</v>
      </c>
      <c r="H63" s="274" t="s">
        <v>1051</v>
      </c>
      <c r="I63" s="273" t="s">
        <v>739</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605</v>
      </c>
      <c r="H64" s="274" t="s">
        <v>723</v>
      </c>
      <c r="I64" s="273" t="s">
        <v>627</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606</v>
      </c>
      <c r="H65" s="274" t="s">
        <v>724</v>
      </c>
      <c r="I65" s="273" t="s">
        <v>607</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608</v>
      </c>
      <c r="H67" s="274" t="s">
        <v>1052</v>
      </c>
      <c r="I67" s="273" t="s">
        <v>740</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609</v>
      </c>
      <c r="H68" s="274" t="s">
        <v>726</v>
      </c>
      <c r="I68" s="273" t="s">
        <v>610</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611</v>
      </c>
      <c r="H69" s="274" t="s">
        <v>727</v>
      </c>
      <c r="I69" s="273" t="s">
        <v>612</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613</v>
      </c>
      <c r="H70" s="274" t="s">
        <v>728</v>
      </c>
      <c r="I70" s="273" t="s">
        <v>751</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614</v>
      </c>
      <c r="H72" s="274" t="s">
        <v>729</v>
      </c>
      <c r="I72" s="273" t="s">
        <v>615</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616</v>
      </c>
      <c r="H73" s="274" t="s">
        <v>730</v>
      </c>
      <c r="I73" s="273" t="s">
        <v>554</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617</v>
      </c>
      <c r="H74" s="274" t="s">
        <v>731</v>
      </c>
      <c r="I74" s="273" t="s">
        <v>752</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618</v>
      </c>
      <c r="H76" s="274" t="s">
        <v>722</v>
      </c>
      <c r="I76" s="273" t="s">
        <v>603</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620</v>
      </c>
      <c r="H77" s="274" t="s">
        <v>732</v>
      </c>
      <c r="I77" s="273" t="s">
        <v>619</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621</v>
      </c>
      <c r="H79" s="274" t="s">
        <v>733</v>
      </c>
      <c r="I79" s="273" t="s">
        <v>622</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968</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G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3" width="11.42578125" style="57" hidden="1" customWidth="1"/>
    <col min="64" max="64" width="3" style="45" hidden="1" customWidth="1"/>
    <col min="65" max="68" width="11.42578125" style="57" hidden="1" customWidth="1"/>
    <col min="69" max="69" width="3" style="45" hidden="1" customWidth="1"/>
    <col min="70" max="73" width="11.42578125" style="57" hidden="1" customWidth="1"/>
    <col min="74" max="74" width="3" style="45" hidden="1" customWidth="1"/>
    <col min="75" max="75" width="12.140625" style="45" hidden="1" customWidth="1"/>
    <col min="76" max="76" width="10.42578125" style="45" hidden="1" customWidth="1"/>
    <col min="77" max="77" width="3" style="45" hidden="1" customWidth="1"/>
    <col min="78" max="78" width="9.85546875" style="45" hidden="1" customWidth="1"/>
    <col min="79" max="79" width="13.5703125" style="45" hidden="1" customWidth="1"/>
    <col min="80" max="80" width="10.7109375" style="45" customWidth="1"/>
    <col min="81" max="81" width="11" style="45" customWidth="1"/>
    <col min="82" max="82" width="10" style="45" customWidth="1"/>
    <col min="83" max="83" width="10.85546875" style="45" bestFit="1" customWidth="1"/>
    <col min="84" max="16384" width="9.140625" style="45"/>
  </cols>
  <sheetData>
    <row r="1" spans="1:85" s="5" customFormat="1" x14ac:dyDescent="0.2">
      <c r="C1" s="5" t="s">
        <v>77</v>
      </c>
      <c r="H1" s="5" t="s">
        <v>280</v>
      </c>
      <c r="K1" s="28"/>
      <c r="O1" s="5" t="s">
        <v>215</v>
      </c>
      <c r="W1" s="5" t="s">
        <v>996</v>
      </c>
      <c r="Y1" s="28" t="s">
        <v>37</v>
      </c>
      <c r="Z1" s="28"/>
      <c r="AA1" s="28"/>
      <c r="AB1" s="28"/>
      <c r="AC1" s="28"/>
      <c r="AD1" s="28"/>
      <c r="AF1" s="532" t="s">
        <v>209</v>
      </c>
      <c r="AG1" s="532"/>
      <c r="AH1" s="28"/>
      <c r="AI1" s="28"/>
      <c r="AJ1" s="28"/>
      <c r="AK1" s="28"/>
      <c r="AM1" s="532" t="s">
        <v>217</v>
      </c>
      <c r="AN1" s="532"/>
      <c r="AO1" s="28"/>
      <c r="AP1" s="28"/>
      <c r="AR1" s="532" t="s">
        <v>218</v>
      </c>
      <c r="AS1" s="532"/>
      <c r="AT1" s="533"/>
      <c r="AU1" s="28"/>
      <c r="AW1" s="532" t="s">
        <v>219</v>
      </c>
      <c r="AX1" s="532"/>
      <c r="AY1" s="532"/>
      <c r="AZ1" s="28"/>
      <c r="BB1" s="532" t="s">
        <v>220</v>
      </c>
      <c r="BC1" s="532"/>
      <c r="BD1" s="532"/>
      <c r="BE1" s="532"/>
      <c r="BG1" s="532" t="s">
        <v>221</v>
      </c>
      <c r="BH1" s="532"/>
      <c r="BI1" s="532"/>
      <c r="BJ1" s="28"/>
      <c r="BK1" s="28"/>
      <c r="BM1" s="532" t="s">
        <v>222</v>
      </c>
      <c r="BN1" s="533"/>
      <c r="BO1" s="533"/>
      <c r="BP1" s="28"/>
      <c r="BR1" s="532" t="s">
        <v>223</v>
      </c>
      <c r="BS1" s="532"/>
      <c r="BT1" s="532"/>
      <c r="BU1" s="28"/>
      <c r="BW1" s="5" t="s">
        <v>306</v>
      </c>
    </row>
    <row r="2" spans="1:85" s="5" customFormat="1" x14ac:dyDescent="0.2">
      <c r="C2" s="28"/>
      <c r="D2" s="28"/>
      <c r="E2" s="28"/>
      <c r="F2" s="28"/>
      <c r="K2" s="28"/>
      <c r="Y2" s="266" t="s">
        <v>208</v>
      </c>
      <c r="Z2" s="266" t="s">
        <v>210</v>
      </c>
      <c r="AA2" s="266" t="s">
        <v>1098</v>
      </c>
      <c r="AB2" s="266" t="s">
        <v>212</v>
      </c>
      <c r="AC2" s="266" t="s">
        <v>213</v>
      </c>
      <c r="AD2" s="266" t="s">
        <v>526</v>
      </c>
      <c r="AF2" s="266" t="s">
        <v>208</v>
      </c>
      <c r="AG2" s="266" t="s">
        <v>210</v>
      </c>
      <c r="AH2" s="266" t="s">
        <v>1098</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K2" s="266" t="s">
        <v>1167</v>
      </c>
      <c r="BM2" s="266" t="s">
        <v>2</v>
      </c>
      <c r="BN2" s="266" t="s">
        <v>7</v>
      </c>
      <c r="BO2" s="266" t="s">
        <v>3</v>
      </c>
      <c r="BP2" s="266" t="s">
        <v>4</v>
      </c>
      <c r="BR2" s="266" t="s">
        <v>2</v>
      </c>
      <c r="BS2" s="266" t="s">
        <v>7</v>
      </c>
      <c r="BT2" s="266" t="s">
        <v>3</v>
      </c>
      <c r="BU2" s="266" t="s">
        <v>4</v>
      </c>
    </row>
    <row r="3" spans="1:85" s="151" customFormat="1" ht="15" customHeight="1" x14ac:dyDescent="0.2">
      <c r="A3" s="135" t="s">
        <v>1</v>
      </c>
      <c r="B3" s="135" t="s">
        <v>765</v>
      </c>
      <c r="C3" s="135" t="s">
        <v>2</v>
      </c>
      <c r="D3" s="135" t="s">
        <v>7</v>
      </c>
      <c r="E3" s="135" t="s">
        <v>3</v>
      </c>
      <c r="F3" s="135" t="s">
        <v>4</v>
      </c>
      <c r="G3" s="135" t="s">
        <v>766</v>
      </c>
      <c r="H3" s="135" t="s">
        <v>272</v>
      </c>
      <c r="I3" s="135" t="s">
        <v>224</v>
      </c>
      <c r="J3" s="135" t="s">
        <v>23</v>
      </c>
      <c r="K3" s="135" t="s">
        <v>0</v>
      </c>
      <c r="L3" s="135" t="s">
        <v>309</v>
      </c>
      <c r="M3" s="135" t="s">
        <v>305</v>
      </c>
      <c r="N3" s="135" t="s">
        <v>957</v>
      </c>
      <c r="O3" s="135" t="s">
        <v>312</v>
      </c>
      <c r="P3" s="135" t="s">
        <v>216</v>
      </c>
      <c r="Q3" s="135" t="s">
        <v>313</v>
      </c>
      <c r="R3" s="135" t="s">
        <v>958</v>
      </c>
      <c r="S3" s="135" t="s">
        <v>959</v>
      </c>
      <c r="T3" s="135" t="s">
        <v>960</v>
      </c>
      <c r="U3" s="135" t="s">
        <v>961</v>
      </c>
      <c r="V3" s="135" t="s">
        <v>962</v>
      </c>
      <c r="W3" s="135" t="s">
        <v>963</v>
      </c>
      <c r="X3" s="135" t="s">
        <v>767</v>
      </c>
      <c r="Y3" s="135" t="s">
        <v>208</v>
      </c>
      <c r="Z3" s="135" t="s">
        <v>210</v>
      </c>
      <c r="AA3" s="135" t="s">
        <v>1098</v>
      </c>
      <c r="AB3" s="135" t="s">
        <v>212</v>
      </c>
      <c r="AC3" s="135" t="s">
        <v>213</v>
      </c>
      <c r="AD3" s="135" t="s">
        <v>526</v>
      </c>
      <c r="AE3" s="135" t="s">
        <v>780</v>
      </c>
      <c r="AF3" s="135" t="s">
        <v>1026</v>
      </c>
      <c r="AG3" s="135" t="s">
        <v>926</v>
      </c>
      <c r="AH3" s="135" t="s">
        <v>1099</v>
      </c>
      <c r="AI3" s="135" t="s">
        <v>927</v>
      </c>
      <c r="AJ3" s="135" t="s">
        <v>928</v>
      </c>
      <c r="AK3" s="135" t="s">
        <v>1100</v>
      </c>
      <c r="AL3" s="135" t="s">
        <v>781</v>
      </c>
      <c r="AM3" s="243" t="s">
        <v>929</v>
      </c>
      <c r="AN3" s="243" t="s">
        <v>930</v>
      </c>
      <c r="AO3" s="243" t="s">
        <v>931</v>
      </c>
      <c r="AP3" s="243" t="s">
        <v>932</v>
      </c>
      <c r="AQ3" s="243" t="s">
        <v>782</v>
      </c>
      <c r="AR3" s="243" t="s">
        <v>933</v>
      </c>
      <c r="AS3" s="243" t="s">
        <v>934</v>
      </c>
      <c r="AT3" s="243" t="s">
        <v>935</v>
      </c>
      <c r="AU3" s="243" t="s">
        <v>936</v>
      </c>
      <c r="AV3" s="243" t="s">
        <v>856</v>
      </c>
      <c r="AW3" s="243" t="s">
        <v>937</v>
      </c>
      <c r="AX3" s="243" t="s">
        <v>938</v>
      </c>
      <c r="AY3" s="243" t="s">
        <v>939</v>
      </c>
      <c r="AZ3" s="243" t="s">
        <v>940</v>
      </c>
      <c r="BA3" s="243" t="s">
        <v>857</v>
      </c>
      <c r="BB3" s="243" t="s">
        <v>941</v>
      </c>
      <c r="BC3" s="243" t="s">
        <v>942</v>
      </c>
      <c r="BD3" s="243" t="s">
        <v>943</v>
      </c>
      <c r="BE3" s="243" t="s">
        <v>944</v>
      </c>
      <c r="BF3" s="243" t="s">
        <v>1027</v>
      </c>
      <c r="BG3" s="243" t="s">
        <v>945</v>
      </c>
      <c r="BH3" s="243" t="s">
        <v>946</v>
      </c>
      <c r="BI3" s="243" t="s">
        <v>947</v>
      </c>
      <c r="BJ3" s="243" t="s">
        <v>948</v>
      </c>
      <c r="BK3" s="243" t="s">
        <v>1166</v>
      </c>
      <c r="BL3" s="243" t="s">
        <v>1028</v>
      </c>
      <c r="BM3" s="243" t="s">
        <v>949</v>
      </c>
      <c r="BN3" s="243" t="s">
        <v>950</v>
      </c>
      <c r="BO3" s="243" t="s">
        <v>951</v>
      </c>
      <c r="BP3" s="243" t="s">
        <v>952</v>
      </c>
      <c r="BQ3" s="243" t="s">
        <v>1029</v>
      </c>
      <c r="BR3" s="243" t="s">
        <v>953</v>
      </c>
      <c r="BS3" s="243" t="s">
        <v>954</v>
      </c>
      <c r="BT3" s="243" t="s">
        <v>955</v>
      </c>
      <c r="BU3" s="243" t="s">
        <v>956</v>
      </c>
      <c r="BV3" s="135" t="s">
        <v>1030</v>
      </c>
      <c r="BW3" s="282" t="s">
        <v>307</v>
      </c>
      <c r="BX3" s="135" t="s">
        <v>964</v>
      </c>
      <c r="BY3" s="135" t="s">
        <v>1031</v>
      </c>
      <c r="BZ3" s="135" t="s">
        <v>965</v>
      </c>
      <c r="CA3" s="135" t="s">
        <v>308</v>
      </c>
    </row>
    <row r="4" spans="1:85" x14ac:dyDescent="0.2">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46180</v>
      </c>
      <c r="M4" s="61">
        <f>IF(ISERROR(TblImps[[#This Row],[algorithm]]),0,TblImps[[#This Row],[algorithm]]*1)</f>
        <v>0</v>
      </c>
      <c r="N4" s="94">
        <f ca="1">TblImps[[#This Row],[Land]]</f>
        <v>50</v>
      </c>
      <c r="O4" s="285" t="s">
        <v>4</v>
      </c>
      <c r="P4" s="286"/>
      <c r="Q4" s="285" t="s">
        <v>208</v>
      </c>
      <c r="R4" s="285" t="s">
        <v>7</v>
      </c>
      <c r="S4" s="286"/>
      <c r="T4" s="285" t="s">
        <v>208</v>
      </c>
      <c r="U4" s="285" t="s">
        <v>3</v>
      </c>
      <c r="V4" s="286"/>
      <c r="W4" s="285" t="s">
        <v>208</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Row],[P5]:[FW5]])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57">
        <v>0</v>
      </c>
      <c r="BL4" s="142"/>
      <c r="BM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 s="142"/>
      <c r="BR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 s="142"/>
      <c r="BW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 s="61">
        <f>TblImps[[#This Row],[Login]]</f>
        <v>0</v>
      </c>
      <c r="BY4" s="137"/>
      <c r="BZ4" s="289">
        <f>Overview!E15</f>
        <v>46180</v>
      </c>
      <c r="CA4" s="290">
        <f>Overview!B15</f>
        <v>46180</v>
      </c>
      <c r="CB4" s="57"/>
      <c r="CC4" s="291"/>
      <c r="CD4" s="292"/>
    </row>
    <row r="5" spans="1:85" x14ac:dyDescent="0.2">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46180.041666666664</v>
      </c>
      <c r="M5" s="61">
        <f>IF(ISERROR(TblImps[[#This Row],[algorithm]]),0,TblImps[[#This Row],[algorithm]]*1)</f>
        <v>0</v>
      </c>
      <c r="N5" s="94">
        <f ca="1">TblImps[[#This Row],[Land]]</f>
        <v>50</v>
      </c>
      <c r="O5" s="285" t="s">
        <v>4</v>
      </c>
      <c r="P5" s="286"/>
      <c r="Q5" s="285" t="s">
        <v>210</v>
      </c>
      <c r="R5" s="285" t="s">
        <v>7</v>
      </c>
      <c r="S5" s="286"/>
      <c r="T5" s="285" t="s">
        <v>210</v>
      </c>
      <c r="U5" s="285" t="s">
        <v>3</v>
      </c>
      <c r="V5" s="286"/>
      <c r="W5" s="285"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Row],[P5]:[FW5]])+OFFSET(TblImps[[#This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57">
        <f ca="1">IF(OFFSET(TblMagic[[#This Row],[Active Alchemists Flame]],-1,0)&gt;0,TblConstr[[#This Row],[Tot Alc]]*alchemist_flame_invest,0)</f>
        <v>0</v>
      </c>
      <c r="BL5" s="142"/>
      <c r="BM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 s="142"/>
      <c r="BR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 s="142"/>
      <c r="BW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 s="61">
        <f>TblImps[[#This Row],[Login]]</f>
        <v>0</v>
      </c>
      <c r="BY5" s="137"/>
      <c r="BZ5" s="293">
        <f ca="1">OFFSET(TblImps[[#This Row],[Real time]],-1,0)+1/24</f>
        <v>46180.041666666664</v>
      </c>
      <c r="CA5" s="294">
        <f ca="1">OFFSET(TblImps[[#This Row],[Servertime]],-1,0)+1/24</f>
        <v>46180.041666666664</v>
      </c>
      <c r="CB5" s="57"/>
      <c r="CC5" s="292"/>
      <c r="CD5" s="292"/>
    </row>
    <row r="6" spans="1:85" x14ac:dyDescent="0.2">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46180.083333333328</v>
      </c>
      <c r="M6" s="61">
        <f>IF(ISERROR(TblImps[[#This Row],[algorithm]]),0,TblImps[[#This Row],[algorithm]]*1)</f>
        <v>0</v>
      </c>
      <c r="N6" s="94">
        <f ca="1">TblImps[[#This Row],[Land]]</f>
        <v>50</v>
      </c>
      <c r="O6" s="285" t="s">
        <v>4</v>
      </c>
      <c r="P6" s="286"/>
      <c r="Q6" s="285" t="s">
        <v>210</v>
      </c>
      <c r="R6" s="285" t="s">
        <v>7</v>
      </c>
      <c r="S6" s="286"/>
      <c r="T6" s="285" t="s">
        <v>210</v>
      </c>
      <c r="U6" s="285" t="s">
        <v>3</v>
      </c>
      <c r="V6" s="286"/>
      <c r="W6" s="285"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Row],[P5]:[FW5]])+OFFSET(TblImps[[#This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57">
        <f ca="1">IF(OFFSET(TblMagic[[#This Row],[Active Alchemists Flame]],-1,0)&gt;0,TblConstr[[#This Row],[Tot Alc]]*alchemist_flame_invest,0)</f>
        <v>0</v>
      </c>
      <c r="BL6" s="142"/>
      <c r="BM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 s="142"/>
      <c r="BR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 s="142"/>
      <c r="BW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 s="61">
        <f>TblImps[[#This Row],[Login]]</f>
        <v>0</v>
      </c>
      <c r="BY6" s="137"/>
      <c r="BZ6" s="293">
        <f ca="1">OFFSET(TblImps[[#This Row],[Real time]],-1,0)+1/24</f>
        <v>46180.083333333328</v>
      </c>
      <c r="CA6" s="294">
        <f ca="1">OFFSET(TblImps[[#This Row],[Servertime]],-1,0)+1/24</f>
        <v>46180.083333333328</v>
      </c>
      <c r="CB6" s="57"/>
      <c r="CC6" s="292"/>
      <c r="CD6" s="292"/>
      <c r="CG6" s="295"/>
    </row>
    <row r="7" spans="1:85" x14ac:dyDescent="0.2">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46180.124999999993</v>
      </c>
      <c r="M7" s="61">
        <f>IF(ISERROR(TblImps[[#This Row],[algorithm]]),0,TblImps[[#This Row],[algorithm]]*1)</f>
        <v>0</v>
      </c>
      <c r="N7" s="94">
        <f ca="1">TblImps[[#This Row],[Land]]</f>
        <v>50</v>
      </c>
      <c r="O7" s="285" t="s">
        <v>4</v>
      </c>
      <c r="P7" s="286"/>
      <c r="Q7" s="285" t="s">
        <v>210</v>
      </c>
      <c r="R7" s="285" t="s">
        <v>7</v>
      </c>
      <c r="S7" s="286"/>
      <c r="T7" s="285" t="s">
        <v>210</v>
      </c>
      <c r="U7" s="285" t="s">
        <v>3</v>
      </c>
      <c r="V7" s="286"/>
      <c r="W7" s="285"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Row],[P5]:[FW5]])+OFFSET(TblImps[[#This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57">
        <f ca="1">IF(OFFSET(TblMagic[[#This Row],[Active Alchemists Flame]],-1,0)&gt;0,TblConstr[[#This Row],[Tot Alc]]*alchemist_flame_invest,0)</f>
        <v>0</v>
      </c>
      <c r="BL7" s="142"/>
      <c r="BM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 s="142"/>
      <c r="BR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 s="142"/>
      <c r="BW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 s="61">
        <f>TblImps[[#This Row],[Login]]</f>
        <v>0</v>
      </c>
      <c r="BY7" s="137"/>
      <c r="BZ7" s="293">
        <f ca="1">OFFSET(TblImps[[#This Row],[Real time]],-1,0)+1/24</f>
        <v>46180.124999999993</v>
      </c>
      <c r="CA7" s="294">
        <f ca="1">OFFSET(TblImps[[#This Row],[Servertime]],-1,0)+1/24</f>
        <v>46180.124999999993</v>
      </c>
      <c r="CB7" s="57"/>
      <c r="CC7" s="292"/>
      <c r="CD7" s="292"/>
      <c r="CG7" s="296"/>
    </row>
    <row r="8" spans="1:85" x14ac:dyDescent="0.2">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46180.166666666657</v>
      </c>
      <c r="M8" s="61">
        <f>IF(ISERROR(TblImps[[#This Row],[algorithm]]),0,TblImps[[#This Row],[algorithm]]*1)</f>
        <v>0</v>
      </c>
      <c r="N8" s="94">
        <f ca="1">TblImps[[#This Row],[Land]]</f>
        <v>50</v>
      </c>
      <c r="O8" s="285" t="s">
        <v>4</v>
      </c>
      <c r="P8" s="286"/>
      <c r="Q8" s="285" t="s">
        <v>210</v>
      </c>
      <c r="R8" s="285" t="s">
        <v>7</v>
      </c>
      <c r="S8" s="286"/>
      <c r="T8" s="285" t="s">
        <v>210</v>
      </c>
      <c r="U8" s="285" t="s">
        <v>3</v>
      </c>
      <c r="V8" s="286"/>
      <c r="W8" s="285"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Row],[P5]:[FW5]])+OFFSET(TblImps[[#This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57">
        <f ca="1">IF(OFFSET(TblMagic[[#This Row],[Active Alchemists Flame]],-1,0)&gt;0,TblConstr[[#This Row],[Tot Alc]]*alchemist_flame_invest,0)</f>
        <v>0</v>
      </c>
      <c r="BL8" s="142"/>
      <c r="BM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 s="142"/>
      <c r="BR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 s="142"/>
      <c r="BW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 s="61">
        <f>TblImps[[#This Row],[Login]]</f>
        <v>0</v>
      </c>
      <c r="BY8" s="137"/>
      <c r="BZ8" s="293">
        <f ca="1">OFFSET(TblImps[[#This Row],[Real time]],-1,0)+1/24</f>
        <v>46180.166666666657</v>
      </c>
      <c r="CA8" s="294">
        <f ca="1">OFFSET(TblImps[[#This Row],[Servertime]],-1,0)+1/24</f>
        <v>46180.166666666657</v>
      </c>
      <c r="CB8" s="57"/>
      <c r="CC8" s="292"/>
      <c r="CD8" s="292"/>
      <c r="CG8" s="295"/>
    </row>
    <row r="9" spans="1:85" x14ac:dyDescent="0.2">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46180.208333333321</v>
      </c>
      <c r="M9" s="61">
        <f>IF(ISERROR(TblImps[[#This Row],[algorithm]]),0,TblImps[[#This Row],[algorithm]]*1)</f>
        <v>0</v>
      </c>
      <c r="N9" s="94">
        <f ca="1">TblImps[[#This Row],[Land]]</f>
        <v>50</v>
      </c>
      <c r="O9" s="285" t="s">
        <v>4</v>
      </c>
      <c r="P9" s="286"/>
      <c r="Q9" s="285" t="s">
        <v>210</v>
      </c>
      <c r="R9" s="285" t="s">
        <v>7</v>
      </c>
      <c r="S9" s="286"/>
      <c r="T9" s="285" t="s">
        <v>210</v>
      </c>
      <c r="U9" s="285" t="s">
        <v>3</v>
      </c>
      <c r="V9" s="286"/>
      <c r="W9" s="285"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Row],[P5]:[FW5]])+OFFSET(TblImps[[#This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57">
        <f ca="1">IF(OFFSET(TblMagic[[#This Row],[Active Alchemists Flame]],-1,0)&gt;0,TblConstr[[#This Row],[Tot Alc]]*alchemist_flame_invest,0)</f>
        <v>0</v>
      </c>
      <c r="BL9" s="142"/>
      <c r="BM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 s="142"/>
      <c r="BR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 s="142"/>
      <c r="BW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 s="61">
        <f>TblImps[[#This Row],[Login]]</f>
        <v>0</v>
      </c>
      <c r="BY9" s="137"/>
      <c r="BZ9" s="293">
        <f ca="1">OFFSET(TblImps[[#This Row],[Real time]],-1,0)+1/24</f>
        <v>46180.208333333321</v>
      </c>
      <c r="CA9" s="294">
        <f ca="1">OFFSET(TblImps[[#This Row],[Servertime]],-1,0)+1/24</f>
        <v>46180.208333333321</v>
      </c>
      <c r="CB9" s="57"/>
      <c r="CC9" s="292"/>
      <c r="CD9" s="292"/>
      <c r="CG9" s="295"/>
    </row>
    <row r="10" spans="1:85" x14ac:dyDescent="0.2">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46180.249999999985</v>
      </c>
      <c r="M10" s="61">
        <f>IF(ISERROR(TblImps[[#This Row],[algorithm]]),0,TblImps[[#This Row],[algorithm]]*1)</f>
        <v>0</v>
      </c>
      <c r="N10" s="94">
        <f ca="1">TblImps[[#This Row],[Land]]</f>
        <v>50</v>
      </c>
      <c r="O10" s="285" t="s">
        <v>4</v>
      </c>
      <c r="P10" s="286"/>
      <c r="Q10" s="285" t="s">
        <v>210</v>
      </c>
      <c r="R10" s="285" t="s">
        <v>7</v>
      </c>
      <c r="S10" s="286"/>
      <c r="T10" s="285" t="s">
        <v>210</v>
      </c>
      <c r="U10" s="285" t="s">
        <v>3</v>
      </c>
      <c r="V10" s="286"/>
      <c r="W10" s="285"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Row],[P5]:[FW5]])+OFFSET(TblImps[[#This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57">
        <f ca="1">IF(OFFSET(TblMagic[[#This Row],[Active Alchemists Flame]],-1,0)&gt;0,TblConstr[[#This Row],[Tot Alc]]*alchemist_flame_invest,0)</f>
        <v>0</v>
      </c>
      <c r="BL10" s="142"/>
      <c r="BM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 s="142"/>
      <c r="BR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 s="142"/>
      <c r="BW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 s="61">
        <f>TblImps[[#This Row],[Login]]</f>
        <v>0</v>
      </c>
      <c r="BY10" s="137"/>
      <c r="BZ10" s="293">
        <f ca="1">OFFSET(TblImps[[#This Row],[Real time]],-1,0)+1/24</f>
        <v>46180.249999999985</v>
      </c>
      <c r="CA10" s="294">
        <f ca="1">OFFSET(TblImps[[#This Row],[Servertime]],-1,0)+1/24</f>
        <v>46180.249999999985</v>
      </c>
      <c r="CB10" s="57"/>
      <c r="CC10" s="292"/>
      <c r="CD10" s="292"/>
    </row>
    <row r="11" spans="1:85" x14ac:dyDescent="0.2">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46180.29166666665</v>
      </c>
      <c r="M11" s="61">
        <f>IF(ISERROR(TblImps[[#This Row],[algorithm]]),0,TblImps[[#This Row],[algorithm]]*1)</f>
        <v>0</v>
      </c>
      <c r="N11" s="94">
        <f ca="1">TblImps[[#This Row],[Land]]</f>
        <v>50</v>
      </c>
      <c r="O11" s="285" t="s">
        <v>4</v>
      </c>
      <c r="P11" s="286"/>
      <c r="Q11" s="285" t="s">
        <v>210</v>
      </c>
      <c r="R11" s="285" t="s">
        <v>7</v>
      </c>
      <c r="S11" s="286"/>
      <c r="T11" s="285" t="s">
        <v>210</v>
      </c>
      <c r="U11" s="285" t="s">
        <v>3</v>
      </c>
      <c r="V11" s="286"/>
      <c r="W11" s="285"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Row],[P5]:[FW5]])+OFFSET(TblImps[[#This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57">
        <f ca="1">IF(OFFSET(TblMagic[[#This Row],[Active Alchemists Flame]],-1,0)&gt;0,TblConstr[[#This Row],[Tot Alc]]*alchemist_flame_invest,0)</f>
        <v>0</v>
      </c>
      <c r="BL11" s="142"/>
      <c r="BM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 s="142"/>
      <c r="BR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 s="142"/>
      <c r="BW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 s="61">
        <f>TblImps[[#This Row],[Login]]</f>
        <v>0</v>
      </c>
      <c r="BY11" s="137"/>
      <c r="BZ11" s="293">
        <f ca="1">OFFSET(TblImps[[#This Row],[Real time]],-1,0)+1/24</f>
        <v>46180.29166666665</v>
      </c>
      <c r="CA11" s="294">
        <f ca="1">OFFSET(TblImps[[#This Row],[Servertime]],-1,0)+1/24</f>
        <v>46180.29166666665</v>
      </c>
      <c r="CB11" s="57"/>
      <c r="CC11" s="292"/>
      <c r="CD11" s="292"/>
    </row>
    <row r="12" spans="1:85" x14ac:dyDescent="0.2">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46180.333333333314</v>
      </c>
      <c r="M12" s="61">
        <f>IF(ISERROR(TblImps[[#This Row],[algorithm]]),0,TblImps[[#This Row],[algorithm]]*1)</f>
        <v>0</v>
      </c>
      <c r="N12" s="94">
        <f ca="1">TblImps[[#This Row],[Land]]</f>
        <v>50</v>
      </c>
      <c r="O12" s="285" t="s">
        <v>4</v>
      </c>
      <c r="P12" s="286"/>
      <c r="Q12" s="285" t="s">
        <v>210</v>
      </c>
      <c r="R12" s="285" t="s">
        <v>7</v>
      </c>
      <c r="S12" s="286"/>
      <c r="T12" s="285" t="s">
        <v>210</v>
      </c>
      <c r="U12" s="285" t="s">
        <v>3</v>
      </c>
      <c r="V12" s="286"/>
      <c r="W12" s="285"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Row],[P5]:[FW5]])+OFFSET(TblImps[[#This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57">
        <f ca="1">IF(OFFSET(TblMagic[[#This Row],[Active Alchemists Flame]],-1,0)&gt;0,TblConstr[[#This Row],[Tot Alc]]*alchemist_flame_invest,0)</f>
        <v>0</v>
      </c>
      <c r="BL12" s="142"/>
      <c r="BM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 s="142"/>
      <c r="BR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 s="142"/>
      <c r="BW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 s="61">
        <f>TblImps[[#This Row],[Login]]</f>
        <v>0</v>
      </c>
      <c r="BY12" s="137"/>
      <c r="BZ12" s="293">
        <f ca="1">OFFSET(TblImps[[#This Row],[Real time]],-1,0)+1/24</f>
        <v>46180.333333333314</v>
      </c>
      <c r="CA12" s="294">
        <f ca="1">OFFSET(TblImps[[#This Row],[Servertime]],-1,0)+1/24</f>
        <v>46180.333333333314</v>
      </c>
      <c r="CB12" s="57"/>
      <c r="CC12" s="292"/>
      <c r="CD12" s="292"/>
    </row>
    <row r="13" spans="1:85" x14ac:dyDescent="0.2">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46180.374999999978</v>
      </c>
      <c r="M13" s="61">
        <f>IF(ISERROR(TblImps[[#This Row],[algorithm]]),0,TblImps[[#This Row],[algorithm]]*1)</f>
        <v>0</v>
      </c>
      <c r="N13" s="94">
        <f ca="1">TblImps[[#This Row],[Land]]</f>
        <v>50</v>
      </c>
      <c r="O13" s="285" t="s">
        <v>4</v>
      </c>
      <c r="P13" s="286"/>
      <c r="Q13" s="285" t="s">
        <v>210</v>
      </c>
      <c r="R13" s="285" t="s">
        <v>7</v>
      </c>
      <c r="S13" s="286"/>
      <c r="T13" s="285" t="s">
        <v>210</v>
      </c>
      <c r="U13" s="285" t="s">
        <v>3</v>
      </c>
      <c r="V13" s="286"/>
      <c r="W13" s="285"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Row],[P5]:[FW5]])+OFFSET(TblImps[[#This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57">
        <f ca="1">IF(OFFSET(TblMagic[[#This Row],[Active Alchemists Flame]],-1,0)&gt;0,TblConstr[[#This Row],[Tot Alc]]*alchemist_flame_invest,0)</f>
        <v>0</v>
      </c>
      <c r="BL13" s="142"/>
      <c r="BM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 s="142"/>
      <c r="BR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 s="142"/>
      <c r="BW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 s="61">
        <f>TblImps[[#This Row],[Login]]</f>
        <v>0</v>
      </c>
      <c r="BY13" s="137"/>
      <c r="BZ13" s="293">
        <f ca="1">OFFSET(TblImps[[#This Row],[Real time]],-1,0)+1/24</f>
        <v>46180.374999999978</v>
      </c>
      <c r="CA13" s="294">
        <f ca="1">OFFSET(TblImps[[#This Row],[Servertime]],-1,0)+1/24</f>
        <v>46180.374999999978</v>
      </c>
      <c r="CB13" s="57"/>
      <c r="CC13" s="292"/>
      <c r="CD13" s="292"/>
    </row>
    <row r="14" spans="1:85" x14ac:dyDescent="0.2">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46180.416666666642</v>
      </c>
      <c r="M14" s="61">
        <f>IF(ISERROR(TblImps[[#This Row],[algorithm]]),0,TblImps[[#This Row],[algorithm]]*1)</f>
        <v>0</v>
      </c>
      <c r="N14" s="94">
        <f ca="1">TblImps[[#This Row],[Land]]</f>
        <v>50</v>
      </c>
      <c r="O14" s="285" t="s">
        <v>4</v>
      </c>
      <c r="P14" s="286"/>
      <c r="Q14" s="285" t="s">
        <v>210</v>
      </c>
      <c r="R14" s="285" t="s">
        <v>7</v>
      </c>
      <c r="S14" s="286"/>
      <c r="T14" s="285" t="s">
        <v>210</v>
      </c>
      <c r="U14" s="285" t="s">
        <v>3</v>
      </c>
      <c r="V14" s="286"/>
      <c r="W14" s="285"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Row],[P5]:[FW5]])+OFFSET(TblImps[[#This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57">
        <f ca="1">IF(OFFSET(TblMagic[[#This Row],[Active Alchemists Flame]],-1,0)&gt;0,TblConstr[[#This Row],[Tot Alc]]*alchemist_flame_invest,0)</f>
        <v>0</v>
      </c>
      <c r="BL14" s="142"/>
      <c r="BM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4" s="142"/>
      <c r="BR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4" s="142"/>
      <c r="BW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4" s="61">
        <f>TblImps[[#This Row],[Login]]</f>
        <v>0</v>
      </c>
      <c r="BY14" s="137"/>
      <c r="BZ14" s="293">
        <f ca="1">OFFSET(TblImps[[#This Row],[Real time]],-1,0)+1/24</f>
        <v>46180.416666666642</v>
      </c>
      <c r="CA14" s="294">
        <f ca="1">OFFSET(TblImps[[#This Row],[Servertime]],-1,0)+1/24</f>
        <v>46180.416666666642</v>
      </c>
      <c r="CB14" s="57"/>
      <c r="CC14" s="292"/>
      <c r="CD14" s="292"/>
    </row>
    <row r="15" spans="1:85" x14ac:dyDescent="0.2">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46180.458333333307</v>
      </c>
      <c r="M15" s="61">
        <f>IF(ISERROR(TblImps[[#This Row],[algorithm]]),0,TblImps[[#This Row],[algorithm]]*1)</f>
        <v>0</v>
      </c>
      <c r="N15" s="94">
        <f ca="1">TblImps[[#This Row],[Land]]</f>
        <v>50</v>
      </c>
      <c r="O15" s="285" t="s">
        <v>4</v>
      </c>
      <c r="P15" s="286"/>
      <c r="Q15" s="285" t="s">
        <v>210</v>
      </c>
      <c r="R15" s="285" t="s">
        <v>7</v>
      </c>
      <c r="S15" s="286"/>
      <c r="T15" s="285" t="s">
        <v>210</v>
      </c>
      <c r="U15" s="285" t="s">
        <v>3</v>
      </c>
      <c r="V15" s="286"/>
      <c r="W15" s="285"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Row],[P5]:[FW5]])+OFFSET(TblImps[[#This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57">
        <f ca="1">IF(OFFSET(TblMagic[[#This Row],[Active Alchemists Flame]],-1,0)&gt;0,TblConstr[[#This Row],[Tot Alc]]*alchemist_flame_invest,0)</f>
        <v>0</v>
      </c>
      <c r="BL15" s="142"/>
      <c r="BM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5" s="142"/>
      <c r="BR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5" s="142"/>
      <c r="BW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5" s="61">
        <f>TblImps[[#This Row],[Login]]</f>
        <v>0</v>
      </c>
      <c r="BY15" s="137"/>
      <c r="BZ15" s="293">
        <f ca="1">OFFSET(TblImps[[#This Row],[Real time]],-1,0)+1/24</f>
        <v>46180.458333333307</v>
      </c>
      <c r="CA15" s="294">
        <f ca="1">OFFSET(TblImps[[#This Row],[Servertime]],-1,0)+1/24</f>
        <v>46180.458333333307</v>
      </c>
      <c r="CB15" s="57"/>
      <c r="CC15" s="292"/>
      <c r="CD15" s="292"/>
    </row>
    <row r="16" spans="1:85" x14ac:dyDescent="0.2">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46180.499999999971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Row],[P5]:[FW5]])+OFFSET(TblImps[[#This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57">
        <f ca="1">IF(OFFSET(TblMagic[[#This Row],[Active Alchemists Flame]],-1,0)&gt;0,TblConstr[[#This Row],[Tot Alc]]*alchemist_flame_invest,0)</f>
        <v>0</v>
      </c>
      <c r="BL16" s="142"/>
      <c r="BM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6" s="142"/>
      <c r="BR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6" s="142"/>
      <c r="BW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6" s="61">
        <f>TblImps[[#This Row],[Login]]</f>
        <v>0</v>
      </c>
      <c r="BY16" s="137"/>
      <c r="BZ16" s="293">
        <f ca="1">OFFSET(TblImps[[#This Row],[Real time]],-1,0)+1/24</f>
        <v>46180.499999999971</v>
      </c>
      <c r="CA16" s="294">
        <f ca="1">OFFSET(TblImps[[#This Row],[Servertime]],-1,0)+1/24</f>
        <v>46180.499999999971</v>
      </c>
      <c r="CB16" s="57"/>
      <c r="CC16" s="292"/>
      <c r="CD16" s="292"/>
    </row>
    <row r="17" spans="1:85" x14ac:dyDescent="0.2">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46180.541666666635</v>
      </c>
      <c r="M17" s="61">
        <f>IF(ISERROR(TblImps[[#This Row],[algorithm]]),0,TblImps[[#This Row],[algorithm]]*1)</f>
        <v>0</v>
      </c>
      <c r="N17" s="94">
        <f ca="1">TblImps[[#This Row],[Land]]</f>
        <v>50</v>
      </c>
      <c r="O17" s="285" t="s">
        <v>4</v>
      </c>
      <c r="P17" s="286"/>
      <c r="Q17" s="285" t="s">
        <v>210</v>
      </c>
      <c r="R17" s="285" t="s">
        <v>7</v>
      </c>
      <c r="S17" s="286"/>
      <c r="T17" s="285" t="s">
        <v>210</v>
      </c>
      <c r="U17" s="285" t="s">
        <v>3</v>
      </c>
      <c r="V17" s="286"/>
      <c r="W17" s="285"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Row],[P5]:[FW5]])+OFFSET(TblImps[[#This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57">
        <f ca="1">IF(OFFSET(TblMagic[[#This Row],[Active Alchemists Flame]],-1,0)&gt;0,TblConstr[[#This Row],[Tot Alc]]*alchemist_flame_invest,0)</f>
        <v>0</v>
      </c>
      <c r="BL17" s="142"/>
      <c r="BM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7" s="142"/>
      <c r="BR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7" s="142"/>
      <c r="BW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7" s="61">
        <f>TblImps[[#This Row],[Login]]</f>
        <v>0</v>
      </c>
      <c r="BY17" s="137"/>
      <c r="BZ17" s="293">
        <f ca="1">OFFSET(TblImps[[#This Row],[Real time]],-1,0)+1/24</f>
        <v>46180.541666666635</v>
      </c>
      <c r="CA17" s="294">
        <f ca="1">OFFSET(TblImps[[#This Row],[Servertime]],-1,0)+1/24</f>
        <v>46180.541666666635</v>
      </c>
      <c r="CB17" s="57"/>
      <c r="CC17" s="292"/>
      <c r="CD17" s="292"/>
      <c r="CE17" s="159"/>
    </row>
    <row r="18" spans="1:85" x14ac:dyDescent="0.2">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46180.583333333299</v>
      </c>
      <c r="M18" s="61">
        <f>IF(ISERROR(TblImps[[#This Row],[algorithm]]),0,TblImps[[#This Row],[algorithm]]*1)</f>
        <v>0</v>
      </c>
      <c r="N18" s="94">
        <f ca="1">TblImps[[#This Row],[Land]]</f>
        <v>50</v>
      </c>
      <c r="O18" s="285" t="s">
        <v>4</v>
      </c>
      <c r="P18" s="286"/>
      <c r="Q18" s="285" t="s">
        <v>210</v>
      </c>
      <c r="R18" s="285" t="s">
        <v>7</v>
      </c>
      <c r="S18" s="286"/>
      <c r="T18" s="285" t="s">
        <v>210</v>
      </c>
      <c r="U18" s="285" t="s">
        <v>3</v>
      </c>
      <c r="V18" s="286"/>
      <c r="W18" s="285"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Row],[P5]:[FW5]])+OFFSET(TblImps[[#This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57">
        <f ca="1">IF(OFFSET(TblMagic[[#This Row],[Active Alchemists Flame]],-1,0)&gt;0,TblConstr[[#This Row],[Tot Alc]]*alchemist_flame_invest,0)</f>
        <v>0</v>
      </c>
      <c r="BL18" s="142"/>
      <c r="BM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8" s="142"/>
      <c r="BR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8" s="142"/>
      <c r="BW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8" s="61">
        <f>TblImps[[#This Row],[Login]]</f>
        <v>0</v>
      </c>
      <c r="BY18" s="137"/>
      <c r="BZ18" s="293">
        <f ca="1">OFFSET(TblImps[[#This Row],[Real time]],-1,0)+1/24</f>
        <v>46180.583333333299</v>
      </c>
      <c r="CA18" s="294">
        <f ca="1">OFFSET(TblImps[[#This Row],[Servertime]],-1,0)+1/24</f>
        <v>46180.583333333299</v>
      </c>
      <c r="CB18" s="297"/>
      <c r="CC18" s="292"/>
      <c r="CD18" s="292"/>
      <c r="CG18" s="295"/>
    </row>
    <row r="19" spans="1:85" x14ac:dyDescent="0.2">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46180.624999999964</v>
      </c>
      <c r="M19" s="61">
        <f>IF(ISERROR(TblImps[[#This Row],[algorithm]]),0,TblImps[[#This Row],[algorithm]]*1)</f>
        <v>0</v>
      </c>
      <c r="N19" s="94">
        <f ca="1">TblImps[[#This Row],[Land]]</f>
        <v>50</v>
      </c>
      <c r="O19" s="285" t="s">
        <v>4</v>
      </c>
      <c r="P19" s="286"/>
      <c r="Q19" s="285" t="s">
        <v>210</v>
      </c>
      <c r="R19" s="285" t="s">
        <v>7</v>
      </c>
      <c r="S19" s="286"/>
      <c r="T19" s="285" t="s">
        <v>210</v>
      </c>
      <c r="U19" s="285" t="s">
        <v>3</v>
      </c>
      <c r="V19" s="286"/>
      <c r="W19" s="285"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Row],[P5]:[FW5]])+OFFSET(TblImps[[#This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57">
        <f ca="1">IF(OFFSET(TblMagic[[#This Row],[Active Alchemists Flame]],-1,0)&gt;0,TblConstr[[#This Row],[Tot Alc]]*alchemist_flame_invest,0)</f>
        <v>0</v>
      </c>
      <c r="BL19" s="142"/>
      <c r="BM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9" s="142"/>
      <c r="BR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9" s="142"/>
      <c r="BW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9" s="61">
        <f>TblImps[[#This Row],[Login]]</f>
        <v>0</v>
      </c>
      <c r="BY19" s="137"/>
      <c r="BZ19" s="293">
        <f ca="1">OFFSET(TblImps[[#This Row],[Real time]],-1,0)+1/24</f>
        <v>46180.624999999964</v>
      </c>
      <c r="CA19" s="294">
        <f ca="1">OFFSET(TblImps[[#This Row],[Servertime]],-1,0)+1/24</f>
        <v>46180.624999999964</v>
      </c>
      <c r="CB19" s="57"/>
      <c r="CC19" s="292"/>
      <c r="CD19" s="292"/>
      <c r="CG19" s="296"/>
    </row>
    <row r="20" spans="1:85" x14ac:dyDescent="0.2">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46180.666666666628</v>
      </c>
      <c r="M20" s="61">
        <f>IF(ISERROR(TblImps[[#This Row],[algorithm]]),0,TblImps[[#This Row],[algorithm]]*1)</f>
        <v>0</v>
      </c>
      <c r="N20" s="94">
        <f ca="1">TblImps[[#This Row],[Land]]</f>
        <v>50</v>
      </c>
      <c r="O20" s="285" t="s">
        <v>4</v>
      </c>
      <c r="P20" s="286"/>
      <c r="Q20" s="285" t="s">
        <v>210</v>
      </c>
      <c r="R20" s="285" t="s">
        <v>7</v>
      </c>
      <c r="S20" s="286"/>
      <c r="T20" s="285" t="s">
        <v>210</v>
      </c>
      <c r="U20" s="285" t="s">
        <v>3</v>
      </c>
      <c r="V20" s="286"/>
      <c r="W20" s="285"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Row],[P5]:[FW5]])+OFFSET(TblImps[[#This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57">
        <f ca="1">IF(OFFSET(TblMagic[[#This Row],[Active Alchemists Flame]],-1,0)&gt;0,TblConstr[[#This Row],[Tot Alc]]*alchemist_flame_invest,0)</f>
        <v>0</v>
      </c>
      <c r="BL20" s="142"/>
      <c r="BM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0" s="142"/>
      <c r="BR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0" s="142"/>
      <c r="BW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0" s="61">
        <f>TblImps[[#This Row],[Login]]</f>
        <v>0</v>
      </c>
      <c r="BY20" s="137"/>
      <c r="BZ20" s="293">
        <f ca="1">OFFSET(TblImps[[#This Row],[Real time]],-1,0)+1/24</f>
        <v>46180.666666666628</v>
      </c>
      <c r="CA20" s="294">
        <f ca="1">OFFSET(TblImps[[#This Row],[Servertime]],-1,0)+1/24</f>
        <v>46180.666666666628</v>
      </c>
      <c r="CB20" s="57"/>
      <c r="CC20" s="292"/>
      <c r="CD20" s="292"/>
      <c r="CG20" s="295"/>
    </row>
    <row r="21" spans="1:85" x14ac:dyDescent="0.2">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46180.708333333292</v>
      </c>
      <c r="M21" s="61">
        <f>IF(ISERROR(TblImps[[#This Row],[algorithm]]),0,TblImps[[#This Row],[algorithm]]*1)</f>
        <v>0</v>
      </c>
      <c r="N21" s="94">
        <f ca="1">TblImps[[#This Row],[Land]]</f>
        <v>50</v>
      </c>
      <c r="O21" s="285" t="s">
        <v>4</v>
      </c>
      <c r="P21" s="286"/>
      <c r="Q21" s="285" t="s">
        <v>210</v>
      </c>
      <c r="R21" s="285" t="s">
        <v>7</v>
      </c>
      <c r="S21" s="286"/>
      <c r="T21" s="285" t="s">
        <v>210</v>
      </c>
      <c r="U21" s="285" t="s">
        <v>3</v>
      </c>
      <c r="V21" s="286"/>
      <c r="W21" s="285"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Row],[P5]:[FW5]])+OFFSET(TblImps[[#This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57">
        <f ca="1">IF(OFFSET(TblMagic[[#This Row],[Active Alchemists Flame]],-1,0)&gt;0,TblConstr[[#This Row],[Tot Alc]]*alchemist_flame_invest,0)</f>
        <v>0</v>
      </c>
      <c r="BL21" s="142"/>
      <c r="BM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1" s="142"/>
      <c r="BR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1" s="142"/>
      <c r="BW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1" s="61">
        <f>TblImps[[#This Row],[Login]]</f>
        <v>0</v>
      </c>
      <c r="BY21" s="137"/>
      <c r="BZ21" s="293">
        <f ca="1">OFFSET(TblImps[[#This Row],[Real time]],-1,0)+1/24</f>
        <v>46180.708333333292</v>
      </c>
      <c r="CA21" s="294">
        <f ca="1">OFFSET(TblImps[[#This Row],[Servertime]],-1,0)+1/24</f>
        <v>46180.708333333292</v>
      </c>
      <c r="CB21" s="57"/>
      <c r="CC21" s="292"/>
      <c r="CD21" s="292"/>
      <c r="CG21" s="295"/>
    </row>
    <row r="22" spans="1:85" x14ac:dyDescent="0.2">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46180.749999999956</v>
      </c>
      <c r="M22" s="61">
        <f>IF(ISERROR(TblImps[[#This Row],[algorithm]]),0,TblImps[[#This Row],[algorithm]]*1)</f>
        <v>0</v>
      </c>
      <c r="N22" s="94">
        <f ca="1">TblImps[[#This Row],[Land]]</f>
        <v>50</v>
      </c>
      <c r="O22" s="285" t="s">
        <v>4</v>
      </c>
      <c r="P22" s="286"/>
      <c r="Q22" s="285" t="s">
        <v>210</v>
      </c>
      <c r="R22" s="285" t="s">
        <v>7</v>
      </c>
      <c r="S22" s="286"/>
      <c r="T22" s="285" t="s">
        <v>210</v>
      </c>
      <c r="U22" s="285" t="s">
        <v>3</v>
      </c>
      <c r="V22" s="286"/>
      <c r="W22" s="285"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Row],[P5]:[FW5]])+OFFSET(TblImps[[#This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57">
        <f ca="1">IF(OFFSET(TblMagic[[#This Row],[Active Alchemists Flame]],-1,0)&gt;0,TblConstr[[#This Row],[Tot Alc]]*alchemist_flame_invest,0)</f>
        <v>0</v>
      </c>
      <c r="BL22" s="142"/>
      <c r="BM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2" s="142"/>
      <c r="BR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2" s="142"/>
      <c r="BW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2" s="61">
        <f>TblImps[[#This Row],[Login]]</f>
        <v>0</v>
      </c>
      <c r="BY22" s="137"/>
      <c r="BZ22" s="293">
        <f ca="1">OFFSET(TblImps[[#This Row],[Real time]],-1,0)+1/24</f>
        <v>46180.749999999956</v>
      </c>
      <c r="CA22" s="294">
        <f ca="1">OFFSET(TblImps[[#This Row],[Servertime]],-1,0)+1/24</f>
        <v>46180.749999999956</v>
      </c>
      <c r="CB22" s="57"/>
      <c r="CC22" s="292"/>
      <c r="CD22" s="292"/>
    </row>
    <row r="23" spans="1:85" x14ac:dyDescent="0.2">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46180.791666666621</v>
      </c>
      <c r="M23" s="61">
        <f>IF(ISERROR(TblImps[[#This Row],[algorithm]]),0,TblImps[[#This Row],[algorithm]]*1)</f>
        <v>0</v>
      </c>
      <c r="N23" s="94">
        <f ca="1">TblImps[[#This Row],[Land]]</f>
        <v>50</v>
      </c>
      <c r="O23" s="285" t="s">
        <v>4</v>
      </c>
      <c r="P23" s="286"/>
      <c r="Q23" s="285" t="s">
        <v>210</v>
      </c>
      <c r="R23" s="285" t="s">
        <v>7</v>
      </c>
      <c r="S23" s="286"/>
      <c r="T23" s="285" t="s">
        <v>210</v>
      </c>
      <c r="U23" s="285" t="s">
        <v>3</v>
      </c>
      <c r="V23" s="286"/>
      <c r="W23" s="285"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Row],[P5]:[FW5]])+OFFSET(TblImps[[#This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57">
        <f ca="1">IF(OFFSET(TblMagic[[#This Row],[Active Alchemists Flame]],-1,0)&gt;0,TblConstr[[#This Row],[Tot Alc]]*alchemist_flame_invest,0)</f>
        <v>0</v>
      </c>
      <c r="BL23" s="142"/>
      <c r="BM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3" s="142"/>
      <c r="BR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3" s="142"/>
      <c r="BW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3" s="61">
        <f>TblImps[[#This Row],[Login]]</f>
        <v>0</v>
      </c>
      <c r="BY23" s="137"/>
      <c r="BZ23" s="293">
        <f ca="1">OFFSET(TblImps[[#This Row],[Real time]],-1,0)+1/24</f>
        <v>46180.791666666621</v>
      </c>
      <c r="CA23" s="294">
        <f ca="1">OFFSET(TblImps[[#This Row],[Servertime]],-1,0)+1/24</f>
        <v>46180.791666666621</v>
      </c>
      <c r="CB23" s="57"/>
      <c r="CC23" s="292"/>
      <c r="CD23" s="292"/>
    </row>
    <row r="24" spans="1:85" x14ac:dyDescent="0.2">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46180.833333333285</v>
      </c>
      <c r="M24" s="61">
        <f>IF(ISERROR(TblImps[[#This Row],[algorithm]]),0,TblImps[[#This Row],[algorithm]]*1)</f>
        <v>0</v>
      </c>
      <c r="N24" s="94">
        <f ca="1">TblImps[[#This Row],[Land]]</f>
        <v>50</v>
      </c>
      <c r="O24" s="285" t="s">
        <v>4</v>
      </c>
      <c r="P24" s="286"/>
      <c r="Q24" s="285" t="s">
        <v>210</v>
      </c>
      <c r="R24" s="285" t="s">
        <v>7</v>
      </c>
      <c r="S24" s="286"/>
      <c r="T24" s="285" t="s">
        <v>210</v>
      </c>
      <c r="U24" s="285" t="s">
        <v>3</v>
      </c>
      <c r="V24" s="286"/>
      <c r="W24" s="285"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Row],[P5]:[FW5]])+OFFSET(TblImps[[#This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57">
        <f ca="1">IF(OFFSET(TblMagic[[#This Row],[Active Alchemists Flame]],-1,0)&gt;0,TblConstr[[#This Row],[Tot Alc]]*alchemist_flame_invest,0)</f>
        <v>0</v>
      </c>
      <c r="BL24" s="142"/>
      <c r="BM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4" s="142"/>
      <c r="BR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4" s="142"/>
      <c r="BW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4" s="61">
        <f>TblImps[[#This Row],[Login]]</f>
        <v>0</v>
      </c>
      <c r="BY24" s="137"/>
      <c r="BZ24" s="293">
        <f ca="1">OFFSET(TblImps[[#This Row],[Real time]],-1,0)+1/24</f>
        <v>46180.833333333285</v>
      </c>
      <c r="CA24" s="294">
        <f ca="1">OFFSET(TblImps[[#This Row],[Servertime]],-1,0)+1/24</f>
        <v>46180.833333333285</v>
      </c>
      <c r="CB24" s="57"/>
      <c r="CC24" s="292"/>
      <c r="CD24" s="292"/>
    </row>
    <row r="25" spans="1:85" x14ac:dyDescent="0.2">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46180.874999999949</v>
      </c>
      <c r="M25" s="61">
        <f>IF(ISERROR(TblImps[[#This Row],[algorithm]]),0,TblImps[[#This Row],[algorithm]]*1)</f>
        <v>0</v>
      </c>
      <c r="N25" s="94">
        <f ca="1">TblImps[[#This Row],[Land]]</f>
        <v>50</v>
      </c>
      <c r="O25" s="285" t="s">
        <v>4</v>
      </c>
      <c r="P25" s="286"/>
      <c r="Q25" s="285" t="s">
        <v>210</v>
      </c>
      <c r="R25" s="285" t="s">
        <v>7</v>
      </c>
      <c r="S25" s="286"/>
      <c r="T25" s="285" t="s">
        <v>210</v>
      </c>
      <c r="U25" s="285" t="s">
        <v>3</v>
      </c>
      <c r="V25" s="286"/>
      <c r="W25" s="285"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Row],[P5]:[FW5]])+OFFSET(TblImps[[#This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57">
        <f ca="1">IF(OFFSET(TblMagic[[#This Row],[Active Alchemists Flame]],-1,0)&gt;0,TblConstr[[#This Row],[Tot Alc]]*alchemist_flame_invest,0)</f>
        <v>0</v>
      </c>
      <c r="BL25" s="142"/>
      <c r="BM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5" s="142"/>
      <c r="BR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5" s="142"/>
      <c r="BW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5" s="61">
        <f>TblImps[[#This Row],[Login]]</f>
        <v>0</v>
      </c>
      <c r="BY25" s="137"/>
      <c r="BZ25" s="293">
        <f ca="1">OFFSET(TblImps[[#This Row],[Real time]],-1,0)+1/24</f>
        <v>46180.874999999949</v>
      </c>
      <c r="CA25" s="294">
        <f ca="1">OFFSET(TblImps[[#This Row],[Servertime]],-1,0)+1/24</f>
        <v>46180.874999999949</v>
      </c>
      <c r="CB25" s="57"/>
      <c r="CC25" s="292"/>
      <c r="CD25" s="292"/>
    </row>
    <row r="26" spans="1:85" x14ac:dyDescent="0.2">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46180.916666666613</v>
      </c>
      <c r="M26" s="61">
        <f>IF(ISERROR(TblImps[[#This Row],[algorithm]]),0,TblImps[[#This Row],[algorithm]]*1)</f>
        <v>0</v>
      </c>
      <c r="N26" s="94">
        <f ca="1">TblImps[[#This Row],[Land]]</f>
        <v>50</v>
      </c>
      <c r="O26" s="285" t="s">
        <v>4</v>
      </c>
      <c r="P26" s="286"/>
      <c r="Q26" s="285" t="s">
        <v>210</v>
      </c>
      <c r="R26" s="285" t="s">
        <v>7</v>
      </c>
      <c r="S26" s="286"/>
      <c r="T26" s="285" t="s">
        <v>210</v>
      </c>
      <c r="U26" s="285" t="s">
        <v>3</v>
      </c>
      <c r="V26" s="286"/>
      <c r="W26" s="285"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Row],[P5]:[FW5]])+OFFSET(TblImps[[#This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57">
        <f ca="1">IF(OFFSET(TblMagic[[#This Row],[Active Alchemists Flame]],-1,0)&gt;0,TblConstr[[#This Row],[Tot Alc]]*alchemist_flame_invest,0)</f>
        <v>0</v>
      </c>
      <c r="BL26" s="142"/>
      <c r="BM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6" s="142"/>
      <c r="BR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6" s="142"/>
      <c r="BW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6" s="61">
        <f>TblImps[[#This Row],[Login]]</f>
        <v>0</v>
      </c>
      <c r="BY26" s="137"/>
      <c r="BZ26" s="293">
        <f ca="1">OFFSET(TblImps[[#This Row],[Real time]],-1,0)+1/24</f>
        <v>46180.916666666613</v>
      </c>
      <c r="CA26" s="294">
        <f ca="1">OFFSET(TblImps[[#This Row],[Servertime]],-1,0)+1/24</f>
        <v>46180.916666666613</v>
      </c>
      <c r="CB26" s="57"/>
      <c r="CC26" s="292"/>
      <c r="CD26" s="292"/>
    </row>
    <row r="27" spans="1:85" x14ac:dyDescent="0.2">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46180.958333333278</v>
      </c>
      <c r="M27" s="61">
        <f>IF(ISERROR(TblImps[[#This Row],[algorithm]]),0,TblImps[[#This Row],[algorithm]]*1)</f>
        <v>0</v>
      </c>
      <c r="N27" s="94">
        <f ca="1">TblImps[[#This Row],[Land]]</f>
        <v>50</v>
      </c>
      <c r="O27" s="285" t="s">
        <v>4</v>
      </c>
      <c r="P27" s="286"/>
      <c r="Q27" s="285" t="s">
        <v>210</v>
      </c>
      <c r="R27" s="285" t="s">
        <v>7</v>
      </c>
      <c r="S27" s="286"/>
      <c r="T27" s="285" t="s">
        <v>210</v>
      </c>
      <c r="U27" s="285" t="s">
        <v>3</v>
      </c>
      <c r="V27" s="286"/>
      <c r="W27" s="285"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Row],[P5]:[FW5]])+OFFSET(TblImps[[#This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57">
        <f ca="1">IF(OFFSET(TblMagic[[#This Row],[Active Alchemists Flame]],-1,0)&gt;0,TblConstr[[#This Row],[Tot Alc]]*alchemist_flame_invest,0)</f>
        <v>0</v>
      </c>
      <c r="BL27" s="142"/>
      <c r="BM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7" s="142"/>
      <c r="BR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7" s="142"/>
      <c r="BW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7" s="61">
        <f>TblImps[[#This Row],[Login]]</f>
        <v>0</v>
      </c>
      <c r="BY27" s="137"/>
      <c r="BZ27" s="293">
        <f ca="1">OFFSET(TblImps[[#This Row],[Real time]],-1,0)+1/24</f>
        <v>46180.958333333278</v>
      </c>
      <c r="CA27" s="294">
        <f ca="1">OFFSET(TblImps[[#This Row],[Servertime]],-1,0)+1/24</f>
        <v>46180.958333333278</v>
      </c>
      <c r="CB27" s="57"/>
      <c r="CC27" s="292"/>
      <c r="CD27" s="292"/>
    </row>
    <row r="28" spans="1:85" x14ac:dyDescent="0.2">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46180.999999999942</v>
      </c>
      <c r="M28" s="61">
        <f>IF(ISERROR(TblImps[[#This Row],[algorithm]]),0,TblImps[[#This Row],[algorithm]]*1)</f>
        <v>0</v>
      </c>
      <c r="N28" s="94">
        <f ca="1">TblImps[[#This Row],[Land]]</f>
        <v>50</v>
      </c>
      <c r="O28" s="285" t="s">
        <v>2</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Row],[P5]:[FW5]])+OFFSET(TblImps[[#This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57">
        <f ca="1">IF(OFFSET(TblMagic[[#This Row],[Active Alchemists Flame]],-1,0)&gt;0,TblConstr[[#This Row],[Tot Alc]]*alchemist_flame_invest,0)</f>
        <v>0</v>
      </c>
      <c r="BL28" s="142"/>
      <c r="BM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8" s="142"/>
      <c r="BR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8" s="142"/>
      <c r="BW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8" s="61">
        <f>TblImps[[#This Row],[Login]]</f>
        <v>0</v>
      </c>
      <c r="BY28" s="137"/>
      <c r="BZ28" s="293">
        <f ca="1">OFFSET(TblImps[[#This Row],[Real time]],-1,0)+1/24</f>
        <v>46180.999999999942</v>
      </c>
      <c r="CA28" s="294">
        <f ca="1">OFFSET(TblImps[[#This Row],[Servertime]],-1,0)+1/24</f>
        <v>46180.999999999942</v>
      </c>
      <c r="CB28" s="57"/>
      <c r="CC28" s="292"/>
      <c r="CD28" s="292"/>
    </row>
    <row r="29" spans="1:85" x14ac:dyDescent="0.2">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46181.041666666606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Row],[P5]:[FW5]])+OFFSET(TblImps[[#This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57">
        <f ca="1">IF(OFFSET(TblMagic[[#This Row],[Active Alchemists Flame]],-1,0)&gt;0,TblConstr[[#This Row],[Tot Alc]]*alchemist_flame_invest,0)</f>
        <v>0</v>
      </c>
      <c r="BL29" s="142"/>
      <c r="BM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9" s="142"/>
      <c r="BR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9" s="142"/>
      <c r="BW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9" s="61">
        <f>TblImps[[#This Row],[Login]]</f>
        <v>0</v>
      </c>
      <c r="BY29" s="137"/>
      <c r="BZ29" s="293">
        <f ca="1">OFFSET(TblImps[[#This Row],[Real time]],-1,0)+1/24</f>
        <v>46181.041666666606</v>
      </c>
      <c r="CA29" s="294">
        <f ca="1">OFFSET(TblImps[[#This Row],[Servertime]],-1,0)+1/24</f>
        <v>46181.041666666606</v>
      </c>
      <c r="CB29" s="57"/>
      <c r="CC29" s="292"/>
      <c r="CD29" s="292"/>
    </row>
    <row r="30" spans="1:85" x14ac:dyDescent="0.2">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46181.08333333327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Row],[P5]:[FW5]])+OFFSET(TblImps[[#This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57">
        <f ca="1">IF(OFFSET(TblMagic[[#This Row],[Active Alchemists Flame]],-1,0)&gt;0,TblConstr[[#This Row],[Tot Alc]]*alchemist_flame_invest,0)</f>
        <v>0</v>
      </c>
      <c r="BL30" s="142"/>
      <c r="BM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0" s="142"/>
      <c r="BR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0" s="142"/>
      <c r="BW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0" s="61">
        <f>TblImps[[#This Row],[Login]]</f>
        <v>0</v>
      </c>
      <c r="BY30" s="137"/>
      <c r="BZ30" s="293">
        <f ca="1">OFFSET(TblImps[[#This Row],[Real time]],-1,0)+1/24</f>
        <v>46181.08333333327</v>
      </c>
      <c r="CA30" s="294">
        <f ca="1">OFFSET(TblImps[[#This Row],[Servertime]],-1,0)+1/24</f>
        <v>46181.08333333327</v>
      </c>
      <c r="CB30" s="57"/>
      <c r="CC30" s="292"/>
      <c r="CD30" s="292"/>
      <c r="CE30" s="45" t="s">
        <v>4</v>
      </c>
    </row>
    <row r="31" spans="1:85" x14ac:dyDescent="0.2">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46181.124999999935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Row],[P5]:[FW5]])+OFFSET(TblImps[[#This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57">
        <f ca="1">IF(OFFSET(TblMagic[[#This Row],[Active Alchemists Flame]],-1,0)&gt;0,TblConstr[[#This Row],[Tot Alc]]*alchemist_flame_invest,0)</f>
        <v>0</v>
      </c>
      <c r="BL31" s="142"/>
      <c r="BM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1" s="142"/>
      <c r="BR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1" s="142"/>
      <c r="BW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1" s="61">
        <f>TblImps[[#This Row],[Login]]</f>
        <v>0</v>
      </c>
      <c r="BY31" s="137"/>
      <c r="BZ31" s="293">
        <f ca="1">OFFSET(TblImps[[#This Row],[Real time]],-1,0)+1/24</f>
        <v>46181.124999999935</v>
      </c>
      <c r="CA31" s="294">
        <f ca="1">OFFSET(TblImps[[#This Row],[Servertime]],-1,0)+1/24</f>
        <v>46181.124999999935</v>
      </c>
      <c r="CB31" s="57"/>
      <c r="CC31" s="292"/>
      <c r="CD31" s="292"/>
      <c r="CE31" s="45" t="s">
        <v>7</v>
      </c>
    </row>
    <row r="32" spans="1:85" x14ac:dyDescent="0.2">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46181.166666666599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Row],[P5]:[FW5]])+OFFSET(TblImps[[#This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57">
        <f ca="1">IF(OFFSET(TblMagic[[#This Row],[Active Alchemists Flame]],-1,0)&gt;0,TblConstr[[#This Row],[Tot Alc]]*alchemist_flame_invest,0)</f>
        <v>0</v>
      </c>
      <c r="BL32" s="142"/>
      <c r="BM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2" s="142"/>
      <c r="BR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2" s="142"/>
      <c r="BW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2" s="61">
        <f>TblImps[[#This Row],[Login]]</f>
        <v>0</v>
      </c>
      <c r="BY32" s="137"/>
      <c r="BZ32" s="293">
        <f ca="1">OFFSET(TblImps[[#This Row],[Real time]],-1,0)+1/24</f>
        <v>46181.166666666599</v>
      </c>
      <c r="CA32" s="294">
        <f ca="1">OFFSET(TblImps[[#This Row],[Servertime]],-1,0)+1/24</f>
        <v>46181.166666666599</v>
      </c>
      <c r="CB32" s="57"/>
      <c r="CC32" s="292"/>
      <c r="CD32" s="292"/>
      <c r="CE32" s="45" t="s">
        <v>3</v>
      </c>
    </row>
    <row r="33" spans="1:83" x14ac:dyDescent="0.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46181.208333333263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Row],[P5]:[FW5]])+OFFSET(TblImps[[#This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57">
        <f ca="1">IF(OFFSET(TblMagic[[#This Row],[Active Alchemists Flame]],-1,0)&gt;0,TblConstr[[#This Row],[Tot Alc]]*alchemist_flame_invest,0)</f>
        <v>0</v>
      </c>
      <c r="BL33" s="142"/>
      <c r="BM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3" s="142"/>
      <c r="BR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3" s="142"/>
      <c r="BW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3" s="61">
        <f>TblImps[[#This Row],[Login]]</f>
        <v>0</v>
      </c>
      <c r="BY33" s="137"/>
      <c r="BZ33" s="293">
        <f ca="1">OFFSET(TblImps[[#This Row],[Real time]],-1,0)+1/24</f>
        <v>46181.208333333263</v>
      </c>
      <c r="CA33" s="294">
        <f ca="1">OFFSET(TblImps[[#This Row],[Servertime]],-1,0)+1/24</f>
        <v>46181.208333333263</v>
      </c>
      <c r="CB33" s="57"/>
      <c r="CC33" s="292"/>
      <c r="CD33" s="292"/>
      <c r="CE33" s="45" t="s">
        <v>2</v>
      </c>
    </row>
    <row r="34" spans="1:83" x14ac:dyDescent="0.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46181.249999999927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Row],[P5]:[FW5]])+OFFSET(TblImps[[#This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57">
        <f ca="1">IF(OFFSET(TblMagic[[#This Row],[Active Alchemists Flame]],-1,0)&gt;0,TblConstr[[#This Row],[Tot Alc]]*alchemist_flame_invest,0)</f>
        <v>0</v>
      </c>
      <c r="BL34" s="142"/>
      <c r="BM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4" s="142"/>
      <c r="BR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4" s="142"/>
      <c r="BW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4" s="61">
        <f>TblImps[[#This Row],[Login]]</f>
        <v>0</v>
      </c>
      <c r="BY34" s="137"/>
      <c r="BZ34" s="293">
        <f ca="1">OFFSET(TblImps[[#This Row],[Real time]],-1,0)+1/24</f>
        <v>46181.249999999927</v>
      </c>
      <c r="CA34" s="294">
        <f ca="1">OFFSET(TblImps[[#This Row],[Servertime]],-1,0)+1/24</f>
        <v>46181.249999999927</v>
      </c>
      <c r="CB34" s="57"/>
      <c r="CC34" s="292"/>
      <c r="CD34" s="292"/>
    </row>
    <row r="35" spans="1:83" x14ac:dyDescent="0.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46181.291666666591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Row],[P5]:[FW5]])+OFFSET(TblImps[[#This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57">
        <f ca="1">IF(OFFSET(TblMagic[[#This Row],[Active Alchemists Flame]],-1,0)&gt;0,TblConstr[[#This Row],[Tot Alc]]*alchemist_flame_invest,0)</f>
        <v>0</v>
      </c>
      <c r="BL35" s="142"/>
      <c r="BM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5" s="142"/>
      <c r="BR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5" s="142"/>
      <c r="BW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5" s="61">
        <f>TblImps[[#This Row],[Login]]</f>
        <v>0</v>
      </c>
      <c r="BY35" s="137"/>
      <c r="BZ35" s="293">
        <f ca="1">OFFSET(TblImps[[#This Row],[Real time]],-1,0)+1/24</f>
        <v>46181.291666666591</v>
      </c>
      <c r="CA35" s="294">
        <f ca="1">OFFSET(TblImps[[#This Row],[Servertime]],-1,0)+1/24</f>
        <v>46181.291666666591</v>
      </c>
      <c r="CB35" s="57"/>
      <c r="CC35" s="292"/>
      <c r="CD35" s="292"/>
      <c r="CE35" s="45" t="s">
        <v>208</v>
      </c>
    </row>
    <row r="36" spans="1:83" x14ac:dyDescent="0.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46181.333333333256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Row],[P5]:[FW5]])+OFFSET(TblImps[[#This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57">
        <f ca="1">IF(OFFSET(TblMagic[[#This Row],[Active Alchemists Flame]],-1,0)&gt;0,TblConstr[[#This Row],[Tot Alc]]*alchemist_flame_invest,0)</f>
        <v>0</v>
      </c>
      <c r="BL36" s="142"/>
      <c r="BM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6" s="142"/>
      <c r="BR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6" s="142"/>
      <c r="BW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6" s="61">
        <f>TblImps[[#This Row],[Login]]</f>
        <v>0</v>
      </c>
      <c r="BY36" s="137"/>
      <c r="BZ36" s="293">
        <f ca="1">OFFSET(TblImps[[#This Row],[Real time]],-1,0)+1/24</f>
        <v>46181.333333333256</v>
      </c>
      <c r="CA36" s="294">
        <f ca="1">OFFSET(TblImps[[#This Row],[Servertime]],-1,0)+1/24</f>
        <v>46181.333333333256</v>
      </c>
      <c r="CB36" s="57"/>
      <c r="CC36" s="292"/>
      <c r="CD36" s="292"/>
      <c r="CE36" s="45" t="s">
        <v>210</v>
      </c>
    </row>
    <row r="37" spans="1:83" x14ac:dyDescent="0.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46181.37499999992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Row],[P5]:[FW5]])+OFFSET(TblImps[[#This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57">
        <f ca="1">IF(OFFSET(TblMagic[[#This Row],[Active Alchemists Flame]],-1,0)&gt;0,TblConstr[[#This Row],[Tot Alc]]*alchemist_flame_invest,0)</f>
        <v>0</v>
      </c>
      <c r="BL37" s="142"/>
      <c r="BM3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7" s="142"/>
      <c r="BR3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7" s="142"/>
      <c r="BW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7" s="61">
        <f>TblImps[[#This Row],[Login]]</f>
        <v>0</v>
      </c>
      <c r="BY37" s="137"/>
      <c r="BZ37" s="293">
        <f ca="1">OFFSET(TblImps[[#This Row],[Real time]],-1,0)+1/24</f>
        <v>46181.37499999992</v>
      </c>
      <c r="CA37" s="294">
        <f ca="1">OFFSET(TblImps[[#This Row],[Servertime]],-1,0)+1/24</f>
        <v>46181.37499999992</v>
      </c>
      <c r="CB37" s="57"/>
      <c r="CC37" s="292"/>
      <c r="CD37" s="292"/>
      <c r="CE37" s="45" t="s">
        <v>1098</v>
      </c>
    </row>
    <row r="38" spans="1:83" x14ac:dyDescent="0.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46181.416666666584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Row],[P5]:[FW5]])+OFFSET(TblImps[[#This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57">
        <f ca="1">IF(OFFSET(TblMagic[[#This Row],[Active Alchemists Flame]],-1,0)&gt;0,TblConstr[[#This Row],[Tot Alc]]*alchemist_flame_invest,0)</f>
        <v>0</v>
      </c>
      <c r="BL38" s="142"/>
      <c r="BM3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8" s="142"/>
      <c r="BR3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8" s="142"/>
      <c r="BW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8" s="61">
        <f>TblImps[[#This Row],[Login]]</f>
        <v>0</v>
      </c>
      <c r="BY38" s="137"/>
      <c r="BZ38" s="293">
        <f ca="1">OFFSET(TblImps[[#This Row],[Real time]],-1,0)+1/24</f>
        <v>46181.416666666584</v>
      </c>
      <c r="CA38" s="294">
        <f ca="1">OFFSET(TblImps[[#This Row],[Servertime]],-1,0)+1/24</f>
        <v>46181.416666666584</v>
      </c>
      <c r="CB38" s="57"/>
      <c r="CC38" s="292"/>
      <c r="CD38" s="292"/>
      <c r="CE38" s="45" t="s">
        <v>212</v>
      </c>
    </row>
    <row r="39" spans="1:83" x14ac:dyDescent="0.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46181.458333333248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Row],[P5]:[FW5]])+OFFSET(TblImps[[#This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57">
        <f ca="1">IF(OFFSET(TblMagic[[#This Row],[Active Alchemists Flame]],-1,0)&gt;0,TblConstr[[#This Row],[Tot Alc]]*alchemist_flame_invest,0)</f>
        <v>0</v>
      </c>
      <c r="BL39" s="142"/>
      <c r="BM3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9" s="142"/>
      <c r="BR3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9" s="142"/>
      <c r="BW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9" s="61">
        <f>TblImps[[#This Row],[Login]]</f>
        <v>0</v>
      </c>
      <c r="BY39" s="137"/>
      <c r="BZ39" s="293">
        <f ca="1">OFFSET(TblImps[[#This Row],[Real time]],-1,0)+1/24</f>
        <v>46181.458333333248</v>
      </c>
      <c r="CA39" s="294">
        <f ca="1">OFFSET(TblImps[[#This Row],[Servertime]],-1,0)+1/24</f>
        <v>46181.458333333248</v>
      </c>
      <c r="CB39" s="57"/>
      <c r="CC39" s="292"/>
      <c r="CD39" s="292"/>
      <c r="CE39" s="45" t="s">
        <v>213</v>
      </c>
    </row>
    <row r="40" spans="1:83" x14ac:dyDescent="0.2">
      <c r="A40" s="214">
        <f ca="1">TblConstr[[#This Row],[Land]]</f>
        <v>50</v>
      </c>
      <c r="B40" s="142"/>
      <c r="C40" s="94">
        <f ca="1">TblProd[[#This Row],[Platinum]]</f>
        <v>158460</v>
      </c>
      <c r="D40" s="94">
        <f ca="1">TblProd[[#This Row],[Lumber]]</f>
        <v>40804</v>
      </c>
      <c r="E40" s="94">
        <f ca="1">TblProd[[#This Row],[Ore]]</f>
        <v>0</v>
      </c>
      <c r="F40" s="94">
        <f ca="1">TblProd[[#This Row],[Gems]]</f>
        <v>0</v>
      </c>
      <c r="G40" s="154"/>
      <c r="H40" s="94">
        <f ca="1">TblMili[[#This Row],[Draftees]]</f>
        <v>441</v>
      </c>
      <c r="I40" s="180">
        <f ca="1">TblPop[[#This Row],[Employment]]</f>
        <v>1</v>
      </c>
      <c r="J40" s="180">
        <f ca="1">TblPop[[#This Row],[Total]]/TblPop[[#This Row],[Net max]]</f>
        <v>1</v>
      </c>
      <c r="K40" s="283">
        <f>TblRezone[[#This Row],[Hour]]</f>
        <v>37</v>
      </c>
      <c r="L40" s="284">
        <f ca="1">TblImps[[#This Row],[Real time]]</f>
        <v>46181.499999999913</v>
      </c>
      <c r="M40" s="61">
        <f>IF(ISERROR(TblImps[[#This Row],[algorithm]]),0,TblImps[[#This Row],[algorithm]]*1)</f>
        <v>0</v>
      </c>
      <c r="N40" s="94">
        <f ca="1">TblImps[[#This Row],[Land]]</f>
        <v>50</v>
      </c>
      <c r="O40" s="285" t="s">
        <v>4</v>
      </c>
      <c r="P40" s="286"/>
      <c r="Q40" s="285" t="s">
        <v>210</v>
      </c>
      <c r="R40" s="285" t="s">
        <v>7</v>
      </c>
      <c r="S40" s="286"/>
      <c r="T40" s="285" t="s">
        <v>210</v>
      </c>
      <c r="U40" s="285" t="s">
        <v>3</v>
      </c>
      <c r="V40" s="286"/>
      <c r="W40" s="285" t="s">
        <v>210</v>
      </c>
      <c r="X40" s="142"/>
      <c r="Y40" s="287">
        <f ca="1">science_cap*(1-EXP(-TblImps[[#This Row],[Σ Science]]/(science_param*(OFFSET(TblImps[[#This Row],[Land]],1,0)-OFFSET(TblExplore[[#This Row],[Land Bonus]],1,0)*20)+15000)))*(1+(mason_bonus*TblConstr[[#This Row],[Tot Mas]]/TblConstr[[#This Row],[Land (2)]]))</f>
        <v>0</v>
      </c>
      <c r="Z40" s="287">
        <f ca="1">keep_cap*(1-EXP(-TblImps[[#This Row],[Σ Keep]]/(keep_param*(OFFSET(TblImps[[#This Row],[Land]],1,0)-OFFSET(TblExplore[[#This Row],[Land Bonus]],1,0)*20)+15000)))*(1+(mason_bonus*TblConstr[[#This Row],[Tot Mas]]/TblConstr[[#This Row],[Land (2)]]))</f>
        <v>0</v>
      </c>
      <c r="AA40" s="287">
        <f ca="1">harbor_towers_cap*(1-EXP(-TblImps[[#This Row],[Σ Spires]]/(towers_param*(OFFSET(TblImps[[#This Row],[Land]],1,0)-OFFSET(TblExplore[[#This Row],[Land Bonus]],1,0)*20)+15000)))*(1+(mason_bonus*TblConstr[[#This Row],[Tot Mas]]/TblConstr[[#This Row],[Land (2)]]))</f>
        <v>0</v>
      </c>
      <c r="AB40" s="287">
        <f ca="1">walls_forges_cap*(1-EXP(-TblImps[[#This Row],[Σ Forges]]/(walls_forges_param*(OFFSET(TblImps[[#This Row],[Land]],1,0)-OFFSET(TblExplore[[#This Row],[Land Bonus]],1,0)*20)+15000)))*(1+(mason_bonus*TblConstr[[#This Row],[Tot Mas]]/TblConstr[[#This Row],[Land (2)]]))</f>
        <v>0</v>
      </c>
      <c r="AC40" s="287">
        <f ca="1">walls_forges_cap*(1-EXP(-TblImps[[#This Row],[Σ Walls]]/(walls_forges_param*(OFFSET(TblImps[[#This Row],[Land]],1,0)-OFFSET(TblExplore[[#This Row],[Land Bonus]],1,0)*20)+15000)))*(1+(mason_bonus*TblConstr[[#This Row],[Tot Mas]]/TblConstr[[#This Row],[Land (2)]]))</f>
        <v>0</v>
      </c>
      <c r="AD40" s="287">
        <f ca="1">harbor_towers_cap*(1-EXP(-TblImps[[#This Row],[Σ Harbor]]/(harbor_towers_param*(OFFSET(TblImps[[#This Row],[Land]],1,0)-OFFSET(TblExplore[[#This Row],[Land Bonus]],1,0)*20)+15000)))*(1+(mason_bonus*TblConstr[[#This Row],[Tot Mas]]/TblConstr[[#This Row],[Land (2)]]))</f>
        <v>0</v>
      </c>
      <c r="AE40" s="142"/>
      <c r="AF40" s="61">
        <f ca="1">(1+Overview!$I$29)*SUM(TblImps[[#This Row],[P2]:[G2]])+OFFSET(TblImps[[#This Row],[Σ Science]],-1,0)</f>
        <v>0</v>
      </c>
      <c r="AG40" s="61">
        <f ca="1">(1+Overview!$I$29)*SUM(TblImps[[#This Row],[P3]:[G3]])+OFFSET(TblImps[[#This Row],[Σ Keep]],-1,0)</f>
        <v>0</v>
      </c>
      <c r="AH40" s="61">
        <f ca="1">(1+Overview!$I$29 + tech_7_1*TblTech[[#This Row],[7-1]])*SUM(TblImps[[#This Row],[P4]:[G4]])+OFFSET(TblImps[[#This Row],[Σ Spires]],-1,0)</f>
        <v>0</v>
      </c>
      <c r="AI40" s="61">
        <f ca="1">(1+Overview!$I$29)*SUM(TblImps[[#This Row],[P5]:[FW5]])+OFFSET(TblImps[[#This Row],[Σ Forges]],-1,0)</f>
        <v>0</v>
      </c>
      <c r="AJ40" s="61">
        <f ca="1">(1+Overview!$I$29)*SUM(TblImps[[#This Row],[P6]:[G6]])+OFFSET(TblImps[[#This Row],[Σ Walls]],-1,0)</f>
        <v>0</v>
      </c>
      <c r="AK40" s="61">
        <f ca="1">(1+Overview!$I$29 + tech_7_1*TblTech[[#This Row],[7-1]])*SUM(TblImps[[#This Row],[P7]:[G7]])+OFFSET(TblImps[[#This Row],[Σ Harbor]],-1,0)</f>
        <v>0</v>
      </c>
      <c r="AL40" s="142"/>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2"/>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2"/>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2"/>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2"/>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57">
        <f ca="1">IF(OFFSET(TblMagic[[#This Row],[Active Alchemists Flame]],-1,0)&gt;0,TblConstr[[#This Row],[Tot Alc]]*alchemist_flame_invest,0)</f>
        <v>0</v>
      </c>
      <c r="BL40" s="142"/>
      <c r="BM4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0" s="142"/>
      <c r="BR4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0" s="142"/>
      <c r="BW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0" s="61">
        <f>TblImps[[#This Row],[Login]]</f>
        <v>0</v>
      </c>
      <c r="BY40" s="137"/>
      <c r="BZ40" s="293">
        <f ca="1">OFFSET(TblImps[[#This Row],[Real time]],-1,0)+1/24</f>
        <v>46181.499999999913</v>
      </c>
      <c r="CA40" s="294">
        <f ca="1">OFFSET(TblImps[[#This Row],[Servertime]],-1,0)+1/24</f>
        <v>46181.499999999913</v>
      </c>
      <c r="CB40" s="57"/>
      <c r="CC40" s="292"/>
      <c r="CD40" s="292"/>
      <c r="CE40" s="45" t="s">
        <v>526</v>
      </c>
    </row>
    <row r="41" spans="1:83" x14ac:dyDescent="0.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46181.541666666577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Row],[P5]:[FW5]])+OFFSET(TblImps[[#This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57">
        <f ca="1">IF(OFFSET(TblMagic[[#This Row],[Active Alchemists Flame]],-1,0)&gt;0,TblConstr[[#This Row],[Tot Alc]]*alchemist_flame_invest,0)</f>
        <v>0</v>
      </c>
      <c r="BL41" s="142"/>
      <c r="BM4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1" s="142"/>
      <c r="BR4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1" s="142"/>
      <c r="BW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1" s="61">
        <f>TblImps[[#This Row],[Login]]</f>
        <v>0</v>
      </c>
      <c r="BY41" s="137"/>
      <c r="BZ41" s="293">
        <f ca="1">OFFSET(TblImps[[#This Row],[Real time]],-1,0)+1/24</f>
        <v>46181.541666666577</v>
      </c>
      <c r="CA41" s="294">
        <f ca="1">OFFSET(TblImps[[#This Row],[Servertime]],-1,0)+1/24</f>
        <v>46181.541666666577</v>
      </c>
      <c r="CB41" s="57"/>
      <c r="CC41" s="292"/>
      <c r="CD41" s="292"/>
    </row>
    <row r="42" spans="1:83" x14ac:dyDescent="0.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46181.583333333241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Row],[P5]:[FW5]])+OFFSET(TblImps[[#This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57">
        <f ca="1">IF(OFFSET(TblMagic[[#This Row],[Active Alchemists Flame]],-1,0)&gt;0,TblConstr[[#This Row],[Tot Alc]]*alchemist_flame_invest,0)</f>
        <v>0</v>
      </c>
      <c r="BL42" s="142"/>
      <c r="BM4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2" s="142"/>
      <c r="BR4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2" s="142"/>
      <c r="BW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2" s="61">
        <f>TblImps[[#This Row],[Login]]</f>
        <v>0</v>
      </c>
      <c r="BY42" s="137"/>
      <c r="BZ42" s="293">
        <f ca="1">OFFSET(TblImps[[#This Row],[Real time]],-1,0)+1/24</f>
        <v>46181.583333333241</v>
      </c>
      <c r="CA42" s="294">
        <f ca="1">OFFSET(TblImps[[#This Row],[Servertime]],-1,0)+1/24</f>
        <v>46181.583333333241</v>
      </c>
      <c r="CB42" s="297"/>
      <c r="CC42" s="292"/>
      <c r="CD42" s="292"/>
    </row>
    <row r="43" spans="1:83" x14ac:dyDescent="0.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46181.624999999905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Row],[P5]:[FW5]])+OFFSET(TblImps[[#This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57">
        <f ca="1">IF(OFFSET(TblMagic[[#This Row],[Active Alchemists Flame]],-1,0)&gt;0,TblConstr[[#This Row],[Tot Alc]]*alchemist_flame_invest,0)</f>
        <v>0</v>
      </c>
      <c r="BL43" s="142"/>
      <c r="BM4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3" s="142"/>
      <c r="BR4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3" s="142"/>
      <c r="BW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3" s="61">
        <f>TblImps[[#This Row],[Login]]</f>
        <v>0</v>
      </c>
      <c r="BY43" s="137"/>
      <c r="BZ43" s="293">
        <f ca="1">OFFSET(TblImps[[#This Row],[Real time]],-1,0)+1/24</f>
        <v>46181.624999999905</v>
      </c>
      <c r="CA43" s="294">
        <f ca="1">OFFSET(TblImps[[#This Row],[Servertime]],-1,0)+1/24</f>
        <v>46181.624999999905</v>
      </c>
      <c r="CB43" s="57"/>
      <c r="CC43" s="292"/>
      <c r="CD43" s="292"/>
    </row>
    <row r="44" spans="1:83" x14ac:dyDescent="0.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46181.66666666657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Row],[P5]:[FW5]])+OFFSET(TblImps[[#This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57">
        <f ca="1">IF(OFFSET(TblMagic[[#This Row],[Active Alchemists Flame]],-1,0)&gt;0,TblConstr[[#This Row],[Tot Alc]]*alchemist_flame_invest,0)</f>
        <v>0</v>
      </c>
      <c r="BL44" s="142"/>
      <c r="BM4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4" s="142"/>
      <c r="BR4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4" s="142"/>
      <c r="BW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4" s="61">
        <f>TblImps[[#This Row],[Login]]</f>
        <v>0</v>
      </c>
      <c r="BY44" s="137"/>
      <c r="BZ44" s="293">
        <f ca="1">OFFSET(TblImps[[#This Row],[Real time]],-1,0)+1/24</f>
        <v>46181.66666666657</v>
      </c>
      <c r="CA44" s="294">
        <f ca="1">OFFSET(TblImps[[#This Row],[Servertime]],-1,0)+1/24</f>
        <v>46181.66666666657</v>
      </c>
      <c r="CB44" s="57"/>
      <c r="CC44" s="292"/>
      <c r="CD44" s="292"/>
    </row>
    <row r="45" spans="1:83" x14ac:dyDescent="0.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46181.708333333234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Row],[P5]:[FW5]])+OFFSET(TblImps[[#This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57">
        <f ca="1">IF(OFFSET(TblMagic[[#This Row],[Active Alchemists Flame]],-1,0)&gt;0,TblConstr[[#This Row],[Tot Alc]]*alchemist_flame_invest,0)</f>
        <v>0</v>
      </c>
      <c r="BL45" s="142"/>
      <c r="BM4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5" s="142"/>
      <c r="BR4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5" s="142"/>
      <c r="BW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5" s="61">
        <f>TblImps[[#This Row],[Login]]</f>
        <v>0</v>
      </c>
      <c r="BY45" s="137"/>
      <c r="BZ45" s="293">
        <f ca="1">OFFSET(TblImps[[#This Row],[Real time]],-1,0)+1/24</f>
        <v>46181.708333333234</v>
      </c>
      <c r="CA45" s="294">
        <f ca="1">OFFSET(TblImps[[#This Row],[Servertime]],-1,0)+1/24</f>
        <v>46181.708333333234</v>
      </c>
      <c r="CB45" s="57"/>
      <c r="CC45" s="292"/>
      <c r="CD45" s="292"/>
    </row>
    <row r="46" spans="1:83" x14ac:dyDescent="0.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46181.749999999898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Row],[P5]:[FW5]])+OFFSET(TblImps[[#This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57">
        <f ca="1">IF(OFFSET(TblMagic[[#This Row],[Active Alchemists Flame]],-1,0)&gt;0,TblConstr[[#This Row],[Tot Alc]]*alchemist_flame_invest,0)</f>
        <v>0</v>
      </c>
      <c r="BL46" s="142"/>
      <c r="BM4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6" s="142"/>
      <c r="BR4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6" s="142"/>
      <c r="BW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6" s="61">
        <f>TblImps[[#This Row],[Login]]</f>
        <v>0</v>
      </c>
      <c r="BY46" s="137"/>
      <c r="BZ46" s="293">
        <f ca="1">OFFSET(TblImps[[#This Row],[Real time]],-1,0)+1/24</f>
        <v>46181.749999999898</v>
      </c>
      <c r="CA46" s="294">
        <f ca="1">OFFSET(TblImps[[#This Row],[Servertime]],-1,0)+1/24</f>
        <v>46181.749999999898</v>
      </c>
      <c r="CB46" s="57"/>
      <c r="CC46" s="292"/>
      <c r="CD46" s="292"/>
    </row>
    <row r="47" spans="1:83" x14ac:dyDescent="0.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46181.791666666562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Row],[P5]:[FW5]])+OFFSET(TblImps[[#This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57">
        <f ca="1">IF(OFFSET(TblMagic[[#This Row],[Active Alchemists Flame]],-1,0)&gt;0,TblConstr[[#This Row],[Tot Alc]]*alchemist_flame_invest,0)</f>
        <v>0</v>
      </c>
      <c r="BL47" s="142"/>
      <c r="BM4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7" s="142"/>
      <c r="BR4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7" s="142"/>
      <c r="BW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7" s="61">
        <f>TblImps[[#This Row],[Login]]</f>
        <v>0</v>
      </c>
      <c r="BY47" s="137"/>
      <c r="BZ47" s="293">
        <f ca="1">OFFSET(TblImps[[#This Row],[Real time]],-1,0)+1/24</f>
        <v>46181.791666666562</v>
      </c>
      <c r="CA47" s="294">
        <f ca="1">OFFSET(TblImps[[#This Row],[Servertime]],-1,0)+1/24</f>
        <v>46181.791666666562</v>
      </c>
      <c r="CB47" s="57"/>
      <c r="CC47" s="292"/>
      <c r="CD47" s="292"/>
    </row>
    <row r="48" spans="1:83" x14ac:dyDescent="0.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46181.833333333227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Row],[P5]:[FW5]])+OFFSET(TblImps[[#This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57">
        <f ca="1">IF(OFFSET(TblMagic[[#This Row],[Active Alchemists Flame]],-1,0)&gt;0,TblConstr[[#This Row],[Tot Alc]]*alchemist_flame_invest,0)</f>
        <v>0</v>
      </c>
      <c r="BL48" s="142"/>
      <c r="BM4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8" s="142"/>
      <c r="BR4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8" s="142"/>
      <c r="BW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8" s="61">
        <f>TblImps[[#This Row],[Login]]</f>
        <v>0</v>
      </c>
      <c r="BY48" s="137"/>
      <c r="BZ48" s="293">
        <f ca="1">OFFSET(TblImps[[#This Row],[Real time]],-1,0)+1/24</f>
        <v>46181.833333333227</v>
      </c>
      <c r="CA48" s="294">
        <f ca="1">OFFSET(TblImps[[#This Row],[Servertime]],-1,0)+1/24</f>
        <v>46181.833333333227</v>
      </c>
      <c r="CB48" s="57"/>
      <c r="CC48" s="292"/>
      <c r="CD48" s="292"/>
    </row>
    <row r="49" spans="1:82" x14ac:dyDescent="0.2">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46181.874999999891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Row],[P5]:[FW5]])+OFFSET(TblImps[[#This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57">
        <f ca="1">IF(OFFSET(TblMagic[[#This Row],[Active Alchemists Flame]],-1,0)&gt;0,TblConstr[[#This Row],[Tot Alc]]*alchemist_flame_invest,0)</f>
        <v>0</v>
      </c>
      <c r="BL49" s="142"/>
      <c r="BM4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9" s="142"/>
      <c r="BR4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9" s="142"/>
      <c r="BW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9" s="61">
        <f>TblImps[[#This Row],[Login]]</f>
        <v>0</v>
      </c>
      <c r="BY49" s="137"/>
      <c r="BZ49" s="293">
        <f ca="1">OFFSET(TblImps[[#This Row],[Real time]],-1,0)+1/24</f>
        <v>46181.874999999891</v>
      </c>
      <c r="CA49" s="294">
        <f ca="1">OFFSET(TblImps[[#This Row],[Servertime]],-1,0)+1/24</f>
        <v>46181.874999999891</v>
      </c>
      <c r="CB49" s="57"/>
      <c r="CC49" s="292"/>
      <c r="CD49" s="292"/>
    </row>
    <row r="50" spans="1:82" x14ac:dyDescent="0.2">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46181.916666666555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Row],[P5]:[FW5]])+OFFSET(TblImps[[#This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57">
        <f ca="1">IF(OFFSET(TblMagic[[#This Row],[Active Alchemists Flame]],-1,0)&gt;0,TblConstr[[#This Row],[Tot Alc]]*alchemist_flame_invest,0)</f>
        <v>0</v>
      </c>
      <c r="BL50" s="142"/>
      <c r="BM5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0" s="142"/>
      <c r="BR5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0" s="142"/>
      <c r="BW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0" s="61">
        <f>TblImps[[#This Row],[Login]]</f>
        <v>0</v>
      </c>
      <c r="BY50" s="137"/>
      <c r="BZ50" s="293">
        <f ca="1">OFFSET(TblImps[[#This Row],[Real time]],-1,0)+1/24</f>
        <v>46181.916666666555</v>
      </c>
      <c r="CA50" s="294">
        <f ca="1">OFFSET(TblImps[[#This Row],[Servertime]],-1,0)+1/24</f>
        <v>46181.916666666555</v>
      </c>
      <c r="CB50" s="57"/>
      <c r="CC50" s="292"/>
      <c r="CD50" s="292"/>
    </row>
    <row r="51" spans="1:82" x14ac:dyDescent="0.2">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46181.958333333219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Row],[P5]:[FW5]])+OFFSET(TblImps[[#This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57">
        <f ca="1">IF(OFFSET(TblMagic[[#This Row],[Active Alchemists Flame]],-1,0)&gt;0,TblConstr[[#This Row],[Tot Alc]]*alchemist_flame_invest,0)</f>
        <v>0</v>
      </c>
      <c r="BL51" s="142"/>
      <c r="BM5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1" s="142"/>
      <c r="BR5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1" s="142"/>
      <c r="BW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1" s="61">
        <f>TblImps[[#This Row],[Login]]</f>
        <v>0</v>
      </c>
      <c r="BY51" s="137"/>
      <c r="BZ51" s="293">
        <f ca="1">OFFSET(TblImps[[#This Row],[Real time]],-1,0)+1/24</f>
        <v>46181.958333333219</v>
      </c>
      <c r="CA51" s="294">
        <f ca="1">OFFSET(TblImps[[#This Row],[Servertime]],-1,0)+1/24</f>
        <v>46181.958333333219</v>
      </c>
      <c r="CB51" s="57"/>
      <c r="CC51" s="292"/>
      <c r="CD51" s="292"/>
    </row>
    <row r="52" spans="1:82" s="5" customFormat="1" x14ac:dyDescent="0.2">
      <c r="A52" s="230">
        <f ca="1">TblConstr[[#This Row],[Land]]</f>
        <v>50</v>
      </c>
      <c r="B52" s="149"/>
      <c r="C52" s="35">
        <f ca="1">TblProd[[#This Row],[Platinum]]</f>
        <v>168547</v>
      </c>
      <c r="D52" s="35">
        <f ca="1">TblProd[[#This Row],[Lumber]]</f>
        <v>47529</v>
      </c>
      <c r="E52" s="35">
        <f ca="1">TblProd[[#This Row],[Ore]]</f>
        <v>0</v>
      </c>
      <c r="F52" s="35">
        <f ca="1">TblProd[[#This Row],[Gems]]</f>
        <v>0</v>
      </c>
      <c r="G52" s="162"/>
      <c r="H52" s="35">
        <f ca="1">TblMili[[#This Row],[Draftees]]</f>
        <v>477</v>
      </c>
      <c r="I52" s="436">
        <f ca="1">TblPop[[#This Row],[Employment]]</f>
        <v>1</v>
      </c>
      <c r="J52" s="436">
        <f ca="1">TblPop[[#This Row],[Total]]/TblPop[[#This Row],[Net max]]</f>
        <v>1</v>
      </c>
      <c r="K52" s="298">
        <f>TblRezone[[#This Row],[Hour]]</f>
        <v>49</v>
      </c>
      <c r="L52" s="299">
        <f ca="1">TblImps[[#This Row],[Real time]]</f>
        <v>46181.999999999884</v>
      </c>
      <c r="M52" s="148">
        <f>IF(ISERROR(TblImps[[#This Row],[algorithm]]),0,TblImps[[#This Row],[algorithm]]*1)</f>
        <v>0</v>
      </c>
      <c r="N52" s="35">
        <f ca="1">TblImps[[#This Row],[Land]]</f>
        <v>50</v>
      </c>
      <c r="O52" s="300" t="s">
        <v>4</v>
      </c>
      <c r="P52" s="301"/>
      <c r="Q52" s="300" t="s">
        <v>210</v>
      </c>
      <c r="R52" s="300" t="s">
        <v>7</v>
      </c>
      <c r="S52" s="301"/>
      <c r="T52" s="300" t="s">
        <v>210</v>
      </c>
      <c r="U52" s="300" t="s">
        <v>3</v>
      </c>
      <c r="V52" s="301"/>
      <c r="W52" s="300" t="s">
        <v>210</v>
      </c>
      <c r="X52" s="149"/>
      <c r="Y52" s="462">
        <f ca="1">science_cap*(1-EXP(-TblImps[[#This Row],[Σ Science]]/(science_param*(OFFSET(TblImps[[#This Row],[Land]],1,0)-OFFSET(TblExplore[[#This Row],[Land Bonus]],1,0)*20)+15000)))*(1+(mason_bonus*TblConstr[[#This Row],[Tot Mas]]/TblConstr[[#This Row],[Land (2)]]))</f>
        <v>0</v>
      </c>
      <c r="Z52" s="462">
        <f ca="1">keep_cap*(1-EXP(-TblImps[[#This Row],[Σ Keep]]/(keep_param*(OFFSET(TblImps[[#This Row],[Land]],1,0)-OFFSET(TblExplore[[#This Row],[Land Bonus]],1,0)*20)+15000)))*(1+(mason_bonus*TblConstr[[#This Row],[Tot Mas]]/TblConstr[[#This Row],[Land (2)]]))</f>
        <v>0</v>
      </c>
      <c r="AA52" s="462">
        <f ca="1">harbor_towers_cap*(1-EXP(-TblImps[[#This Row],[Σ Spires]]/(towers_param*(OFFSET(TblImps[[#This Row],[Land]],1,0)-OFFSET(TblExplore[[#This Row],[Land Bonus]],1,0)*20)+15000)))*(1+(mason_bonus*TblConstr[[#This Row],[Tot Mas]]/TblConstr[[#This Row],[Land (2)]]))</f>
        <v>0</v>
      </c>
      <c r="AB52" s="462">
        <f ca="1">walls_forges_cap*(1-EXP(-TblImps[[#This Row],[Σ Forges]]/(walls_forges_param*(OFFSET(TblImps[[#This Row],[Land]],1,0)-OFFSET(TblExplore[[#This Row],[Land Bonus]],1,0)*20)+15000)))*(1+(mason_bonus*TblConstr[[#This Row],[Tot Mas]]/TblConstr[[#This Row],[Land (2)]]))</f>
        <v>0</v>
      </c>
      <c r="AC52" s="462">
        <f ca="1">walls_forges_cap*(1-EXP(-TblImps[[#This Row],[Σ Walls]]/(walls_forges_param*(OFFSET(TblImps[[#This Row],[Land]],1,0)-OFFSET(TblExplore[[#This Row],[Land Bonus]],1,0)*20)+15000)))*(1+(mason_bonus*TblConstr[[#This Row],[Tot Mas]]/TblConstr[[#This Row],[Land (2)]]))</f>
        <v>0</v>
      </c>
      <c r="AD52" s="462">
        <f ca="1">harbor_towers_cap*(1-EXP(-TblImps[[#This Row],[Σ Harbor]]/(harbor_towers_param*(OFFSET(TblImps[[#This Row],[Land]],1,0)-OFFSET(TblExplore[[#This Row],[Land Bonus]],1,0)*20)+15000)))*(1+(mason_bonus*TblConstr[[#This Row],[Tot Mas]]/TblConstr[[#This Row],[Land (2)]]))</f>
        <v>0</v>
      </c>
      <c r="AE52" s="149"/>
      <c r="AF52" s="148">
        <f ca="1">(1+Overview!$I$29)*SUM(TblImps[[#This Row],[P2]:[G2]])+OFFSET(TblImps[[#This Row],[Σ Science]],-1,0)</f>
        <v>0</v>
      </c>
      <c r="AG52" s="148">
        <f ca="1">(1+Overview!$I$29)*SUM(TblImps[[#This Row],[P3]:[G3]])+OFFSET(TblImps[[#This Row],[Σ Keep]],-1,0)</f>
        <v>0</v>
      </c>
      <c r="AH52" s="148">
        <f ca="1">(1+Overview!$I$29 + tech_7_1*TblTech[[#This Row],[7-1]])*SUM(TblImps[[#This Row],[P4]:[G4]])+OFFSET(TblImps[[#This Row],[Σ Spires]],-1,0)</f>
        <v>0</v>
      </c>
      <c r="AI52" s="148">
        <f ca="1">(1+Overview!$I$29)*SUM(TblImps[[#This Row],[P5]:[FW5]])+OFFSET(TblImps[[#This Row],[Σ Forges]],-1,0)</f>
        <v>0</v>
      </c>
      <c r="AJ52" s="148">
        <f ca="1">(1+Overview!$I$29)*SUM(TblImps[[#This Row],[P6]:[G6]])+OFFSET(TblImps[[#This Row],[Σ Walls]],-1,0)</f>
        <v>0</v>
      </c>
      <c r="AK52" s="148">
        <f ca="1">(1+Overview!$I$29 + tech_7_1*TblTech[[#This Row],[7-1]])*SUM(TblImps[[#This Row],[P7]:[G7]])+OFFSET(TblImps[[#This Row],[Σ Harbor]],-1,0)</f>
        <v>0</v>
      </c>
      <c r="AL52" s="149"/>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49"/>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9"/>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9"/>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9"/>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28">
        <f ca="1">IF(OFFSET(TblMagic[[#This Row],[Active Alchemists Flame]],-1,0)&gt;0,TblConstr[[#This Row],[Tot Alc]]*alchemist_flame_invest,0)</f>
        <v>0</v>
      </c>
      <c r="BL52" s="149"/>
      <c r="BM52" s="28">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2" s="28">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2" s="28">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2" s="28">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2" s="149"/>
      <c r="BR52" s="28">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2" s="28">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2" s="28">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2" s="28">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2" s="149"/>
      <c r="BW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2" s="148">
        <f>TblImps[[#This Row],[Login]]</f>
        <v>0</v>
      </c>
      <c r="BY52" s="144"/>
      <c r="BZ52" s="463">
        <f ca="1">OFFSET(TblImps[[#This Row],[Real time]],-1,0)+1/24</f>
        <v>46181.999999999884</v>
      </c>
      <c r="CA52" s="464">
        <f ca="1">OFFSET(TblImps[[#This Row],[Servertime]],-1,0)+1/24</f>
        <v>46181.999999999884</v>
      </c>
      <c r="CB52" s="28"/>
      <c r="CC52" s="465"/>
      <c r="CD52" s="465"/>
    </row>
    <row r="53" spans="1:82" x14ac:dyDescent="0.2">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46182.041666666548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Row],[P5]:[FW5]])+OFFSET(TblImps[[#This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57">
        <f ca="1">IF(OFFSET(TblMagic[[#This Row],[Active Alchemists Flame]],-1,0)&gt;0,TblConstr[[#This Row],[Tot Alc]]*alchemist_flame_invest,0)</f>
        <v>0</v>
      </c>
      <c r="BL53" s="142"/>
      <c r="BM5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3" s="142"/>
      <c r="BR5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3" s="142"/>
      <c r="BW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3" s="61">
        <f>TblImps[[#This Row],[Login]]</f>
        <v>0</v>
      </c>
      <c r="BY53" s="137"/>
      <c r="BZ53" s="293">
        <f ca="1">OFFSET(TblImps[[#This Row],[Real time]],-1,0)+1/24</f>
        <v>46182.041666666548</v>
      </c>
      <c r="CA53" s="294">
        <f ca="1">OFFSET(TblImps[[#This Row],[Servertime]],-1,0)+1/24</f>
        <v>46182.041666666548</v>
      </c>
      <c r="CB53" s="57"/>
      <c r="CC53" s="292"/>
      <c r="CD53" s="292"/>
    </row>
    <row r="54" spans="1:82" x14ac:dyDescent="0.2">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46182.083333333212</v>
      </c>
      <c r="M54" s="61">
        <f>IF(ISERROR(TblImps[[#This Row],[algorithm]]),0,TblImps[[#This Row],[algorithm]]*1)</f>
        <v>0</v>
      </c>
      <c r="N54" s="94">
        <f ca="1">TblImps[[#This Row],[Land]]</f>
        <v>50</v>
      </c>
      <c r="O54" s="285" t="s">
        <v>2</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Row],[P5]:[FW5]])+OFFSET(TblImps[[#This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57">
        <f ca="1">IF(OFFSET(TblMagic[[#This Row],[Active Alchemists Flame]],-1,0)&gt;0,TblConstr[[#This Row],[Tot Alc]]*alchemist_flame_invest,0)</f>
        <v>0</v>
      </c>
      <c r="BL54" s="142"/>
      <c r="BM5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4" s="142"/>
      <c r="BR5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4" s="142"/>
      <c r="BW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4" s="61">
        <f>TblImps[[#This Row],[Login]]</f>
        <v>0</v>
      </c>
      <c r="BY54" s="137"/>
      <c r="BZ54" s="293">
        <f ca="1">OFFSET(TblImps[[#This Row],[Real time]],-1,0)+1/24</f>
        <v>46182.083333333212</v>
      </c>
      <c r="CA54" s="294">
        <f ca="1">OFFSET(TblImps[[#This Row],[Servertime]],-1,0)+1/24</f>
        <v>46182.083333333212</v>
      </c>
      <c r="CB54" s="57"/>
      <c r="CC54" s="292"/>
      <c r="CD54" s="292"/>
    </row>
    <row r="55" spans="1:82" x14ac:dyDescent="0.2">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46182.124999999876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Row],[P5]:[FW5]])+OFFSET(TblImps[[#This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57">
        <f ca="1">IF(OFFSET(TblMagic[[#This Row],[Active Alchemists Flame]],-1,0)&gt;0,TblConstr[[#This Row],[Tot Alc]]*alchemist_flame_invest,0)</f>
        <v>0</v>
      </c>
      <c r="BL55" s="142"/>
      <c r="BM5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5" s="142"/>
      <c r="BR5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5" s="142"/>
      <c r="BW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5" s="61">
        <f>TblImps[[#This Row],[Login]]</f>
        <v>0</v>
      </c>
      <c r="BY55" s="137"/>
      <c r="BZ55" s="293">
        <f ca="1">OFFSET(TblImps[[#This Row],[Real time]],-1,0)+1/24</f>
        <v>46182.124999999876</v>
      </c>
      <c r="CA55" s="294">
        <f ca="1">OFFSET(TblImps[[#This Row],[Servertime]],-1,0)+1/24</f>
        <v>46182.124999999876</v>
      </c>
      <c r="CB55" s="57"/>
      <c r="CC55" s="292"/>
      <c r="CD55" s="292"/>
    </row>
    <row r="56" spans="1:82" x14ac:dyDescent="0.2">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46182.166666666541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Row],[P5]:[FW5]])+OFFSET(TblImps[[#This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57">
        <f ca="1">IF(OFFSET(TblMagic[[#This Row],[Active Alchemists Flame]],-1,0)&gt;0,TblConstr[[#This Row],[Tot Alc]]*alchemist_flame_invest,0)</f>
        <v>0</v>
      </c>
      <c r="BL56" s="142"/>
      <c r="BM5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6" s="142"/>
      <c r="BR5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6" s="142"/>
      <c r="BW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6" s="61">
        <f>TblImps[[#This Row],[Login]]</f>
        <v>0</v>
      </c>
      <c r="BY56" s="137"/>
      <c r="BZ56" s="293">
        <f ca="1">OFFSET(TblImps[[#This Row],[Real time]],-1,0)+1/24</f>
        <v>46182.166666666541</v>
      </c>
      <c r="CA56" s="294">
        <f ca="1">OFFSET(TblImps[[#This Row],[Servertime]],-1,0)+1/24</f>
        <v>46182.166666666541</v>
      </c>
      <c r="CB56" s="57"/>
      <c r="CC56" s="292"/>
      <c r="CD56" s="292"/>
    </row>
    <row r="57" spans="1:82" x14ac:dyDescent="0.2">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46182.208333333205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Row],[P5]:[FW5]])+OFFSET(TblImps[[#This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57">
        <f ca="1">IF(OFFSET(TblMagic[[#This Row],[Active Alchemists Flame]],-1,0)&gt;0,TblConstr[[#This Row],[Tot Alc]]*alchemist_flame_invest,0)</f>
        <v>0</v>
      </c>
      <c r="BL57" s="142"/>
      <c r="BM5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7" s="142"/>
      <c r="BR5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7" s="142"/>
      <c r="BW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7" s="61">
        <f>TblImps[[#This Row],[Login]]</f>
        <v>0</v>
      </c>
      <c r="BY57" s="137"/>
      <c r="BZ57" s="293">
        <f ca="1">OFFSET(TblImps[[#This Row],[Real time]],-1,0)+1/24</f>
        <v>46182.208333333205</v>
      </c>
      <c r="CA57" s="294">
        <f ca="1">OFFSET(TblImps[[#This Row],[Servertime]],-1,0)+1/24</f>
        <v>46182.208333333205</v>
      </c>
      <c r="CB57" s="57"/>
      <c r="CC57" s="292"/>
      <c r="CD57" s="292"/>
    </row>
    <row r="58" spans="1:82" x14ac:dyDescent="0.2">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46182.249999999869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Row],[P5]:[FW5]])+OFFSET(TblImps[[#This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57">
        <f ca="1">IF(OFFSET(TblMagic[[#This Row],[Active Alchemists Flame]],-1,0)&gt;0,TblConstr[[#This Row],[Tot Alc]]*alchemist_flame_invest,0)</f>
        <v>0</v>
      </c>
      <c r="BL58" s="142"/>
      <c r="BM5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8" s="142"/>
      <c r="BR5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8" s="142"/>
      <c r="BW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8" s="61">
        <f>TblImps[[#This Row],[Login]]</f>
        <v>0</v>
      </c>
      <c r="BY58" s="137"/>
      <c r="BZ58" s="293">
        <f ca="1">OFFSET(TblImps[[#This Row],[Real time]],-1,0)+1/24</f>
        <v>46182.249999999869</v>
      </c>
      <c r="CA58" s="294">
        <f ca="1">OFFSET(TblImps[[#This Row],[Servertime]],-1,0)+1/24</f>
        <v>46182.249999999869</v>
      </c>
      <c r="CB58" s="57"/>
      <c r="CC58" s="292"/>
      <c r="CD58" s="292"/>
    </row>
    <row r="59" spans="1:82" x14ac:dyDescent="0.2">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46182.291666666533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Row],[P5]:[FW5]])+OFFSET(TblImps[[#This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57">
        <f ca="1">IF(OFFSET(TblMagic[[#This Row],[Active Alchemists Flame]],-1,0)&gt;0,TblConstr[[#This Row],[Tot Alc]]*alchemist_flame_invest,0)</f>
        <v>0</v>
      </c>
      <c r="BL59" s="142"/>
      <c r="BM5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9" s="142"/>
      <c r="BR5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9" s="142"/>
      <c r="BW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9" s="61">
        <f>TblImps[[#This Row],[Login]]</f>
        <v>0</v>
      </c>
      <c r="BY59" s="137"/>
      <c r="BZ59" s="293">
        <f ca="1">OFFSET(TblImps[[#This Row],[Real time]],-1,0)+1/24</f>
        <v>46182.291666666533</v>
      </c>
      <c r="CA59" s="294">
        <f ca="1">OFFSET(TblImps[[#This Row],[Servertime]],-1,0)+1/24</f>
        <v>46182.291666666533</v>
      </c>
      <c r="CB59" s="57"/>
      <c r="CC59" s="292"/>
      <c r="CD59" s="292"/>
    </row>
    <row r="60" spans="1:82" x14ac:dyDescent="0.2">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46182.333333333198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Row],[P5]:[FW5]])+OFFSET(TblImps[[#This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57">
        <f ca="1">IF(OFFSET(TblMagic[[#This Row],[Active Alchemists Flame]],-1,0)&gt;0,TblConstr[[#This Row],[Tot Alc]]*alchemist_flame_invest,0)</f>
        <v>0</v>
      </c>
      <c r="BL60" s="142"/>
      <c r="BM6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0" s="142"/>
      <c r="BR6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0" s="142"/>
      <c r="BW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0" s="61">
        <f>TblImps[[#This Row],[Login]]</f>
        <v>0</v>
      </c>
      <c r="BY60" s="137"/>
      <c r="BZ60" s="293">
        <f ca="1">OFFSET(TblImps[[#This Row],[Real time]],-1,0)+1/24</f>
        <v>46182.333333333198</v>
      </c>
      <c r="CA60" s="294">
        <f ca="1">OFFSET(TblImps[[#This Row],[Servertime]],-1,0)+1/24</f>
        <v>46182.333333333198</v>
      </c>
      <c r="CB60" s="57"/>
      <c r="CC60" s="292"/>
      <c r="CD60" s="292"/>
    </row>
    <row r="61" spans="1:82" x14ac:dyDescent="0.2">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46182.374999999862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Row],[P5]:[FW5]])+OFFSET(TblImps[[#This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57">
        <f ca="1">IF(OFFSET(TblMagic[[#This Row],[Active Alchemists Flame]],-1,0)&gt;0,TblConstr[[#This Row],[Tot Alc]]*alchemist_flame_invest,0)</f>
        <v>0</v>
      </c>
      <c r="BL61" s="142"/>
      <c r="BM6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1" s="142"/>
      <c r="BR6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1" s="142"/>
      <c r="BW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1" s="61">
        <f>TblImps[[#This Row],[Login]]</f>
        <v>0</v>
      </c>
      <c r="BY61" s="137"/>
      <c r="BZ61" s="293">
        <f ca="1">OFFSET(TblImps[[#This Row],[Real time]],-1,0)+1/24</f>
        <v>46182.374999999862</v>
      </c>
      <c r="CA61" s="294">
        <f ca="1">OFFSET(TblImps[[#This Row],[Servertime]],-1,0)+1/24</f>
        <v>46182.374999999862</v>
      </c>
      <c r="CB61" s="57"/>
      <c r="CC61" s="292"/>
      <c r="CD61" s="292"/>
    </row>
    <row r="62" spans="1:82" x14ac:dyDescent="0.2">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46182.416666666526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Row],[P5]:[FW5]])+OFFSET(TblImps[[#This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57">
        <f ca="1">IF(OFFSET(TblMagic[[#This Row],[Active Alchemists Flame]],-1,0)&gt;0,TblConstr[[#This Row],[Tot Alc]]*alchemist_flame_invest,0)</f>
        <v>0</v>
      </c>
      <c r="BL62" s="142"/>
      <c r="BM6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2" s="142"/>
      <c r="BR6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2" s="142"/>
      <c r="BW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2" s="61">
        <f>TblImps[[#This Row],[Login]]</f>
        <v>0</v>
      </c>
      <c r="BY62" s="137"/>
      <c r="BZ62" s="293">
        <f ca="1">OFFSET(TblImps[[#This Row],[Real time]],-1,0)+1/24</f>
        <v>46182.416666666526</v>
      </c>
      <c r="CA62" s="294">
        <f ca="1">OFFSET(TblImps[[#This Row],[Servertime]],-1,0)+1/24</f>
        <v>46182.416666666526</v>
      </c>
      <c r="CB62" s="57"/>
      <c r="CC62" s="292"/>
      <c r="CD62" s="292"/>
    </row>
    <row r="63" spans="1:82" x14ac:dyDescent="0.2">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46182.45833333319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Row],[P5]:[FW5]])+OFFSET(TblImps[[#This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57">
        <f ca="1">IF(OFFSET(TblMagic[[#This Row],[Active Alchemists Flame]],-1,0)&gt;0,TblConstr[[#This Row],[Tot Alc]]*alchemist_flame_invest,0)</f>
        <v>0</v>
      </c>
      <c r="BL63" s="142"/>
      <c r="BM6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3" s="142"/>
      <c r="BR6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3" s="142"/>
      <c r="BW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3" s="61">
        <f>TblImps[[#This Row],[Login]]</f>
        <v>0</v>
      </c>
      <c r="BY63" s="137"/>
      <c r="BZ63" s="293">
        <f ca="1">OFFSET(TblImps[[#This Row],[Real time]],-1,0)+1/24</f>
        <v>46182.45833333319</v>
      </c>
      <c r="CA63" s="294">
        <f ca="1">OFFSET(TblImps[[#This Row],[Servertime]],-1,0)+1/24</f>
        <v>46182.45833333319</v>
      </c>
      <c r="CB63" s="57"/>
      <c r="CC63" s="292"/>
      <c r="CD63" s="292"/>
    </row>
    <row r="64" spans="1:82" x14ac:dyDescent="0.2">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46182.499999999854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Row],[P5]:[FW5]])+OFFSET(TblImps[[#This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57">
        <f ca="1">IF(OFFSET(TblMagic[[#This Row],[Active Alchemists Flame]],-1,0)&gt;0,TblConstr[[#This Row],[Tot Alc]]*alchemist_flame_invest,0)</f>
        <v>0</v>
      </c>
      <c r="BL64" s="142"/>
      <c r="BM6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4" s="142"/>
      <c r="BR6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4" s="142"/>
      <c r="BW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4" s="61">
        <f>TblImps[[#This Row],[Login]]</f>
        <v>0</v>
      </c>
      <c r="BY64" s="137"/>
      <c r="BZ64" s="293">
        <f ca="1">OFFSET(TblImps[[#This Row],[Real time]],-1,0)+1/24</f>
        <v>46182.499999999854</v>
      </c>
      <c r="CA64" s="294">
        <f ca="1">OFFSET(TblImps[[#This Row],[Servertime]],-1,0)+1/24</f>
        <v>46182.499999999854</v>
      </c>
      <c r="CB64" s="57"/>
      <c r="CC64" s="292"/>
      <c r="CD64" s="292"/>
    </row>
    <row r="65" spans="1:85" x14ac:dyDescent="0.2">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46182.541666666519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Row],[P5]:[FW5]])+OFFSET(TblImps[[#This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57">
        <f ca="1">IF(OFFSET(TblMagic[[#This Row],[Active Alchemists Flame]],-1,0)&gt;0,TblConstr[[#This Row],[Tot Alc]]*alchemist_flame_invest,0)</f>
        <v>0</v>
      </c>
      <c r="BL65" s="142"/>
      <c r="BM6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5" s="142"/>
      <c r="BR6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5" s="142"/>
      <c r="BW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5" s="61">
        <f>TblImps[[#This Row],[Login]]</f>
        <v>0</v>
      </c>
      <c r="BY65" s="137"/>
      <c r="BZ65" s="293">
        <f ca="1">OFFSET(TblImps[[#This Row],[Real time]],-1,0)+1/24</f>
        <v>46182.541666666519</v>
      </c>
      <c r="CA65" s="294">
        <f ca="1">OFFSET(TblImps[[#This Row],[Servertime]],-1,0)+1/24</f>
        <v>46182.541666666519</v>
      </c>
      <c r="CB65" s="57"/>
      <c r="CC65" s="292"/>
      <c r="CD65" s="292"/>
    </row>
    <row r="66" spans="1:85" x14ac:dyDescent="0.2">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46182.583333333183</v>
      </c>
      <c r="M66" s="61">
        <f>IF(ISERROR(TblImps[[#This Row],[algorithm]]),0,TblImps[[#This Row],[algorithm]]*1)</f>
        <v>0</v>
      </c>
      <c r="N66" s="94">
        <f ca="1">TblImps[[#This Row],[Land]]</f>
        <v>50</v>
      </c>
      <c r="O66" s="285" t="s">
        <v>2</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Row],[P5]:[FW5]])+OFFSET(TblImps[[#This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57">
        <f ca="1">IF(OFFSET(TblMagic[[#This Row],[Active Alchemists Flame]],-1,0)&gt;0,TblConstr[[#This Row],[Tot Alc]]*alchemist_flame_invest,0)</f>
        <v>0</v>
      </c>
      <c r="BL66" s="142"/>
      <c r="BM6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6" s="142"/>
      <c r="BR6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6" s="142"/>
      <c r="BW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6" s="61">
        <f>TblImps[[#This Row],[Login]]</f>
        <v>0</v>
      </c>
      <c r="BY66" s="137"/>
      <c r="BZ66" s="293">
        <f ca="1">OFFSET(TblImps[[#This Row],[Real time]],-1,0)+1/24</f>
        <v>46182.583333333183</v>
      </c>
      <c r="CA66" s="294">
        <f ca="1">OFFSET(TblImps[[#This Row],[Servertime]],-1,0)+1/24</f>
        <v>46182.583333333183</v>
      </c>
      <c r="CB66" s="297"/>
      <c r="CC66" s="292"/>
      <c r="CD66" s="292"/>
    </row>
    <row r="67" spans="1:85" x14ac:dyDescent="0.2">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46182.624999999847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Row],[P5]:[FW5]])+OFFSET(TblImps[[#This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57">
        <f ca="1">IF(OFFSET(TblMagic[[#This Row],[Active Alchemists Flame]],-1,0)&gt;0,TblConstr[[#This Row],[Tot Alc]]*alchemist_flame_invest,0)</f>
        <v>0</v>
      </c>
      <c r="BL67" s="142"/>
      <c r="BM6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7" s="142"/>
      <c r="BR6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7" s="142"/>
      <c r="BW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7" s="61">
        <f>TblImps[[#This Row],[Login]]</f>
        <v>0</v>
      </c>
      <c r="BY67" s="137"/>
      <c r="BZ67" s="293">
        <f ca="1">OFFSET(TblImps[[#This Row],[Real time]],-1,0)+1/24</f>
        <v>46182.624999999847</v>
      </c>
      <c r="CA67" s="294">
        <f ca="1">OFFSET(TblImps[[#This Row],[Servertime]],-1,0)+1/24</f>
        <v>46182.624999999847</v>
      </c>
      <c r="CB67" s="57"/>
      <c r="CC67" s="292"/>
      <c r="CD67" s="292"/>
    </row>
    <row r="68" spans="1:85" x14ac:dyDescent="0.2">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46182.666666666511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Row],[P5]:[FW5]])+OFFSET(TblImps[[#This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57">
        <f ca="1">IF(OFFSET(TblMagic[[#This Row],[Active Alchemists Flame]],-1,0)&gt;0,TblConstr[[#This Row],[Tot Alc]]*alchemist_flame_invest,0)</f>
        <v>0</v>
      </c>
      <c r="BL68" s="142"/>
      <c r="BM6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8" s="142"/>
      <c r="BR6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8" s="142"/>
      <c r="BW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8" s="61">
        <f>TblImps[[#This Row],[Login]]</f>
        <v>0</v>
      </c>
      <c r="BY68" s="137"/>
      <c r="BZ68" s="293">
        <f ca="1">OFFSET(TblImps[[#This Row],[Real time]],-1,0)+1/24</f>
        <v>46182.666666666511</v>
      </c>
      <c r="CA68" s="294">
        <f ca="1">OFFSET(TblImps[[#This Row],[Servertime]],-1,0)+1/24</f>
        <v>46182.666666666511</v>
      </c>
      <c r="CB68" s="57"/>
      <c r="CC68" s="292"/>
      <c r="CD68" s="292"/>
    </row>
    <row r="69" spans="1:85" x14ac:dyDescent="0.2">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46182.708333333176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Row],[P5]:[FW5]])+OFFSET(TblImps[[#This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57">
        <f ca="1">IF(OFFSET(TblMagic[[#This Row],[Active Alchemists Flame]],-1,0)&gt;0,TblConstr[[#This Row],[Tot Alc]]*alchemist_flame_invest,0)</f>
        <v>0</v>
      </c>
      <c r="BL69" s="142"/>
      <c r="BM6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9" s="142"/>
      <c r="BR6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9" s="142"/>
      <c r="BW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9" s="61">
        <f>TblImps[[#This Row],[Login]]</f>
        <v>0</v>
      </c>
      <c r="BY69" s="137"/>
      <c r="BZ69" s="293">
        <f ca="1">OFFSET(TblImps[[#This Row],[Real time]],-1,0)+1/24</f>
        <v>46182.708333333176</v>
      </c>
      <c r="CA69" s="294">
        <f ca="1">OFFSET(TblImps[[#This Row],[Servertime]],-1,0)+1/24</f>
        <v>46182.708333333176</v>
      </c>
      <c r="CB69" s="57"/>
      <c r="CC69" s="292"/>
      <c r="CD69" s="292"/>
    </row>
    <row r="70" spans="1:85" x14ac:dyDescent="0.2">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46182.74999999984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Row],[P5]:[FW5]])+OFFSET(TblImps[[#This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57">
        <f ca="1">IF(OFFSET(TblMagic[[#This Row],[Active Alchemists Flame]],-1,0)&gt;0,TblConstr[[#This Row],[Tot Alc]]*alchemist_flame_invest,0)</f>
        <v>0</v>
      </c>
      <c r="BL70" s="142"/>
      <c r="BM7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0" s="142"/>
      <c r="BR7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0" s="142"/>
      <c r="BW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0" s="61">
        <f>TblImps[[#This Row],[Login]]</f>
        <v>0</v>
      </c>
      <c r="BY70" s="137"/>
      <c r="BZ70" s="293">
        <f ca="1">OFFSET(TblImps[[#This Row],[Real time]],-1,0)+1/24</f>
        <v>46182.74999999984</v>
      </c>
      <c r="CA70" s="294">
        <f ca="1">OFFSET(TblImps[[#This Row],[Servertime]],-1,0)+1/24</f>
        <v>46182.74999999984</v>
      </c>
      <c r="CB70" s="57"/>
      <c r="CC70" s="292"/>
      <c r="CD70" s="292"/>
    </row>
    <row r="71" spans="1:85" x14ac:dyDescent="0.2">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46182.791666666504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Row],[P5]:[FW5]])+OFFSET(TblImps[[#This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57">
        <f ca="1">IF(OFFSET(TblMagic[[#This Row],[Active Alchemists Flame]],-1,0)&gt;0,TblConstr[[#This Row],[Tot Alc]]*alchemist_flame_invest,0)</f>
        <v>0</v>
      </c>
      <c r="BL71" s="142"/>
      <c r="BM7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1" s="142"/>
      <c r="BR7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1" s="142"/>
      <c r="BW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1" s="61">
        <f>TblImps[[#This Row],[Login]]</f>
        <v>0</v>
      </c>
      <c r="BY71" s="137"/>
      <c r="BZ71" s="293">
        <f ca="1">OFFSET(TblImps[[#This Row],[Real time]],-1,0)+1/24</f>
        <v>46182.791666666504</v>
      </c>
      <c r="CA71" s="294">
        <f ca="1">OFFSET(TblImps[[#This Row],[Servertime]],-1,0)+1/24</f>
        <v>46182.791666666504</v>
      </c>
      <c r="CB71" s="57"/>
      <c r="CC71" s="292"/>
      <c r="CD71" s="292"/>
    </row>
    <row r="72" spans="1:85" x14ac:dyDescent="0.2">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46182.833333333168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Row],[P5]:[FW5]])+OFFSET(TblImps[[#This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57">
        <f ca="1">IF(OFFSET(TblMagic[[#This Row],[Active Alchemists Flame]],-1,0)&gt;0,TblConstr[[#This Row],[Tot Alc]]*alchemist_flame_invest,0)</f>
        <v>0</v>
      </c>
      <c r="BL72" s="142"/>
      <c r="BM7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2" s="142"/>
      <c r="BR7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2" s="142"/>
      <c r="BW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2" s="61">
        <f>TblImps[[#This Row],[Login]]</f>
        <v>0</v>
      </c>
      <c r="BY72" s="137"/>
      <c r="BZ72" s="293">
        <f ca="1">OFFSET(TblImps[[#This Row],[Real time]],-1,0)+1/24</f>
        <v>46182.833333333168</v>
      </c>
      <c r="CA72" s="294">
        <f ca="1">OFFSET(TblImps[[#This Row],[Servertime]],-1,0)+1/24</f>
        <v>46182.833333333168</v>
      </c>
      <c r="CB72" s="57"/>
      <c r="CC72" s="292"/>
      <c r="CD72" s="292"/>
    </row>
    <row r="73" spans="1:85" x14ac:dyDescent="0.2">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46182.874999999833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Row],[P5]:[FW5]])+OFFSET(TblImps[[#This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57">
        <f ca="1">IF(OFFSET(TblMagic[[#This Row],[Active Alchemists Flame]],-1,0)&gt;0,TblConstr[[#This Row],[Tot Alc]]*alchemist_flame_invest,0)</f>
        <v>0</v>
      </c>
      <c r="BL73" s="142"/>
      <c r="BM7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3" s="142"/>
      <c r="BR7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3" s="142"/>
      <c r="BW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3" s="61">
        <f>TblImps[[#This Row],[Login]]</f>
        <v>0</v>
      </c>
      <c r="BY73" s="137"/>
      <c r="BZ73" s="293">
        <f ca="1">OFFSET(TblImps[[#This Row],[Real time]],-1,0)+1/24</f>
        <v>46182.874999999833</v>
      </c>
      <c r="CA73" s="294">
        <f ca="1">OFFSET(TblImps[[#This Row],[Servertime]],-1,0)+1/24</f>
        <v>46182.874999999833</v>
      </c>
      <c r="CB73" s="57"/>
      <c r="CC73" s="292"/>
      <c r="CD73" s="292"/>
    </row>
    <row r="74" spans="1:85" x14ac:dyDescent="0.2">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46182.916666666497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Row],[P5]:[FW5]])+OFFSET(TblImps[[#This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57">
        <f ca="1">IF(OFFSET(TblMagic[[#This Row],[Active Alchemists Flame]],-1,0)&gt;0,TblConstr[[#This Row],[Tot Alc]]*alchemist_flame_invest,0)</f>
        <v>0</v>
      </c>
      <c r="BL74" s="142"/>
      <c r="BM7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4" s="142"/>
      <c r="BR7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4" s="142"/>
      <c r="BW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4" s="61">
        <f>TblImps[[#This Row],[Login]]</f>
        <v>0</v>
      </c>
      <c r="BY74" s="137"/>
      <c r="BZ74" s="293">
        <f ca="1">OFFSET(TblImps[[#This Row],[Real time]],-1,0)+1/24</f>
        <v>46182.916666666497</v>
      </c>
      <c r="CA74" s="294">
        <f ca="1">OFFSET(TblImps[[#This Row],[Servertime]],-1,0)+1/24</f>
        <v>46182.916666666497</v>
      </c>
      <c r="CB74" s="57"/>
      <c r="CC74" s="292"/>
      <c r="CD74" s="292"/>
    </row>
    <row r="75" spans="1:85" x14ac:dyDescent="0.2">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46182.958333333161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Row],[P5]:[FW5]])+OFFSET(TblImps[[#This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57">
        <f ca="1">IF(OFFSET(TblMagic[[#This Row],[Active Alchemists Flame]],-1,0)&gt;0,TblConstr[[#This Row],[Tot Alc]]*alchemist_flame_invest,0)</f>
        <v>0</v>
      </c>
      <c r="BL75" s="142"/>
      <c r="BM7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5" s="142"/>
      <c r="BR7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5" s="142"/>
      <c r="BW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5" s="61">
        <f>TblImps[[#This Row],[Login]]</f>
        <v>0</v>
      </c>
      <c r="BY75" s="137"/>
      <c r="BZ75" s="293">
        <f ca="1">OFFSET(TblImps[[#This Row],[Real time]],-1,0)+1/24</f>
        <v>46182.958333333161</v>
      </c>
      <c r="CA75" s="294">
        <f ca="1">OFFSET(TblImps[[#This Row],[Servertime]],-1,0)+1/24</f>
        <v>46182.958333333161</v>
      </c>
      <c r="CB75" s="57"/>
      <c r="CC75" s="292"/>
      <c r="CD75" s="292"/>
    </row>
    <row r="76" spans="1:85" x14ac:dyDescent="0.2">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46182.999999999825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9">
        <f ca="1">science_cap*(1-EXP(-TblImps[[#This Row],[Σ Science]]/(science_param*(OFFSET(TblImps[[#This Row],[Land]],1,0)-OFFSET(TblExplore[[#This Row],[Land Bonus]],1,0)*20)+15000)))*(1+(mason_bonus*TblConstr[[#This Row],[Tot Mas]]/TblConstr[[#This Row],[Land (2)]]))</f>
        <v>0</v>
      </c>
      <c r="Z76" s="459">
        <f ca="1">keep_cap*(1-EXP(-TblImps[[#This Row],[Σ Keep]]/(keep_param*(OFFSET(TblImps[[#This Row],[Land]],1,0)-OFFSET(TblExplore[[#This Row],[Land Bonus]],1,0)*20)+15000)))*(1+(mason_bonus*TblConstr[[#This Row],[Tot Mas]]/TblConstr[[#This Row],[Land (2)]]))</f>
        <v>0</v>
      </c>
      <c r="AA76" s="459">
        <f ca="1">harbor_towers_cap*(1-EXP(-TblImps[[#This Row],[Σ Spires]]/(towers_param*(OFFSET(TblImps[[#This Row],[Land]],1,0)-OFFSET(TblExplore[[#This Row],[Land Bonus]],1,0)*20)+15000)))*(1+(mason_bonus*TblConstr[[#This Row],[Tot Mas]]/TblConstr[[#This Row],[Land (2)]]))</f>
        <v>0</v>
      </c>
      <c r="AB76" s="459">
        <f ca="1">walls_forges_cap*(1-EXP(-TblImps[[#This Row],[Σ Forges]]/(walls_forges_param*(OFFSET(TblImps[[#This Row],[Land]],1,0)-OFFSET(TblExplore[[#This Row],[Land Bonus]],1,0)*20)+15000)))*(1+(mason_bonus*TblConstr[[#This Row],[Tot Mas]]/TblConstr[[#This Row],[Land (2)]]))</f>
        <v>0</v>
      </c>
      <c r="AC76" s="459">
        <f ca="1">walls_forges_cap*(1-EXP(-TblImps[[#This Row],[Σ Walls]]/(walls_forges_param*(OFFSET(TblImps[[#This Row],[Land]],1,0)-OFFSET(TblExplore[[#This Row],[Land Bonus]],1,0)*20)+15000)))*(1+(mason_bonus*TblConstr[[#This Row],[Tot Mas]]/TblConstr[[#This Row],[Land (2)]]))</f>
        <v>0</v>
      </c>
      <c r="AD76" s="459">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Row],[P5]:[FW5]])+OFFSET(TblImps[[#This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431">
        <f ca="1">IF(OFFSET(TblMagic[[#This Row],[Active Alchemists Flame]],-1,0)&gt;0,TblConstr[[#This Row],[Tot Alc]]*alchemist_flame_invest,0)</f>
        <v>0</v>
      </c>
      <c r="BL76" s="142"/>
      <c r="BM76" s="431">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6" s="431">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6" s="431">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6" s="431">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6" s="142"/>
      <c r="BR76" s="431">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6" s="431">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6" s="431">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6" s="431">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6" s="142"/>
      <c r="BW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6" s="428">
        <f>TblImps[[#This Row],[Login]]</f>
        <v>0</v>
      </c>
      <c r="BY76" s="137"/>
      <c r="BZ76" s="460">
        <f ca="1">OFFSET(TblImps[[#This Row],[Real time]],-1,0)+1/24</f>
        <v>46182.999999999825</v>
      </c>
      <c r="CA76" s="461">
        <f ca="1">OFFSET(TblImps[[#This Row],[Servertime]],-1,0)+1/24</f>
        <v>46182.999999999825</v>
      </c>
    </row>
    <row r="77" spans="1:85" x14ac:dyDescent="0.2">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46183.04166666649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Row],[P5]:[FW5]])+OFFSET(TblImps[[#This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57">
        <f ca="1">IF(OFFSET(TblMagic[[#This Row],[Active Alchemists Flame]],-1,0)&gt;0,TblConstr[[#This Row],[Tot Alc]]*alchemist_flame_invest,0)</f>
        <v>0</v>
      </c>
      <c r="BL77" s="142"/>
      <c r="BM7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7" s="142"/>
      <c r="BR7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7" s="142"/>
      <c r="BW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7" s="61">
        <f>TblImps[[#This Row],[Login]]</f>
        <v>0</v>
      </c>
      <c r="BY77" s="137"/>
      <c r="BZ77" s="293">
        <f ca="1">OFFSET(TblImps[[#This Row],[Real time]],-1,0)+1/24</f>
        <v>46183.04166666649</v>
      </c>
      <c r="CA77" s="294">
        <f ca="1">OFFSET(TblImps[[#This Row],[Servertime]],-1,0)+1/24</f>
        <v>46183.04166666649</v>
      </c>
      <c r="CB77" s="57"/>
      <c r="CC77" s="292"/>
      <c r="CD77" s="292"/>
    </row>
    <row r="78" spans="1:85" x14ac:dyDescent="0.2">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46183.083333333154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Row],[P5]:[FW5]])+OFFSET(TblImps[[#This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57">
        <f ca="1">IF(OFFSET(TblMagic[[#This Row],[Active Alchemists Flame]],-1,0)&gt;0,TblConstr[[#This Row],[Tot Alc]]*alchemist_flame_invest,0)</f>
        <v>0</v>
      </c>
      <c r="BL78" s="142"/>
      <c r="BM7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8" s="142"/>
      <c r="BR7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8" s="142"/>
      <c r="BW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8" s="61">
        <f>TblImps[[#This Row],[Login]]</f>
        <v>0</v>
      </c>
      <c r="BY78" s="137"/>
      <c r="BZ78" s="293">
        <f ca="1">OFFSET(TblImps[[#This Row],[Real time]],-1,0)+1/24</f>
        <v>46183.083333333154</v>
      </c>
      <c r="CA78" s="294">
        <f ca="1">OFFSET(TblImps[[#This Row],[Servertime]],-1,0)+1/24</f>
        <v>46183.083333333154</v>
      </c>
      <c r="CB78" s="57"/>
      <c r="CC78" s="292"/>
      <c r="CD78" s="292"/>
      <c r="CG78" s="295"/>
    </row>
    <row r="79" spans="1:85" x14ac:dyDescent="0.2">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46183.124999999818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Row],[P5]:[FW5]])+OFFSET(TblImps[[#This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57">
        <f ca="1">IF(OFFSET(TblMagic[[#This Row],[Active Alchemists Flame]],-1,0)&gt;0,TblConstr[[#This Row],[Tot Alc]]*alchemist_flame_invest,0)</f>
        <v>0</v>
      </c>
      <c r="BL79" s="142"/>
      <c r="BM7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9" s="142"/>
      <c r="BR7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9" s="142"/>
      <c r="BW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9" s="61">
        <f>TblImps[[#This Row],[Login]]</f>
        <v>0</v>
      </c>
      <c r="BY79" s="137"/>
      <c r="BZ79" s="293">
        <f ca="1">OFFSET(TblImps[[#This Row],[Real time]],-1,0)+1/24</f>
        <v>46183.124999999818</v>
      </c>
      <c r="CA79" s="294">
        <f ca="1">OFFSET(TblImps[[#This Row],[Servertime]],-1,0)+1/24</f>
        <v>46183.124999999818</v>
      </c>
      <c r="CB79" s="57"/>
      <c r="CC79" s="292"/>
      <c r="CD79" s="292"/>
      <c r="CG79" s="296"/>
    </row>
    <row r="80" spans="1:85" x14ac:dyDescent="0.2">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46183.166666666482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Row],[P5]:[FW5]])+OFFSET(TblImps[[#This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57">
        <f ca="1">IF(OFFSET(TblMagic[[#This Row],[Active Alchemists Flame]],-1,0)&gt;0,TblConstr[[#This Row],[Tot Alc]]*alchemist_flame_invest,0)</f>
        <v>0</v>
      </c>
      <c r="BL80" s="142"/>
      <c r="BM8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0" s="142"/>
      <c r="BR8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0" s="142"/>
      <c r="BW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0" s="61">
        <f>TblImps[[#This Row],[Login]]</f>
        <v>0</v>
      </c>
      <c r="BY80" s="137"/>
      <c r="BZ80" s="293">
        <f ca="1">OFFSET(TblImps[[#This Row],[Real time]],-1,0)+1/24</f>
        <v>46183.166666666482</v>
      </c>
      <c r="CA80" s="294">
        <f ca="1">OFFSET(TblImps[[#This Row],[Servertime]],-1,0)+1/24</f>
        <v>46183.166666666482</v>
      </c>
      <c r="CB80" s="57"/>
      <c r="CC80" s="292"/>
      <c r="CD80" s="292"/>
      <c r="CG80" s="295"/>
    </row>
    <row r="81" spans="1:85" x14ac:dyDescent="0.2">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46183.208333333147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Row],[P5]:[FW5]])+OFFSET(TblImps[[#This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57">
        <f ca="1">IF(OFFSET(TblMagic[[#This Row],[Active Alchemists Flame]],-1,0)&gt;0,TblConstr[[#This Row],[Tot Alc]]*alchemist_flame_invest,0)</f>
        <v>0</v>
      </c>
      <c r="BL81" s="142"/>
      <c r="BM8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1" s="142"/>
      <c r="BR8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1" s="142"/>
      <c r="BW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1" s="61">
        <f>TblImps[[#This Row],[Login]]</f>
        <v>0</v>
      </c>
      <c r="BY81" s="137"/>
      <c r="BZ81" s="293">
        <f ca="1">OFFSET(TblImps[[#This Row],[Real time]],-1,0)+1/24</f>
        <v>46183.208333333147</v>
      </c>
      <c r="CA81" s="294">
        <f ca="1">OFFSET(TblImps[[#This Row],[Servertime]],-1,0)+1/24</f>
        <v>46183.208333333147</v>
      </c>
      <c r="CB81" s="57"/>
      <c r="CC81" s="292"/>
      <c r="CD81" s="292"/>
      <c r="CG81" s="295"/>
    </row>
    <row r="82" spans="1:85" x14ac:dyDescent="0.2">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46183.249999999811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Row],[P5]:[FW5]])+OFFSET(TblImps[[#This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57">
        <f ca="1">IF(OFFSET(TblMagic[[#This Row],[Active Alchemists Flame]],-1,0)&gt;0,TblConstr[[#This Row],[Tot Alc]]*alchemist_flame_invest,0)</f>
        <v>0</v>
      </c>
      <c r="BL82" s="142"/>
      <c r="BM8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2" s="142"/>
      <c r="BR8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2" s="142"/>
      <c r="BW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2" s="61">
        <f>TblImps[[#This Row],[Login]]</f>
        <v>0</v>
      </c>
      <c r="BY82" s="137"/>
      <c r="BZ82" s="293">
        <f ca="1">OFFSET(TblImps[[#This Row],[Real time]],-1,0)+1/24</f>
        <v>46183.249999999811</v>
      </c>
      <c r="CA82" s="294">
        <f ca="1">OFFSET(TblImps[[#This Row],[Servertime]],-1,0)+1/24</f>
        <v>46183.249999999811</v>
      </c>
      <c r="CB82" s="57"/>
      <c r="CC82" s="292"/>
      <c r="CD82" s="292"/>
    </row>
    <row r="83" spans="1:85" x14ac:dyDescent="0.2">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46183.291666666475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Row],[P5]:[FW5]])+OFFSET(TblImps[[#This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57">
        <f ca="1">IF(OFFSET(TblMagic[[#This Row],[Active Alchemists Flame]],-1,0)&gt;0,TblConstr[[#This Row],[Tot Alc]]*alchemist_flame_invest,0)</f>
        <v>0</v>
      </c>
      <c r="BL83" s="142"/>
      <c r="BM8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3" s="142"/>
      <c r="BR8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3" s="142"/>
      <c r="BW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3" s="61">
        <f>TblImps[[#This Row],[Login]]</f>
        <v>0</v>
      </c>
      <c r="BY83" s="137"/>
      <c r="BZ83" s="293">
        <f ca="1">OFFSET(TblImps[[#This Row],[Real time]],-1,0)+1/24</f>
        <v>46183.291666666475</v>
      </c>
      <c r="CA83" s="294">
        <f ca="1">OFFSET(TblImps[[#This Row],[Servertime]],-1,0)+1/24</f>
        <v>46183.291666666475</v>
      </c>
      <c r="CB83" s="57"/>
      <c r="CC83" s="292"/>
      <c r="CD83" s="292"/>
    </row>
    <row r="84" spans="1:85" x14ac:dyDescent="0.2">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46183.333333333139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Row],[P5]:[FW5]])+OFFSET(TblImps[[#This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57">
        <f ca="1">IF(OFFSET(TblMagic[[#This Row],[Active Alchemists Flame]],-1,0)&gt;0,TblConstr[[#This Row],[Tot Alc]]*alchemist_flame_invest,0)</f>
        <v>0</v>
      </c>
      <c r="BL84" s="142"/>
      <c r="BM8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4" s="142"/>
      <c r="BR8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4" s="142"/>
      <c r="BW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4" s="61">
        <f>TblImps[[#This Row],[Login]]</f>
        <v>0</v>
      </c>
      <c r="BY84" s="137"/>
      <c r="BZ84" s="293">
        <f ca="1">OFFSET(TblImps[[#This Row],[Real time]],-1,0)+1/24</f>
        <v>46183.333333333139</v>
      </c>
      <c r="CA84" s="294">
        <f ca="1">OFFSET(TblImps[[#This Row],[Servertime]],-1,0)+1/24</f>
        <v>46183.333333333139</v>
      </c>
      <c r="CB84" s="57"/>
      <c r="CC84" s="292"/>
      <c r="CD84" s="292"/>
    </row>
    <row r="85" spans="1:85" x14ac:dyDescent="0.2">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46183.374999999804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Row],[P5]:[FW5]])+OFFSET(TblImps[[#This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57">
        <f ca="1">IF(OFFSET(TblMagic[[#This Row],[Active Alchemists Flame]],-1,0)&gt;0,TblConstr[[#This Row],[Tot Alc]]*alchemist_flame_invest,0)</f>
        <v>0</v>
      </c>
      <c r="BL85" s="142"/>
      <c r="BM8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5" s="142"/>
      <c r="BR8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5" s="142"/>
      <c r="BW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5" s="61">
        <f>TblImps[[#This Row],[Login]]</f>
        <v>0</v>
      </c>
      <c r="BY85" s="137"/>
      <c r="BZ85" s="293">
        <f ca="1">OFFSET(TblImps[[#This Row],[Real time]],-1,0)+1/24</f>
        <v>46183.374999999804</v>
      </c>
      <c r="CA85" s="294">
        <f ca="1">OFFSET(TblImps[[#This Row],[Servertime]],-1,0)+1/24</f>
        <v>46183.374999999804</v>
      </c>
      <c r="CB85" s="57"/>
      <c r="CC85" s="292"/>
      <c r="CD85" s="292"/>
    </row>
    <row r="86" spans="1:85" x14ac:dyDescent="0.2">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46183.416666666468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Row],[P5]:[FW5]])+OFFSET(TblImps[[#This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57">
        <f ca="1">IF(OFFSET(TblMagic[[#This Row],[Active Alchemists Flame]],-1,0)&gt;0,TblConstr[[#This Row],[Tot Alc]]*alchemist_flame_invest,0)</f>
        <v>0</v>
      </c>
      <c r="BL86" s="142"/>
      <c r="BM8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6" s="142"/>
      <c r="BR8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6" s="142"/>
      <c r="BW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6" s="61">
        <f>TblImps[[#This Row],[Login]]</f>
        <v>0</v>
      </c>
      <c r="BY86" s="137"/>
      <c r="BZ86" s="293">
        <f ca="1">OFFSET(TblImps[[#This Row],[Real time]],-1,0)+1/24</f>
        <v>46183.416666666468</v>
      </c>
      <c r="CA86" s="294">
        <f ca="1">OFFSET(TblImps[[#This Row],[Servertime]],-1,0)+1/24</f>
        <v>46183.416666666468</v>
      </c>
      <c r="CB86" s="57"/>
      <c r="CC86" s="292"/>
      <c r="CD86" s="292"/>
    </row>
    <row r="87" spans="1:85" x14ac:dyDescent="0.2">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46183.458333333132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Row],[P5]:[FW5]])+OFFSET(TblImps[[#This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57">
        <f ca="1">IF(OFFSET(TblMagic[[#This Row],[Active Alchemists Flame]],-1,0)&gt;0,TblConstr[[#This Row],[Tot Alc]]*alchemist_flame_invest,0)</f>
        <v>0</v>
      </c>
      <c r="BL87" s="142"/>
      <c r="BM8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7" s="142"/>
      <c r="BR8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7" s="142"/>
      <c r="BW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7" s="61">
        <f>TblImps[[#This Row],[Login]]</f>
        <v>0</v>
      </c>
      <c r="BY87" s="137"/>
      <c r="BZ87" s="293">
        <f ca="1">OFFSET(TblImps[[#This Row],[Real time]],-1,0)+1/24</f>
        <v>46183.458333333132</v>
      </c>
      <c r="CA87" s="294">
        <f ca="1">OFFSET(TblImps[[#This Row],[Servertime]],-1,0)+1/24</f>
        <v>46183.458333333132</v>
      </c>
      <c r="CB87" s="57"/>
      <c r="CC87" s="292"/>
      <c r="CD87" s="292"/>
    </row>
    <row r="88" spans="1:85" x14ac:dyDescent="0.2">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46183.499999999796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Row],[P5]:[FW5]])+OFFSET(TblImps[[#This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57">
        <f ca="1">IF(OFFSET(TblMagic[[#This Row],[Active Alchemists Flame]],-1,0)&gt;0,TblConstr[[#This Row],[Tot Alc]]*alchemist_flame_invest,0)</f>
        <v>0</v>
      </c>
      <c r="BL88" s="142"/>
      <c r="BM8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8" s="142"/>
      <c r="BR8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8" s="142"/>
      <c r="BW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8" s="61">
        <f>TblImps[[#This Row],[Login]]</f>
        <v>0</v>
      </c>
      <c r="BY88" s="137"/>
      <c r="BZ88" s="293">
        <f ca="1">OFFSET(TblImps[[#This Row],[Real time]],-1,0)+1/24</f>
        <v>46183.499999999796</v>
      </c>
      <c r="CA88" s="294">
        <f ca="1">OFFSET(TblImps[[#This Row],[Servertime]],-1,0)+1/24</f>
        <v>46183.499999999796</v>
      </c>
      <c r="CB88" s="57"/>
      <c r="CC88" s="292"/>
      <c r="CD88" s="292"/>
    </row>
    <row r="89" spans="1:85" x14ac:dyDescent="0.2">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46183.541666666461</v>
      </c>
      <c r="M89" s="61">
        <f>IF(ISERROR(TblImps[[#This Row],[algorithm]]),0,TblImps[[#This Row],[algorithm]]*1)</f>
        <v>0</v>
      </c>
      <c r="N89" s="94">
        <f ca="1">TblImps[[#This Row],[Land]]</f>
        <v>50</v>
      </c>
      <c r="O89" s="285" t="s">
        <v>2</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Row],[P5]:[FW5]])+OFFSET(TblImps[[#This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57">
        <f ca="1">IF(OFFSET(TblMagic[[#This Row],[Active Alchemists Flame]],-1,0)&gt;0,TblConstr[[#This Row],[Tot Alc]]*alchemist_flame_invest,0)</f>
        <v>0</v>
      </c>
      <c r="BL89" s="142"/>
      <c r="BM8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9" s="142"/>
      <c r="BR8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9" s="142"/>
      <c r="BW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9" s="61">
        <f>TblImps[[#This Row],[Login]]</f>
        <v>0</v>
      </c>
      <c r="BY89" s="137"/>
      <c r="BZ89" s="293">
        <f ca="1">OFFSET(TblImps[[#This Row],[Real time]],-1,0)+1/24</f>
        <v>46183.541666666461</v>
      </c>
      <c r="CA89" s="294">
        <f ca="1">OFFSET(TblImps[[#This Row],[Servertime]],-1,0)+1/24</f>
        <v>46183.541666666461</v>
      </c>
      <c r="CB89" s="57"/>
      <c r="CC89" s="292"/>
      <c r="CD89" s="292"/>
      <c r="CE89" s="159"/>
    </row>
    <row r="90" spans="1:85" x14ac:dyDescent="0.2">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46183.583333333125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Row],[P5]:[FW5]])+OFFSET(TblImps[[#This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57">
        <f ca="1">IF(OFFSET(TblMagic[[#This Row],[Active Alchemists Flame]],-1,0)&gt;0,TblConstr[[#This Row],[Tot Alc]]*alchemist_flame_invest,0)</f>
        <v>0</v>
      </c>
      <c r="BL90" s="142"/>
      <c r="BM9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0" s="142"/>
      <c r="BR9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0" s="142"/>
      <c r="BW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0" s="61">
        <f>TblImps[[#This Row],[Login]]</f>
        <v>0</v>
      </c>
      <c r="BY90" s="137"/>
      <c r="BZ90" s="293">
        <f ca="1">OFFSET(TblImps[[#This Row],[Real time]],-1,0)+1/24</f>
        <v>46183.583333333125</v>
      </c>
      <c r="CA90" s="294">
        <f ca="1">OFFSET(TblImps[[#This Row],[Servertime]],-1,0)+1/24</f>
        <v>46183.583333333125</v>
      </c>
      <c r="CB90" s="297"/>
      <c r="CC90" s="292"/>
      <c r="CD90" s="292"/>
      <c r="CG90" s="295"/>
    </row>
    <row r="91" spans="1:85" x14ac:dyDescent="0.2">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46183.624999999789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Row],[P5]:[FW5]])+OFFSET(TblImps[[#This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57">
        <f ca="1">IF(OFFSET(TblMagic[[#This Row],[Active Alchemists Flame]],-1,0)&gt;0,TblConstr[[#This Row],[Tot Alc]]*alchemist_flame_invest,0)</f>
        <v>0</v>
      </c>
      <c r="BL91" s="142"/>
      <c r="BM9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1" s="142"/>
      <c r="BR9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1" s="142"/>
      <c r="BW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1" s="61">
        <f>TblImps[[#This Row],[Login]]</f>
        <v>0</v>
      </c>
      <c r="BY91" s="137"/>
      <c r="BZ91" s="293">
        <f ca="1">OFFSET(TblImps[[#This Row],[Real time]],-1,0)+1/24</f>
        <v>46183.624999999789</v>
      </c>
      <c r="CA91" s="294">
        <f ca="1">OFFSET(TblImps[[#This Row],[Servertime]],-1,0)+1/24</f>
        <v>46183.624999999789</v>
      </c>
      <c r="CB91" s="57"/>
      <c r="CC91" s="292"/>
      <c r="CD91" s="292"/>
      <c r="CG91" s="296"/>
    </row>
    <row r="92" spans="1:85" x14ac:dyDescent="0.2">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46183.666666666453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Row],[P5]:[FW5]])+OFFSET(TblImps[[#This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57">
        <f ca="1">IF(OFFSET(TblMagic[[#This Row],[Active Alchemists Flame]],-1,0)&gt;0,TblConstr[[#This Row],[Tot Alc]]*alchemist_flame_invest,0)</f>
        <v>0</v>
      </c>
      <c r="BL92" s="142"/>
      <c r="BM9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2" s="142"/>
      <c r="BR9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2" s="142"/>
      <c r="BW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2" s="61">
        <f>TblImps[[#This Row],[Login]]</f>
        <v>0</v>
      </c>
      <c r="BY92" s="137"/>
      <c r="BZ92" s="293">
        <f ca="1">OFFSET(TblImps[[#This Row],[Real time]],-1,0)+1/24</f>
        <v>46183.666666666453</v>
      </c>
      <c r="CA92" s="294">
        <f ca="1">OFFSET(TblImps[[#This Row],[Servertime]],-1,0)+1/24</f>
        <v>46183.666666666453</v>
      </c>
      <c r="CB92" s="57"/>
      <c r="CC92" s="292"/>
      <c r="CD92" s="292"/>
      <c r="CG92" s="295"/>
    </row>
    <row r="93" spans="1:85" x14ac:dyDescent="0.2">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46183.708333333117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Row],[P5]:[FW5]])+OFFSET(TblImps[[#This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57">
        <f ca="1">IF(OFFSET(TblMagic[[#This Row],[Active Alchemists Flame]],-1,0)&gt;0,TblConstr[[#This Row],[Tot Alc]]*alchemist_flame_invest,0)</f>
        <v>0</v>
      </c>
      <c r="BL93" s="142"/>
      <c r="BM9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3" s="142"/>
      <c r="BR9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3" s="142"/>
      <c r="BW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3" s="61">
        <f>TblImps[[#This Row],[Login]]</f>
        <v>0</v>
      </c>
      <c r="BY93" s="137"/>
      <c r="BZ93" s="293">
        <f ca="1">OFFSET(TblImps[[#This Row],[Real time]],-1,0)+1/24</f>
        <v>46183.708333333117</v>
      </c>
      <c r="CA93" s="294">
        <f ca="1">OFFSET(TblImps[[#This Row],[Servertime]],-1,0)+1/24</f>
        <v>46183.708333333117</v>
      </c>
      <c r="CB93" s="57"/>
      <c r="CC93" s="292"/>
      <c r="CD93" s="292"/>
      <c r="CG93" s="295"/>
    </row>
    <row r="94" spans="1:85" x14ac:dyDescent="0.2">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46183.749999999782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Row],[P5]:[FW5]])+OFFSET(TblImps[[#This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57">
        <f ca="1">IF(OFFSET(TblMagic[[#This Row],[Active Alchemists Flame]],-1,0)&gt;0,TblConstr[[#This Row],[Tot Alc]]*alchemist_flame_invest,0)</f>
        <v>0</v>
      </c>
      <c r="BL94" s="142"/>
      <c r="BM9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4" s="142"/>
      <c r="BR9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4" s="142"/>
      <c r="BW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4" s="61">
        <f>TblImps[[#This Row],[Login]]</f>
        <v>0</v>
      </c>
      <c r="BY94" s="137"/>
      <c r="BZ94" s="293">
        <f ca="1">OFFSET(TblImps[[#This Row],[Real time]],-1,0)+1/24</f>
        <v>46183.749999999782</v>
      </c>
      <c r="CA94" s="294">
        <f ca="1">OFFSET(TblImps[[#This Row],[Servertime]],-1,0)+1/24</f>
        <v>46183.749999999782</v>
      </c>
      <c r="CB94" s="57"/>
      <c r="CC94" s="292"/>
      <c r="CD94" s="292"/>
    </row>
    <row r="95" spans="1:85" x14ac:dyDescent="0.2">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46183.791666666446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Row],[P5]:[FW5]])+OFFSET(TblImps[[#This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57">
        <f ca="1">IF(OFFSET(TblMagic[[#This Row],[Active Alchemists Flame]],-1,0)&gt;0,TblConstr[[#This Row],[Tot Alc]]*alchemist_flame_invest,0)</f>
        <v>0</v>
      </c>
      <c r="BL95" s="142"/>
      <c r="BM9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5" s="142"/>
      <c r="BR9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5" s="142"/>
      <c r="BW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5" s="61">
        <f>TblImps[[#This Row],[Login]]</f>
        <v>0</v>
      </c>
      <c r="BY95" s="137"/>
      <c r="BZ95" s="293">
        <f ca="1">OFFSET(TblImps[[#This Row],[Real time]],-1,0)+1/24</f>
        <v>46183.791666666446</v>
      </c>
      <c r="CA95" s="294">
        <f ca="1">OFFSET(TblImps[[#This Row],[Servertime]],-1,0)+1/24</f>
        <v>46183.791666666446</v>
      </c>
      <c r="CB95" s="57"/>
      <c r="CC95" s="292"/>
      <c r="CD95" s="292"/>
    </row>
    <row r="96" spans="1:85" x14ac:dyDescent="0.2">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46183.83333333311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Row],[P5]:[FW5]])+OFFSET(TblImps[[#This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57">
        <f ca="1">IF(OFFSET(TblMagic[[#This Row],[Active Alchemists Flame]],-1,0)&gt;0,TblConstr[[#This Row],[Tot Alc]]*alchemist_flame_invest,0)</f>
        <v>0</v>
      </c>
      <c r="BL96" s="142"/>
      <c r="BM9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6" s="142"/>
      <c r="BR9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6" s="142"/>
      <c r="BW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6" s="61">
        <f>TblImps[[#This Row],[Login]]</f>
        <v>0</v>
      </c>
      <c r="BY96" s="137"/>
      <c r="BZ96" s="293">
        <f ca="1">OFFSET(TblImps[[#This Row],[Real time]],-1,0)+1/24</f>
        <v>46183.83333333311</v>
      </c>
      <c r="CA96" s="294">
        <f ca="1">OFFSET(TblImps[[#This Row],[Servertime]],-1,0)+1/24</f>
        <v>46183.83333333311</v>
      </c>
      <c r="CB96" s="57"/>
      <c r="CC96" s="292"/>
      <c r="CD96" s="292"/>
    </row>
    <row r="97" spans="1:83" x14ac:dyDescent="0.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46183.874999999774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Row],[P5]:[FW5]])+OFFSET(TblImps[[#This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57">
        <f ca="1">IF(OFFSET(TblMagic[[#This Row],[Active Alchemists Flame]],-1,0)&gt;0,TblConstr[[#This Row],[Tot Alc]]*alchemist_flame_invest,0)</f>
        <v>0</v>
      </c>
      <c r="BL97" s="142"/>
      <c r="BM9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7" s="142"/>
      <c r="BR9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7" s="142"/>
      <c r="BW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7" s="61">
        <f>TblImps[[#This Row],[Login]]</f>
        <v>0</v>
      </c>
      <c r="BY97" s="137"/>
      <c r="BZ97" s="293">
        <f ca="1">OFFSET(TblImps[[#This Row],[Real time]],-1,0)+1/24</f>
        <v>46183.874999999774</v>
      </c>
      <c r="CA97" s="294">
        <f ca="1">OFFSET(TblImps[[#This Row],[Servertime]],-1,0)+1/24</f>
        <v>46183.874999999774</v>
      </c>
      <c r="CB97" s="57"/>
      <c r="CC97" s="292"/>
      <c r="CD97" s="292"/>
    </row>
    <row r="98" spans="1:83" x14ac:dyDescent="0.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46183.916666666439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Row],[P5]:[FW5]])+OFFSET(TblImps[[#This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57">
        <f ca="1">IF(OFFSET(TblMagic[[#This Row],[Active Alchemists Flame]],-1,0)&gt;0,TblConstr[[#This Row],[Tot Alc]]*alchemist_flame_invest,0)</f>
        <v>0</v>
      </c>
      <c r="BL98" s="142"/>
      <c r="BM9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8" s="142"/>
      <c r="BR9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8" s="142"/>
      <c r="BW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8" s="61">
        <f>TblImps[[#This Row],[Login]]</f>
        <v>0</v>
      </c>
      <c r="BY98" s="137"/>
      <c r="BZ98" s="293">
        <f ca="1">OFFSET(TblImps[[#This Row],[Real time]],-1,0)+1/24</f>
        <v>46183.916666666439</v>
      </c>
      <c r="CA98" s="294">
        <f ca="1">OFFSET(TblImps[[#This Row],[Servertime]],-1,0)+1/24</f>
        <v>46183.916666666439</v>
      </c>
      <c r="CB98" s="57"/>
      <c r="CC98" s="292"/>
      <c r="CD98" s="292"/>
    </row>
    <row r="99" spans="1:83" x14ac:dyDescent="0.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46183.958333333103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Row],[P5]:[FW5]])+OFFSET(TblImps[[#This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57">
        <f ca="1">IF(OFFSET(TblMagic[[#This Row],[Active Alchemists Flame]],-1,0)&gt;0,TblConstr[[#This Row],[Tot Alc]]*alchemist_flame_invest,0)</f>
        <v>0</v>
      </c>
      <c r="BL99" s="142"/>
      <c r="BM9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9" s="142"/>
      <c r="BR9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9" s="142"/>
      <c r="BW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9" s="61">
        <f>TblImps[[#This Row],[Login]]</f>
        <v>0</v>
      </c>
      <c r="BY99" s="137"/>
      <c r="BZ99" s="293">
        <f ca="1">OFFSET(TblImps[[#This Row],[Real time]],-1,0)+1/24</f>
        <v>46183.958333333103</v>
      </c>
      <c r="CA99" s="294">
        <f ca="1">OFFSET(TblImps[[#This Row],[Servertime]],-1,0)+1/24</f>
        <v>46183.958333333103</v>
      </c>
      <c r="CB99" s="57"/>
      <c r="CC99" s="292"/>
      <c r="CD99" s="292"/>
    </row>
    <row r="100" spans="1:83" x14ac:dyDescent="0.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46183.999999999767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Row],[P5]:[FW5]])+OFFSET(TblImps[[#This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57">
        <f ca="1">IF(OFFSET(TblMagic[[#This Row],[Active Alchemists Flame]],-1,0)&gt;0,TblConstr[[#This Row],[Tot Alc]]*alchemist_flame_invest,0)</f>
        <v>0</v>
      </c>
      <c r="BL100" s="142"/>
      <c r="BM10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0" s="142"/>
      <c r="BR10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0" s="142"/>
      <c r="BW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0" s="61">
        <f>TblImps[[#This Row],[Login]]</f>
        <v>0</v>
      </c>
      <c r="BY100" s="137"/>
      <c r="BZ100" s="293">
        <f ca="1">OFFSET(TblImps[[#This Row],[Real time]],-1,0)+1/24</f>
        <v>46183.999999999767</v>
      </c>
      <c r="CA100" s="294">
        <f ca="1">OFFSET(TblImps[[#This Row],[Servertime]],-1,0)+1/24</f>
        <v>46183.999999999767</v>
      </c>
      <c r="CB100" s="57"/>
      <c r="CC100" s="292"/>
      <c r="CD100" s="292"/>
    </row>
    <row r="101" spans="1:83" x14ac:dyDescent="0.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46184.041666666431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Row],[P5]:[FW5]])+OFFSET(TblImps[[#This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57">
        <f ca="1">IF(OFFSET(TblMagic[[#This Row],[Active Alchemists Flame]],-1,0)&gt;0,TblConstr[[#This Row],[Tot Alc]]*alchemist_flame_invest,0)</f>
        <v>0</v>
      </c>
      <c r="BL101" s="142"/>
      <c r="BM10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1" s="142"/>
      <c r="BR10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1" s="142"/>
      <c r="BW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1" s="61">
        <f>TblImps[[#This Row],[Login]]</f>
        <v>0</v>
      </c>
      <c r="BY101" s="137"/>
      <c r="BZ101" s="293">
        <f ca="1">OFFSET(TblImps[[#This Row],[Real time]],-1,0)+1/24</f>
        <v>46184.041666666431</v>
      </c>
      <c r="CA101" s="294">
        <f ca="1">OFFSET(TblImps[[#This Row],[Servertime]],-1,0)+1/24</f>
        <v>46184.041666666431</v>
      </c>
      <c r="CB101" s="57"/>
      <c r="CC101" s="292"/>
      <c r="CD101" s="292"/>
    </row>
    <row r="102" spans="1:83" x14ac:dyDescent="0.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46184.083333333096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Row],[P5]:[FW5]])+OFFSET(TblImps[[#This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57">
        <f ca="1">IF(OFFSET(TblMagic[[#This Row],[Active Alchemists Flame]],-1,0)&gt;0,TblConstr[[#This Row],[Tot Alc]]*alchemist_flame_invest,0)</f>
        <v>0</v>
      </c>
      <c r="BL102" s="142"/>
      <c r="BM10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2" s="142"/>
      <c r="BR10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2" s="142"/>
      <c r="BW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2" s="61">
        <f>TblImps[[#This Row],[Login]]</f>
        <v>0</v>
      </c>
      <c r="BY102" s="137"/>
      <c r="BZ102" s="293">
        <f ca="1">OFFSET(TblImps[[#This Row],[Real time]],-1,0)+1/24</f>
        <v>46184.083333333096</v>
      </c>
      <c r="CA102" s="294">
        <f ca="1">OFFSET(TblImps[[#This Row],[Servertime]],-1,0)+1/24</f>
        <v>46184.083333333096</v>
      </c>
      <c r="CB102" s="57"/>
      <c r="CC102" s="292"/>
      <c r="CD102" s="292"/>
      <c r="CE102" s="45" t="s">
        <v>4</v>
      </c>
    </row>
    <row r="103" spans="1:83" x14ac:dyDescent="0.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46184.12499999976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Row],[P5]:[FW5]])+OFFSET(TblImps[[#This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57">
        <f ca="1">IF(OFFSET(TblMagic[[#This Row],[Active Alchemists Flame]],-1,0)&gt;0,TblConstr[[#This Row],[Tot Alc]]*alchemist_flame_invest,0)</f>
        <v>0</v>
      </c>
      <c r="BL103" s="142"/>
      <c r="BM10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3" s="142"/>
      <c r="BR10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3" s="142"/>
      <c r="BW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3" s="61">
        <f>TblImps[[#This Row],[Login]]</f>
        <v>0</v>
      </c>
      <c r="BY103" s="137"/>
      <c r="BZ103" s="293">
        <f ca="1">OFFSET(TblImps[[#This Row],[Real time]],-1,0)+1/24</f>
        <v>46184.12499999976</v>
      </c>
      <c r="CA103" s="294">
        <f ca="1">OFFSET(TblImps[[#This Row],[Servertime]],-1,0)+1/24</f>
        <v>46184.12499999976</v>
      </c>
      <c r="CB103" s="57"/>
      <c r="CC103" s="292"/>
      <c r="CD103" s="292"/>
      <c r="CE103" s="45" t="s">
        <v>7</v>
      </c>
    </row>
    <row r="104" spans="1:83" x14ac:dyDescent="0.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46184.166666666424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Row],[P5]:[FW5]])+OFFSET(TblImps[[#This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57">
        <f ca="1">IF(OFFSET(TblMagic[[#This Row],[Active Alchemists Flame]],-1,0)&gt;0,TblConstr[[#This Row],[Tot Alc]]*alchemist_flame_invest,0)</f>
        <v>0</v>
      </c>
      <c r="BL104" s="142"/>
      <c r="BM10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4" s="142"/>
      <c r="BR10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4" s="142"/>
      <c r="BW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4" s="61">
        <f>TblImps[[#This Row],[Login]]</f>
        <v>0</v>
      </c>
      <c r="BY104" s="137"/>
      <c r="BZ104" s="293">
        <f ca="1">OFFSET(TblImps[[#This Row],[Real time]],-1,0)+1/24</f>
        <v>46184.166666666424</v>
      </c>
      <c r="CA104" s="294">
        <f ca="1">OFFSET(TblImps[[#This Row],[Servertime]],-1,0)+1/24</f>
        <v>46184.166666666424</v>
      </c>
      <c r="CB104" s="57"/>
      <c r="CC104" s="292"/>
      <c r="CD104" s="292"/>
      <c r="CE104" s="45" t="s">
        <v>3</v>
      </c>
    </row>
    <row r="105" spans="1:83" x14ac:dyDescent="0.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46184.208333333088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Row],[P5]:[FW5]])+OFFSET(TblImps[[#This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57">
        <f ca="1">IF(OFFSET(TblMagic[[#This Row],[Active Alchemists Flame]],-1,0)&gt;0,TblConstr[[#This Row],[Tot Alc]]*alchemist_flame_invest,0)</f>
        <v>0</v>
      </c>
      <c r="BL105" s="142"/>
      <c r="BM10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5" s="142"/>
      <c r="BR10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5" s="142"/>
      <c r="BW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5" s="61">
        <f>TblImps[[#This Row],[Login]]</f>
        <v>0</v>
      </c>
      <c r="BY105" s="137"/>
      <c r="BZ105" s="293">
        <f ca="1">OFFSET(TblImps[[#This Row],[Real time]],-1,0)+1/24</f>
        <v>46184.208333333088</v>
      </c>
      <c r="CA105" s="294">
        <f ca="1">OFFSET(TblImps[[#This Row],[Servertime]],-1,0)+1/24</f>
        <v>46184.208333333088</v>
      </c>
      <c r="CB105" s="57"/>
      <c r="CC105" s="292"/>
      <c r="CD105" s="292"/>
      <c r="CE105" s="45" t="s">
        <v>2</v>
      </c>
    </row>
    <row r="106" spans="1:83" x14ac:dyDescent="0.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46184.249999999753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Row],[P5]:[FW5]])+OFFSET(TblImps[[#This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57">
        <f ca="1">IF(OFFSET(TblMagic[[#This Row],[Active Alchemists Flame]],-1,0)&gt;0,TblConstr[[#This Row],[Tot Alc]]*alchemist_flame_invest,0)</f>
        <v>0</v>
      </c>
      <c r="BL106" s="142"/>
      <c r="BM10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6" s="142"/>
      <c r="BR10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6" s="142"/>
      <c r="BW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6" s="61">
        <f>TblImps[[#This Row],[Login]]</f>
        <v>0</v>
      </c>
      <c r="BY106" s="137"/>
      <c r="BZ106" s="293">
        <f ca="1">OFFSET(TblImps[[#This Row],[Real time]],-1,0)+1/24</f>
        <v>46184.249999999753</v>
      </c>
      <c r="CA106" s="294">
        <f ca="1">OFFSET(TblImps[[#This Row],[Servertime]],-1,0)+1/24</f>
        <v>46184.249999999753</v>
      </c>
      <c r="CB106" s="57"/>
      <c r="CC106" s="292"/>
      <c r="CD106" s="292"/>
    </row>
    <row r="107" spans="1:83" x14ac:dyDescent="0.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46184.291666666417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Row],[P5]:[FW5]])+OFFSET(TblImps[[#This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57">
        <f ca="1">IF(OFFSET(TblMagic[[#This Row],[Active Alchemists Flame]],-1,0)&gt;0,TblConstr[[#This Row],[Tot Alc]]*alchemist_flame_invest,0)</f>
        <v>0</v>
      </c>
      <c r="BL107" s="142"/>
      <c r="BM10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7" s="142"/>
      <c r="BR10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7" s="142"/>
      <c r="BW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7" s="61">
        <f>TblImps[[#This Row],[Login]]</f>
        <v>0</v>
      </c>
      <c r="BY107" s="137"/>
      <c r="BZ107" s="293">
        <f ca="1">OFFSET(TblImps[[#This Row],[Real time]],-1,0)+1/24</f>
        <v>46184.291666666417</v>
      </c>
      <c r="CA107" s="294">
        <f ca="1">OFFSET(TblImps[[#This Row],[Servertime]],-1,0)+1/24</f>
        <v>46184.291666666417</v>
      </c>
      <c r="CB107" s="57"/>
      <c r="CC107" s="292"/>
      <c r="CD107" s="292"/>
      <c r="CE107" s="45" t="s">
        <v>208</v>
      </c>
    </row>
    <row r="108" spans="1:83" x14ac:dyDescent="0.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46184.333333333081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Row],[P5]:[FW5]])+OFFSET(TblImps[[#This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57">
        <f ca="1">IF(OFFSET(TblMagic[[#This Row],[Active Alchemists Flame]],-1,0)&gt;0,TblConstr[[#This Row],[Tot Alc]]*alchemist_flame_invest,0)</f>
        <v>0</v>
      </c>
      <c r="BL108" s="142"/>
      <c r="BM10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8" s="142"/>
      <c r="BR10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8" s="142"/>
      <c r="BW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8" s="61">
        <f>TblImps[[#This Row],[Login]]</f>
        <v>0</v>
      </c>
      <c r="BY108" s="137"/>
      <c r="BZ108" s="293">
        <f ca="1">OFFSET(TblImps[[#This Row],[Real time]],-1,0)+1/24</f>
        <v>46184.333333333081</v>
      </c>
      <c r="CA108" s="294">
        <f ca="1">OFFSET(TblImps[[#This Row],[Servertime]],-1,0)+1/24</f>
        <v>46184.333333333081</v>
      </c>
      <c r="CB108" s="57"/>
      <c r="CC108" s="292"/>
      <c r="CD108" s="292"/>
      <c r="CE108" s="45" t="s">
        <v>210</v>
      </c>
    </row>
    <row r="109" spans="1:83" x14ac:dyDescent="0.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46184.374999999745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Row],[P5]:[FW5]])+OFFSET(TblImps[[#This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57">
        <f ca="1">IF(OFFSET(TblMagic[[#This Row],[Active Alchemists Flame]],-1,0)&gt;0,TblConstr[[#This Row],[Tot Alc]]*alchemist_flame_invest,0)</f>
        <v>0</v>
      </c>
      <c r="BL109" s="142"/>
      <c r="BM10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9" s="142"/>
      <c r="BR10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9" s="142"/>
      <c r="BW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9" s="61">
        <f>TblImps[[#This Row],[Login]]</f>
        <v>0</v>
      </c>
      <c r="BY109" s="137"/>
      <c r="BZ109" s="293">
        <f ca="1">OFFSET(TblImps[[#This Row],[Real time]],-1,0)+1/24</f>
        <v>46184.374999999745</v>
      </c>
      <c r="CA109" s="294">
        <f ca="1">OFFSET(TblImps[[#This Row],[Servertime]],-1,0)+1/24</f>
        <v>46184.374999999745</v>
      </c>
      <c r="CB109" s="57"/>
      <c r="CC109" s="292"/>
      <c r="CD109" s="292"/>
      <c r="CE109" s="45" t="s">
        <v>211</v>
      </c>
    </row>
    <row r="110" spans="1:83" x14ac:dyDescent="0.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46184.41666666641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Row],[P5]:[FW5]])+OFFSET(TblImps[[#This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57">
        <f ca="1">IF(OFFSET(TblMagic[[#This Row],[Active Alchemists Flame]],-1,0)&gt;0,TblConstr[[#This Row],[Tot Alc]]*alchemist_flame_invest,0)</f>
        <v>0</v>
      </c>
      <c r="BL110" s="142"/>
      <c r="BM1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0" s="142"/>
      <c r="BR1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0" s="142"/>
      <c r="BW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0" s="61">
        <f>TblImps[[#This Row],[Login]]</f>
        <v>0</v>
      </c>
      <c r="BY110" s="137"/>
      <c r="BZ110" s="293">
        <f ca="1">OFFSET(TblImps[[#This Row],[Real time]],-1,0)+1/24</f>
        <v>46184.41666666641</v>
      </c>
      <c r="CA110" s="294">
        <f ca="1">OFFSET(TblImps[[#This Row],[Servertime]],-1,0)+1/24</f>
        <v>46184.41666666641</v>
      </c>
      <c r="CB110" s="57"/>
      <c r="CC110" s="292"/>
      <c r="CD110" s="292"/>
      <c r="CE110" s="45" t="s">
        <v>212</v>
      </c>
    </row>
    <row r="111" spans="1:83" x14ac:dyDescent="0.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46184.458333333074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Row],[P5]:[FW5]])+OFFSET(TblImps[[#This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57">
        <f ca="1">IF(OFFSET(TblMagic[[#This Row],[Active Alchemists Flame]],-1,0)&gt;0,TblConstr[[#This Row],[Tot Alc]]*alchemist_flame_invest,0)</f>
        <v>0</v>
      </c>
      <c r="BL111" s="142"/>
      <c r="BM1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1" s="142"/>
      <c r="BR1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1" s="142"/>
      <c r="BW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1" s="61">
        <f>TblImps[[#This Row],[Login]]</f>
        <v>0</v>
      </c>
      <c r="BY111" s="137"/>
      <c r="BZ111" s="293">
        <f ca="1">OFFSET(TblImps[[#This Row],[Real time]],-1,0)+1/24</f>
        <v>46184.458333333074</v>
      </c>
      <c r="CA111" s="294">
        <f ca="1">OFFSET(TblImps[[#This Row],[Servertime]],-1,0)+1/24</f>
        <v>46184.458333333074</v>
      </c>
      <c r="CB111" s="57"/>
      <c r="CC111" s="292"/>
      <c r="CD111" s="292"/>
      <c r="CE111" s="45" t="s">
        <v>213</v>
      </c>
    </row>
    <row r="112" spans="1:83" x14ac:dyDescent="0.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46184.499999999738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Row],[P5]:[FW5]])+OFFSET(TblImps[[#This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57">
        <f ca="1">IF(OFFSET(TblMagic[[#This Row],[Active Alchemists Flame]],-1,0)&gt;0,TblConstr[[#This Row],[Tot Alc]]*alchemist_flame_invest,0)</f>
        <v>0</v>
      </c>
      <c r="BL112" s="142"/>
      <c r="BM1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2" s="142"/>
      <c r="BR1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2" s="142"/>
      <c r="BW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2" s="61">
        <f>TblImps[[#This Row],[Login]]</f>
        <v>0</v>
      </c>
      <c r="BY112" s="137"/>
      <c r="BZ112" s="293">
        <f ca="1">OFFSET(TblImps[[#This Row],[Real time]],-1,0)+1/24</f>
        <v>46184.499999999738</v>
      </c>
      <c r="CA112" s="294">
        <f ca="1">OFFSET(TblImps[[#This Row],[Servertime]],-1,0)+1/24</f>
        <v>46184.499999999738</v>
      </c>
      <c r="CB112" s="57"/>
      <c r="CC112" s="292"/>
      <c r="CD112" s="292"/>
      <c r="CE112" s="45" t="s">
        <v>214</v>
      </c>
    </row>
    <row r="113" spans="1:82" x14ac:dyDescent="0.2">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46184.541666666402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Row],[P5]:[FW5]])+OFFSET(TblImps[[#This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57">
        <f ca="1">IF(OFFSET(TblMagic[[#This Row],[Active Alchemists Flame]],-1,0)&gt;0,TblConstr[[#This Row],[Tot Alc]]*alchemist_flame_invest,0)</f>
        <v>0</v>
      </c>
      <c r="BL113" s="142"/>
      <c r="BM1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3" s="142"/>
      <c r="BR1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3" s="142"/>
      <c r="BW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3" s="61">
        <f>TblImps[[#This Row],[Login]]</f>
        <v>0</v>
      </c>
      <c r="BY113" s="137"/>
      <c r="BZ113" s="293">
        <f ca="1">OFFSET(TblImps[[#This Row],[Real time]],-1,0)+1/24</f>
        <v>46184.541666666402</v>
      </c>
      <c r="CA113" s="294">
        <f ca="1">OFFSET(TblImps[[#This Row],[Servertime]],-1,0)+1/24</f>
        <v>46184.541666666402</v>
      </c>
      <c r="CB113" s="57"/>
      <c r="CC113" s="292"/>
      <c r="CD113" s="292"/>
    </row>
    <row r="114" spans="1:82" x14ac:dyDescent="0.2">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46184.583333333067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Row],[P5]:[FW5]])+OFFSET(TblImps[[#This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57">
        <f ca="1">IF(OFFSET(TblMagic[[#This Row],[Active Alchemists Flame]],-1,0)&gt;0,TblConstr[[#This Row],[Tot Alc]]*alchemist_flame_invest,0)</f>
        <v>0</v>
      </c>
      <c r="BL114" s="142"/>
      <c r="BM1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4" s="142"/>
      <c r="BR1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4" s="142"/>
      <c r="BW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4" s="61">
        <f>TblImps[[#This Row],[Login]]</f>
        <v>0</v>
      </c>
      <c r="BY114" s="137"/>
      <c r="BZ114" s="293">
        <f ca="1">OFFSET(TblImps[[#This Row],[Real time]],-1,0)+1/24</f>
        <v>46184.583333333067</v>
      </c>
      <c r="CA114" s="294">
        <f ca="1">OFFSET(TblImps[[#This Row],[Servertime]],-1,0)+1/24</f>
        <v>46184.583333333067</v>
      </c>
      <c r="CB114" s="297"/>
      <c r="CC114" s="292"/>
      <c r="CD114" s="292"/>
    </row>
    <row r="115" spans="1:82" x14ac:dyDescent="0.2">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46184.624999999731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Row],[P5]:[FW5]])+OFFSET(TblImps[[#This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57">
        <f ca="1">IF(OFFSET(TblMagic[[#This Row],[Active Alchemists Flame]],-1,0)&gt;0,TblConstr[[#This Row],[Tot Alc]]*alchemist_flame_invest,0)</f>
        <v>0</v>
      </c>
      <c r="BL115" s="142"/>
      <c r="BM1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5" s="142"/>
      <c r="BR1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5" s="142"/>
      <c r="BW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5" s="61">
        <f>TblImps[[#This Row],[Login]]</f>
        <v>0</v>
      </c>
      <c r="BY115" s="137"/>
      <c r="BZ115" s="293">
        <f ca="1">OFFSET(TblImps[[#This Row],[Real time]],-1,0)+1/24</f>
        <v>46184.624999999731</v>
      </c>
      <c r="CA115" s="294">
        <f ca="1">OFFSET(TblImps[[#This Row],[Servertime]],-1,0)+1/24</f>
        <v>46184.624999999731</v>
      </c>
      <c r="CB115" s="57"/>
      <c r="CC115" s="292"/>
      <c r="CD115" s="292"/>
    </row>
    <row r="116" spans="1:82" x14ac:dyDescent="0.2">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46184.666666666395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Row],[P5]:[FW5]])+OFFSET(TblImps[[#This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57">
        <f ca="1">IF(OFFSET(TblMagic[[#This Row],[Active Alchemists Flame]],-1,0)&gt;0,TblConstr[[#This Row],[Tot Alc]]*alchemist_flame_invest,0)</f>
        <v>0</v>
      </c>
      <c r="BL116" s="142"/>
      <c r="BM1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6" s="142"/>
      <c r="BR1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6" s="142"/>
      <c r="BW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6" s="61">
        <f>TblImps[[#This Row],[Login]]</f>
        <v>0</v>
      </c>
      <c r="BY116" s="137"/>
      <c r="BZ116" s="293">
        <f ca="1">OFFSET(TblImps[[#This Row],[Real time]],-1,0)+1/24</f>
        <v>46184.666666666395</v>
      </c>
      <c r="CA116" s="294">
        <f ca="1">OFFSET(TblImps[[#This Row],[Servertime]],-1,0)+1/24</f>
        <v>46184.666666666395</v>
      </c>
      <c r="CB116" s="57"/>
      <c r="CC116" s="292"/>
      <c r="CD116" s="292"/>
    </row>
    <row r="117" spans="1:82" x14ac:dyDescent="0.2">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46184.708333333059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Row],[P5]:[FW5]])+OFFSET(TblImps[[#This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57">
        <f ca="1">IF(OFFSET(TblMagic[[#This Row],[Active Alchemists Flame]],-1,0)&gt;0,TblConstr[[#This Row],[Tot Alc]]*alchemist_flame_invest,0)</f>
        <v>0</v>
      </c>
      <c r="BL117" s="142"/>
      <c r="BM1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7" s="142"/>
      <c r="BR1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7" s="142"/>
      <c r="BW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7" s="61">
        <f>TblImps[[#This Row],[Login]]</f>
        <v>0</v>
      </c>
      <c r="BY117" s="137"/>
      <c r="BZ117" s="293">
        <f ca="1">OFFSET(TblImps[[#This Row],[Real time]],-1,0)+1/24</f>
        <v>46184.708333333059</v>
      </c>
      <c r="CA117" s="294">
        <f ca="1">OFFSET(TblImps[[#This Row],[Servertime]],-1,0)+1/24</f>
        <v>46184.708333333059</v>
      </c>
      <c r="CB117" s="57"/>
      <c r="CC117" s="292"/>
      <c r="CD117" s="292"/>
    </row>
    <row r="118" spans="1:82" x14ac:dyDescent="0.2">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46184.749999999724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Row],[P5]:[FW5]])+OFFSET(TblImps[[#This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57">
        <f ca="1">IF(OFFSET(TblMagic[[#This Row],[Active Alchemists Flame]],-1,0)&gt;0,TblConstr[[#This Row],[Tot Alc]]*alchemist_flame_invest,0)</f>
        <v>0</v>
      </c>
      <c r="BL118" s="142"/>
      <c r="BM1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8" s="142"/>
      <c r="BR1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8" s="142"/>
      <c r="BW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8" s="61">
        <f>TblImps[[#This Row],[Login]]</f>
        <v>0</v>
      </c>
      <c r="BY118" s="137"/>
      <c r="BZ118" s="293">
        <f ca="1">OFFSET(TblImps[[#This Row],[Real time]],-1,0)+1/24</f>
        <v>46184.749999999724</v>
      </c>
      <c r="CA118" s="294">
        <f ca="1">OFFSET(TblImps[[#This Row],[Servertime]],-1,0)+1/24</f>
        <v>46184.749999999724</v>
      </c>
      <c r="CB118" s="57"/>
      <c r="CC118" s="292"/>
      <c r="CD118" s="292"/>
    </row>
    <row r="119" spans="1:82" x14ac:dyDescent="0.2">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46184.791666666388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Row],[P5]:[FW5]])+OFFSET(TblImps[[#This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57">
        <f ca="1">IF(OFFSET(TblMagic[[#This Row],[Active Alchemists Flame]],-1,0)&gt;0,TblConstr[[#This Row],[Tot Alc]]*alchemist_flame_invest,0)</f>
        <v>0</v>
      </c>
      <c r="BL119" s="142"/>
      <c r="BM1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9" s="142"/>
      <c r="BR1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9" s="142"/>
      <c r="BW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9" s="61">
        <f>TblImps[[#This Row],[Login]]</f>
        <v>0</v>
      </c>
      <c r="BY119" s="137"/>
      <c r="BZ119" s="293">
        <f ca="1">OFFSET(TblImps[[#This Row],[Real time]],-1,0)+1/24</f>
        <v>46184.791666666388</v>
      </c>
      <c r="CA119" s="294">
        <f ca="1">OFFSET(TblImps[[#This Row],[Servertime]],-1,0)+1/24</f>
        <v>46184.791666666388</v>
      </c>
      <c r="CB119" s="57"/>
      <c r="CC119" s="292"/>
      <c r="CD119" s="292"/>
    </row>
    <row r="120" spans="1:82" x14ac:dyDescent="0.2">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46184.833333333052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Row],[P5]:[FW5]])+OFFSET(TblImps[[#This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57">
        <f ca="1">IF(OFFSET(TblMagic[[#This Row],[Active Alchemists Flame]],-1,0)&gt;0,TblConstr[[#This Row],[Tot Alc]]*alchemist_flame_invest,0)</f>
        <v>0</v>
      </c>
      <c r="BL120" s="142"/>
      <c r="BM1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0" s="142"/>
      <c r="BR1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0" s="142"/>
      <c r="BW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0" s="61">
        <f>TblImps[[#This Row],[Login]]</f>
        <v>0</v>
      </c>
      <c r="BY120" s="137"/>
      <c r="BZ120" s="293">
        <f ca="1">OFFSET(TblImps[[#This Row],[Real time]],-1,0)+1/24</f>
        <v>46184.833333333052</v>
      </c>
      <c r="CA120" s="294">
        <f ca="1">OFFSET(TblImps[[#This Row],[Servertime]],-1,0)+1/24</f>
        <v>46184.833333333052</v>
      </c>
      <c r="CB120" s="57"/>
      <c r="CC120" s="292"/>
      <c r="CD120" s="292"/>
    </row>
    <row r="121" spans="1:82" x14ac:dyDescent="0.2">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46184.874999999716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Row],[P5]:[FW5]])+OFFSET(TblImps[[#This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57">
        <f ca="1">IF(OFFSET(TblMagic[[#This Row],[Active Alchemists Flame]],-1,0)&gt;0,TblConstr[[#This Row],[Tot Alc]]*alchemist_flame_invest,0)</f>
        <v>0</v>
      </c>
      <c r="BL121" s="142"/>
      <c r="BM1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1" s="142"/>
      <c r="BR1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1" s="142"/>
      <c r="BW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1" s="61">
        <f>TblImps[[#This Row],[Login]]</f>
        <v>0</v>
      </c>
      <c r="BY121" s="137"/>
      <c r="BZ121" s="293">
        <f ca="1">OFFSET(TblImps[[#This Row],[Real time]],-1,0)+1/24</f>
        <v>46184.874999999716</v>
      </c>
      <c r="CA121" s="294">
        <f ca="1">OFFSET(TblImps[[#This Row],[Servertime]],-1,0)+1/24</f>
        <v>46184.874999999716</v>
      </c>
      <c r="CB121" s="57"/>
      <c r="CC121" s="292"/>
      <c r="CD121" s="292"/>
    </row>
    <row r="122" spans="1:82" x14ac:dyDescent="0.2">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46184.91666666638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Row],[P5]:[FW5]])+OFFSET(TblImps[[#This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57">
        <f ca="1">IF(OFFSET(TblMagic[[#This Row],[Active Alchemists Flame]],-1,0)&gt;0,TblConstr[[#This Row],[Tot Alc]]*alchemist_flame_invest,0)</f>
        <v>0</v>
      </c>
      <c r="BL122" s="142"/>
      <c r="BM1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2" s="142"/>
      <c r="BR1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2" s="142"/>
      <c r="BW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2" s="61">
        <f>TblImps[[#This Row],[Login]]</f>
        <v>0</v>
      </c>
      <c r="BY122" s="137"/>
      <c r="BZ122" s="293">
        <f ca="1">OFFSET(TblImps[[#This Row],[Real time]],-1,0)+1/24</f>
        <v>46184.91666666638</v>
      </c>
      <c r="CA122" s="294">
        <f ca="1">OFFSET(TblImps[[#This Row],[Servertime]],-1,0)+1/24</f>
        <v>46184.91666666638</v>
      </c>
      <c r="CB122" s="57"/>
      <c r="CC122" s="292"/>
      <c r="CD122" s="292"/>
    </row>
    <row r="123" spans="1:82" x14ac:dyDescent="0.2">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46184.958333333045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Row],[P5]:[FW5]])+OFFSET(TblImps[[#This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57">
        <f ca="1">IF(OFFSET(TblMagic[[#This Row],[Active Alchemists Flame]],-1,0)&gt;0,TblConstr[[#This Row],[Tot Alc]]*alchemist_flame_invest,0)</f>
        <v>0</v>
      </c>
      <c r="BL123" s="142"/>
      <c r="BM1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3" s="142"/>
      <c r="BR1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3" s="142"/>
      <c r="BW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3" s="61">
        <f>TblImps[[#This Row],[Login]]</f>
        <v>0</v>
      </c>
      <c r="BY123" s="137"/>
      <c r="BZ123" s="293">
        <f ca="1">OFFSET(TblImps[[#This Row],[Real time]],-1,0)+1/24</f>
        <v>46184.958333333045</v>
      </c>
      <c r="CA123" s="294">
        <f ca="1">OFFSET(TblImps[[#This Row],[Servertime]],-1,0)+1/24</f>
        <v>46184.958333333045</v>
      </c>
      <c r="CB123" s="57"/>
      <c r="CC123" s="292"/>
      <c r="CD123" s="292"/>
    </row>
    <row r="124" spans="1:82" x14ac:dyDescent="0.2">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46184.999999999709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Row],[P5]:[FW5]])+OFFSET(TblImps[[#This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57">
        <f ca="1">IF(OFFSET(TblMagic[[#This Row],[Active Alchemists Flame]],-1,0)&gt;0,TblConstr[[#This Row],[Tot Alc]]*alchemist_flame_invest,0)</f>
        <v>0</v>
      </c>
      <c r="BL124" s="142"/>
      <c r="BM1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4" s="142"/>
      <c r="BR1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4" s="142"/>
      <c r="BW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4" s="61">
        <f>TblImps[[#This Row],[Login]]</f>
        <v>0</v>
      </c>
      <c r="BY124" s="137"/>
      <c r="BZ124" s="293">
        <f ca="1">OFFSET(TblImps[[#This Row],[Real time]],-1,0)+1/24</f>
        <v>46184.999999999709</v>
      </c>
      <c r="CA124" s="294">
        <f ca="1">OFFSET(TblImps[[#This Row],[Servertime]],-1,0)+1/24</f>
        <v>46184.999999999709</v>
      </c>
      <c r="CB124" s="57"/>
      <c r="CC124" s="292"/>
      <c r="CD124" s="292"/>
    </row>
    <row r="125" spans="1:82" x14ac:dyDescent="0.2">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46185.041666666373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Row],[P5]:[FW5]])+OFFSET(TblImps[[#This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57">
        <f ca="1">IF(OFFSET(TblMagic[[#This Row],[Active Alchemists Flame]],-1,0)&gt;0,TblConstr[[#This Row],[Tot Alc]]*alchemist_flame_invest,0)</f>
        <v>0</v>
      </c>
      <c r="BL125" s="142"/>
      <c r="BM1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5" s="142"/>
      <c r="BR1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5" s="142"/>
      <c r="BW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5" s="61">
        <f>TblImps[[#This Row],[Login]]</f>
        <v>0</v>
      </c>
      <c r="BY125" s="137"/>
      <c r="BZ125" s="293">
        <f ca="1">OFFSET(TblImps[[#This Row],[Real time]],-1,0)+1/24</f>
        <v>46185.041666666373</v>
      </c>
      <c r="CA125" s="294">
        <f ca="1">OFFSET(TblImps[[#This Row],[Servertime]],-1,0)+1/24</f>
        <v>46185.041666666373</v>
      </c>
      <c r="CB125" s="57"/>
      <c r="CC125" s="292"/>
      <c r="CD125" s="292"/>
    </row>
    <row r="126" spans="1:82" x14ac:dyDescent="0.2">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46185.083333333037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Row],[P5]:[FW5]])+OFFSET(TblImps[[#This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57">
        <f ca="1">IF(OFFSET(TblMagic[[#This Row],[Active Alchemists Flame]],-1,0)&gt;0,TblConstr[[#This Row],[Tot Alc]]*alchemist_flame_invest,0)</f>
        <v>0</v>
      </c>
      <c r="BL126" s="142"/>
      <c r="BM1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6" s="142"/>
      <c r="BR1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6" s="142"/>
      <c r="BW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6" s="61">
        <f>TblImps[[#This Row],[Login]]</f>
        <v>0</v>
      </c>
      <c r="BY126" s="137"/>
      <c r="BZ126" s="293">
        <f ca="1">OFFSET(TblImps[[#This Row],[Real time]],-1,0)+1/24</f>
        <v>46185.083333333037</v>
      </c>
      <c r="CA126" s="294">
        <f ca="1">OFFSET(TblImps[[#This Row],[Servertime]],-1,0)+1/24</f>
        <v>46185.083333333037</v>
      </c>
      <c r="CB126" s="57"/>
      <c r="CC126" s="292"/>
      <c r="CD126" s="292"/>
    </row>
    <row r="127" spans="1:82" x14ac:dyDescent="0.2">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46185.124999999702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Row],[P5]:[FW5]])+OFFSET(TblImps[[#This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57">
        <f ca="1">IF(OFFSET(TblMagic[[#This Row],[Active Alchemists Flame]],-1,0)&gt;0,TblConstr[[#This Row],[Tot Alc]]*alchemist_flame_invest,0)</f>
        <v>0</v>
      </c>
      <c r="BL127" s="142"/>
      <c r="BM1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7" s="142"/>
      <c r="BR1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7" s="142"/>
      <c r="BW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7" s="61">
        <f>TblImps[[#This Row],[Login]]</f>
        <v>0</v>
      </c>
      <c r="BY127" s="137"/>
      <c r="BZ127" s="293">
        <f ca="1">OFFSET(TblImps[[#This Row],[Real time]],-1,0)+1/24</f>
        <v>46185.124999999702</v>
      </c>
      <c r="CA127" s="294">
        <f ca="1">OFFSET(TblImps[[#This Row],[Servertime]],-1,0)+1/24</f>
        <v>46185.124999999702</v>
      </c>
      <c r="CB127" s="57"/>
      <c r="CC127" s="292"/>
      <c r="CD127" s="292"/>
    </row>
    <row r="128" spans="1:82" x14ac:dyDescent="0.2">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46185.166666666366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Row],[P5]:[FW5]])+OFFSET(TblImps[[#This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57">
        <f ca="1">IF(OFFSET(TblMagic[[#This Row],[Active Alchemists Flame]],-1,0)&gt;0,TblConstr[[#This Row],[Tot Alc]]*alchemist_flame_invest,0)</f>
        <v>0</v>
      </c>
      <c r="BL128" s="142"/>
      <c r="BM1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8" s="142"/>
      <c r="BR1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8" s="142"/>
      <c r="BW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8" s="61">
        <f>TblImps[[#This Row],[Login]]</f>
        <v>0</v>
      </c>
      <c r="BY128" s="137"/>
      <c r="BZ128" s="293">
        <f ca="1">OFFSET(TblImps[[#This Row],[Real time]],-1,0)+1/24</f>
        <v>46185.166666666366</v>
      </c>
      <c r="CA128" s="294">
        <f ca="1">OFFSET(TblImps[[#This Row],[Servertime]],-1,0)+1/24</f>
        <v>46185.166666666366</v>
      </c>
      <c r="CB128" s="57"/>
      <c r="CC128" s="292"/>
      <c r="CD128" s="292"/>
    </row>
    <row r="129" spans="1:82" x14ac:dyDescent="0.2">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46185.20833333303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Row],[P5]:[FW5]])+OFFSET(TblImps[[#This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57">
        <f ca="1">IF(OFFSET(TblMagic[[#This Row],[Active Alchemists Flame]],-1,0)&gt;0,TblConstr[[#This Row],[Tot Alc]]*alchemist_flame_invest,0)</f>
        <v>0</v>
      </c>
      <c r="BL129" s="142"/>
      <c r="BM1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9" s="142"/>
      <c r="BR1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9" s="142"/>
      <c r="BW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9" s="61">
        <f>TblImps[[#This Row],[Login]]</f>
        <v>0</v>
      </c>
      <c r="BY129" s="137"/>
      <c r="BZ129" s="293">
        <f ca="1">OFFSET(TblImps[[#This Row],[Real time]],-1,0)+1/24</f>
        <v>46185.20833333303</v>
      </c>
      <c r="CA129" s="294">
        <f ca="1">OFFSET(TblImps[[#This Row],[Servertime]],-1,0)+1/24</f>
        <v>46185.20833333303</v>
      </c>
      <c r="CB129" s="57"/>
      <c r="CC129" s="292"/>
      <c r="CD129" s="292"/>
    </row>
    <row r="130" spans="1:82" x14ac:dyDescent="0.2">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46185.249999999694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Row],[P5]:[FW5]])+OFFSET(TblImps[[#This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57">
        <f ca="1">IF(OFFSET(TblMagic[[#This Row],[Active Alchemists Flame]],-1,0)&gt;0,TblConstr[[#This Row],[Tot Alc]]*alchemist_flame_invest,0)</f>
        <v>0</v>
      </c>
      <c r="BL130" s="142"/>
      <c r="BM1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0" s="142"/>
      <c r="BR1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0" s="142"/>
      <c r="BW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0" s="61">
        <f>TblImps[[#This Row],[Login]]</f>
        <v>0</v>
      </c>
      <c r="BY130" s="137"/>
      <c r="BZ130" s="293">
        <f ca="1">OFFSET(TblImps[[#This Row],[Real time]],-1,0)+1/24</f>
        <v>46185.249999999694</v>
      </c>
      <c r="CA130" s="294">
        <f ca="1">OFFSET(TblImps[[#This Row],[Servertime]],-1,0)+1/24</f>
        <v>46185.249999999694</v>
      </c>
      <c r="CB130" s="57"/>
      <c r="CC130" s="292"/>
      <c r="CD130" s="292"/>
    </row>
    <row r="131" spans="1:82" x14ac:dyDescent="0.2">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46185.291666666359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Row],[P5]:[FW5]])+OFFSET(TblImps[[#This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57">
        <f ca="1">IF(OFFSET(TblMagic[[#This Row],[Active Alchemists Flame]],-1,0)&gt;0,TblConstr[[#This Row],[Tot Alc]]*alchemist_flame_invest,0)</f>
        <v>0</v>
      </c>
      <c r="BL131" s="142"/>
      <c r="BM1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1" s="142"/>
      <c r="BR1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1" s="142"/>
      <c r="BW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1" s="61">
        <f>TblImps[[#This Row],[Login]]</f>
        <v>0</v>
      </c>
      <c r="BY131" s="137"/>
      <c r="BZ131" s="293">
        <f ca="1">OFFSET(TblImps[[#This Row],[Real time]],-1,0)+1/24</f>
        <v>46185.291666666359</v>
      </c>
      <c r="CA131" s="294">
        <f ca="1">OFFSET(TblImps[[#This Row],[Servertime]],-1,0)+1/24</f>
        <v>46185.291666666359</v>
      </c>
      <c r="CB131" s="57"/>
      <c r="CC131" s="292"/>
      <c r="CD131" s="292"/>
    </row>
    <row r="132" spans="1:82" x14ac:dyDescent="0.2">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46185.333333333023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Row],[P5]:[FW5]])+OFFSET(TblImps[[#This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57">
        <f ca="1">IF(OFFSET(TblMagic[[#This Row],[Active Alchemists Flame]],-1,0)&gt;0,TblConstr[[#This Row],[Tot Alc]]*alchemist_flame_invest,0)</f>
        <v>0</v>
      </c>
      <c r="BL132" s="142"/>
      <c r="BM1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2" s="142"/>
      <c r="BR1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2" s="142"/>
      <c r="BW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2" s="61">
        <f>TblImps[[#This Row],[Login]]</f>
        <v>0</v>
      </c>
      <c r="BY132" s="137"/>
      <c r="BZ132" s="293">
        <f ca="1">OFFSET(TblImps[[#This Row],[Real time]],-1,0)+1/24</f>
        <v>46185.333333333023</v>
      </c>
      <c r="CA132" s="294">
        <f ca="1">OFFSET(TblImps[[#This Row],[Servertime]],-1,0)+1/24</f>
        <v>46185.333333333023</v>
      </c>
      <c r="CB132" s="57"/>
      <c r="CC132" s="292"/>
      <c r="CD132" s="292"/>
    </row>
    <row r="133" spans="1:82" x14ac:dyDescent="0.2">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46185.374999999687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Row],[P5]:[FW5]])+OFFSET(TblImps[[#This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57">
        <f ca="1">IF(OFFSET(TblMagic[[#This Row],[Active Alchemists Flame]],-1,0)&gt;0,TblConstr[[#This Row],[Tot Alc]]*alchemist_flame_invest,0)</f>
        <v>0</v>
      </c>
      <c r="BL133" s="142"/>
      <c r="BM1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3" s="142"/>
      <c r="BR1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3" s="142"/>
      <c r="BW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3" s="61">
        <f>TblImps[[#This Row],[Login]]</f>
        <v>0</v>
      </c>
      <c r="BY133" s="137"/>
      <c r="BZ133" s="293">
        <f ca="1">OFFSET(TblImps[[#This Row],[Real time]],-1,0)+1/24</f>
        <v>46185.374999999687</v>
      </c>
      <c r="CA133" s="294">
        <f ca="1">OFFSET(TblImps[[#This Row],[Servertime]],-1,0)+1/24</f>
        <v>46185.374999999687</v>
      </c>
      <c r="CB133" s="57"/>
      <c r="CC133" s="292"/>
      <c r="CD133" s="292"/>
    </row>
    <row r="134" spans="1:82" x14ac:dyDescent="0.2">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46185.416666666351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Row],[P5]:[FW5]])+OFFSET(TblImps[[#This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57">
        <f ca="1">IF(OFFSET(TblMagic[[#This Row],[Active Alchemists Flame]],-1,0)&gt;0,TblConstr[[#This Row],[Tot Alc]]*alchemist_flame_invest,0)</f>
        <v>0</v>
      </c>
      <c r="BL134" s="142"/>
      <c r="BM1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4" s="142"/>
      <c r="BR1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4" s="142"/>
      <c r="BW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4" s="61">
        <f>TblImps[[#This Row],[Login]]</f>
        <v>0</v>
      </c>
      <c r="BY134" s="137"/>
      <c r="BZ134" s="293">
        <f ca="1">OFFSET(TblImps[[#This Row],[Real time]],-1,0)+1/24</f>
        <v>46185.416666666351</v>
      </c>
      <c r="CA134" s="294">
        <f ca="1">OFFSET(TblImps[[#This Row],[Servertime]],-1,0)+1/24</f>
        <v>46185.416666666351</v>
      </c>
      <c r="CB134" s="57"/>
      <c r="CC134" s="292"/>
      <c r="CD134" s="292"/>
    </row>
    <row r="135" spans="1:82" x14ac:dyDescent="0.2">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46185.458333333016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Row],[P5]:[FW5]])+OFFSET(TblImps[[#This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57">
        <f ca="1">IF(OFFSET(TblMagic[[#This Row],[Active Alchemists Flame]],-1,0)&gt;0,TblConstr[[#This Row],[Tot Alc]]*alchemist_flame_invest,0)</f>
        <v>0</v>
      </c>
      <c r="BL135" s="142"/>
      <c r="BM1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5" s="142"/>
      <c r="BR1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5" s="142"/>
      <c r="BW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5" s="61">
        <f>TblImps[[#This Row],[Login]]</f>
        <v>0</v>
      </c>
      <c r="BY135" s="137"/>
      <c r="BZ135" s="293">
        <f ca="1">OFFSET(TblImps[[#This Row],[Real time]],-1,0)+1/24</f>
        <v>46185.458333333016</v>
      </c>
      <c r="CA135" s="294">
        <f ca="1">OFFSET(TblImps[[#This Row],[Servertime]],-1,0)+1/24</f>
        <v>46185.458333333016</v>
      </c>
      <c r="CB135" s="57"/>
      <c r="CC135" s="292"/>
      <c r="CD135" s="292"/>
    </row>
    <row r="136" spans="1:82" x14ac:dyDescent="0.2">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46185.49999999968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Row],[P5]:[FW5]])+OFFSET(TblImps[[#This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57">
        <f ca="1">IF(OFFSET(TblMagic[[#This Row],[Active Alchemists Flame]],-1,0)&gt;0,TblConstr[[#This Row],[Tot Alc]]*alchemist_flame_invest,0)</f>
        <v>0</v>
      </c>
      <c r="BL136" s="142"/>
      <c r="BM1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6" s="142"/>
      <c r="BR1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6" s="142"/>
      <c r="BW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6" s="61">
        <f>TblImps[[#This Row],[Login]]</f>
        <v>0</v>
      </c>
      <c r="BY136" s="137"/>
      <c r="BZ136" s="293">
        <f ca="1">OFFSET(TblImps[[#This Row],[Real time]],-1,0)+1/24</f>
        <v>46185.49999999968</v>
      </c>
      <c r="CA136" s="294">
        <f ca="1">OFFSET(TblImps[[#This Row],[Servertime]],-1,0)+1/24</f>
        <v>46185.49999999968</v>
      </c>
      <c r="CB136" s="57"/>
      <c r="CC136" s="292"/>
      <c r="CD136" s="292"/>
    </row>
    <row r="1269" spans="2:23" x14ac:dyDescent="0.2">
      <c r="B1269" s="531" t="s">
        <v>314</v>
      </c>
      <c r="C1269" s="487"/>
      <c r="W1269" s="134"/>
    </row>
    <row r="1270" spans="2:23" x14ac:dyDescent="0.2">
      <c r="B1270" s="28">
        <f>Overview!E17</f>
        <v>0</v>
      </c>
      <c r="C1270" s="28"/>
      <c r="W1270" s="134"/>
    </row>
  </sheetData>
  <mergeCells count="9">
    <mergeCell ref="BB1:BE1"/>
    <mergeCell ref="BG1:BI1"/>
    <mergeCell ref="BM1:BO1"/>
    <mergeCell ref="BR1:BT1"/>
    <mergeCell ref="B1269:C1269"/>
    <mergeCell ref="AR1:AT1"/>
    <mergeCell ref="AW1:AY1"/>
    <mergeCell ref="AM1:AN1"/>
    <mergeCell ref="AF1:AG1"/>
  </mergeCells>
  <phoneticPr fontId="0" type="noConversion"/>
  <conditionalFormatting sqref="IW29207:IW65010 CE1271:IW60115 A1271:CD60158 A137:XFD1268">
    <cfRule type="expression" dxfId="134" priority="8" stopIfTrue="1">
      <formula>ROW()-2=#REF!</formula>
    </cfRule>
  </conditionalFormatting>
  <conditionalFormatting sqref="A1269:CD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W76">
    <cfRule type="expression" dxfId="131" priority="20" stopIfTrue="1">
      <formula>ISERROR(BW76)</formula>
    </cfRule>
  </conditionalFormatting>
  <conditionalFormatting sqref="A4:CA136">
    <cfRule type="expression" dxfId="130" priority="1" stopIfTrue="1">
      <formula>ROW()-3=$B$1270</formula>
    </cfRule>
    <cfRule type="expression" dxfId="129" priority="2" stopIfTrue="1">
      <formula>OR(ROW()-3=$B$1270,A4&lt;0)</formula>
    </cfRule>
    <cfRule type="expression" dxfId="128" priority="7">
      <formula>$K4=49</formula>
    </cfRule>
    <cfRule type="expression" dxfId="127" priority="12">
      <formula>ROUND(($K4-1)/12,0)=INT($K4-1)/12</formula>
    </cfRule>
  </conditionalFormatting>
  <conditionalFormatting sqref="BW4:BW136">
    <cfRule type="expression" dxfId="126" priority="15" stopIfTrue="1">
      <formula>AND(ROW()-3=$B$1270,ISERROR(BW4))</formula>
    </cfRule>
    <cfRule type="expression" dxfId="125" priority="17" stopIfTrue="1">
      <formula>ISERROR(BW4)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991</v>
      </c>
      <c r="D2" s="41" t="s">
        <v>924</v>
      </c>
      <c r="E2" s="41" t="s">
        <v>993</v>
      </c>
    </row>
    <row r="3" spans="2:5" ht="15.75" x14ac:dyDescent="0.25">
      <c r="B3" s="40" t="s">
        <v>970</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971</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973</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972</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974</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975</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976</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977</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978</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979</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980</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981</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982</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983</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984</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985</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986</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987</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988</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989</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990</v>
      </c>
      <c r="C23" s="40" t="s">
        <v>992</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969</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6"/>
  <sheetViews>
    <sheetView topLeftCell="A23" zoomScale="70" zoomScaleNormal="70" workbookViewId="0">
      <selection activeCell="F89" sqref="F89"/>
    </sheetView>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2.75</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1055</v>
      </c>
      <c r="B23" s="306"/>
      <c r="C23" s="45" t="s">
        <v>1056</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1073</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623</v>
      </c>
      <c r="U66" s="156"/>
    </row>
    <row r="67" spans="1:21" x14ac:dyDescent="0.2">
      <c r="A67" s="303" t="s">
        <v>347</v>
      </c>
      <c r="B67" s="45">
        <v>15</v>
      </c>
      <c r="C67" s="45" t="s">
        <v>268</v>
      </c>
      <c r="L67" s="108" t="s">
        <v>536</v>
      </c>
      <c r="M67" s="407">
        <v>2.5000000000000001E-2</v>
      </c>
      <c r="N67" s="45" t="s">
        <v>628</v>
      </c>
      <c r="S67" s="45" t="s">
        <v>676</v>
      </c>
      <c r="U67" s="156"/>
    </row>
    <row r="68" spans="1:21" x14ac:dyDescent="0.2">
      <c r="A68" s="303" t="s">
        <v>169</v>
      </c>
      <c r="B68" s="45">
        <v>15</v>
      </c>
      <c r="C68" s="45" t="str">
        <f>C65</f>
        <v>peasants</v>
      </c>
      <c r="L68" s="108" t="s">
        <v>538</v>
      </c>
      <c r="M68" s="407">
        <v>0.05</v>
      </c>
      <c r="N68" s="45" t="s">
        <v>629</v>
      </c>
      <c r="S68" s="45" t="s">
        <v>677</v>
      </c>
    </row>
    <row r="69" spans="1:21" x14ac:dyDescent="0.2">
      <c r="A69" s="303" t="s">
        <v>269</v>
      </c>
      <c r="B69" s="45">
        <f>IF(race="Nomad",25,5)</f>
        <v>5</v>
      </c>
      <c r="L69" s="45" t="s">
        <v>539</v>
      </c>
      <c r="M69" s="2">
        <v>0.05</v>
      </c>
      <c r="N69" s="45" t="s">
        <v>630</v>
      </c>
      <c r="S69" s="45" t="s">
        <v>678</v>
      </c>
    </row>
    <row r="70" spans="1:21" x14ac:dyDescent="0.2">
      <c r="L70" s="45" t="s">
        <v>541</v>
      </c>
      <c r="M70" s="407">
        <v>7.4999999999999997E-2</v>
      </c>
      <c r="N70" s="45" t="s">
        <v>628</v>
      </c>
      <c r="S70" s="45" t="s">
        <v>679</v>
      </c>
      <c r="T70" s="108"/>
      <c r="U70" s="157"/>
    </row>
    <row r="71" spans="1:21" x14ac:dyDescent="0.2">
      <c r="A71" s="317" t="s">
        <v>270</v>
      </c>
      <c r="L71" s="45" t="s">
        <v>542</v>
      </c>
      <c r="M71" s="407">
        <v>0.02</v>
      </c>
      <c r="N71" s="45" t="s">
        <v>631</v>
      </c>
      <c r="S71" s="45" t="s">
        <v>680</v>
      </c>
      <c r="U71" s="157"/>
    </row>
    <row r="72" spans="1:21" x14ac:dyDescent="0.2">
      <c r="A72" s="303" t="str">
        <f>CONCATENATE("Your race is ",Overview!B14)</f>
        <v>Your race is Human</v>
      </c>
      <c r="L72" s="45" t="s">
        <v>543</v>
      </c>
      <c r="M72" s="2">
        <v>0.05</v>
      </c>
      <c r="N72" s="45" t="s">
        <v>665</v>
      </c>
      <c r="S72" s="108" t="s">
        <v>691</v>
      </c>
      <c r="T72" s="108"/>
      <c r="U72" s="156"/>
    </row>
    <row r="73" spans="1:21" x14ac:dyDescent="0.2">
      <c r="L73" s="45" t="s">
        <v>544</v>
      </c>
      <c r="M73" s="2">
        <v>0.1</v>
      </c>
      <c r="N73" s="45" t="s">
        <v>743</v>
      </c>
      <c r="S73" s="108" t="s">
        <v>719</v>
      </c>
      <c r="T73" s="108"/>
      <c r="U73" s="156"/>
    </row>
    <row r="74" spans="1:21" x14ac:dyDescent="0.2">
      <c r="A74" s="302" t="s">
        <v>201</v>
      </c>
      <c r="B74" s="45" t="s">
        <v>271</v>
      </c>
      <c r="F74" s="45" t="s">
        <v>206</v>
      </c>
      <c r="L74" s="45" t="s">
        <v>545</v>
      </c>
      <c r="M74" s="2">
        <v>-0.1</v>
      </c>
      <c r="N74" s="45" t="s">
        <v>663</v>
      </c>
      <c r="O74" s="45" t="s">
        <v>634</v>
      </c>
      <c r="S74" s="108" t="s">
        <v>683</v>
      </c>
      <c r="T74" s="108"/>
      <c r="U74" s="156"/>
    </row>
    <row r="75" spans="1:21" x14ac:dyDescent="0.2">
      <c r="A75" s="303" t="s">
        <v>196</v>
      </c>
      <c r="B75" s="45">
        <v>2</v>
      </c>
      <c r="C75" s="45" t="s">
        <v>202</v>
      </c>
      <c r="D75" s="316"/>
      <c r="F75" s="316">
        <v>0.1</v>
      </c>
      <c r="G75" s="45" t="s">
        <v>107</v>
      </c>
      <c r="L75" s="45" t="s">
        <v>546</v>
      </c>
      <c r="M75" s="2">
        <v>-0.05</v>
      </c>
      <c r="N75" s="45" t="s">
        <v>670</v>
      </c>
      <c r="O75" s="156">
        <v>-0.15</v>
      </c>
      <c r="P75" s="45" t="s">
        <v>648</v>
      </c>
      <c r="S75" s="108" t="s">
        <v>701</v>
      </c>
      <c r="T75" s="108"/>
      <c r="U75" s="157"/>
    </row>
    <row r="76" spans="1:21" x14ac:dyDescent="0.2">
      <c r="A76" s="303" t="s">
        <v>197</v>
      </c>
      <c r="B76" s="45">
        <v>2</v>
      </c>
      <c r="C76" s="45" t="s">
        <v>202</v>
      </c>
      <c r="D76" s="316"/>
      <c r="F76" s="316">
        <v>0.1</v>
      </c>
      <c r="G76" s="45" t="s">
        <v>110</v>
      </c>
      <c r="L76" s="45" t="s">
        <v>548</v>
      </c>
      <c r="M76" s="407">
        <v>-2.5000000000000001E-2</v>
      </c>
      <c r="N76" s="45" t="s">
        <v>635</v>
      </c>
      <c r="S76" s="108" t="s">
        <v>684</v>
      </c>
      <c r="T76" s="108"/>
      <c r="U76" s="156"/>
    </row>
    <row r="77" spans="1:21" x14ac:dyDescent="0.2">
      <c r="A77" s="303" t="s">
        <v>203</v>
      </c>
      <c r="B77" s="45">
        <v>2.5</v>
      </c>
      <c r="C77" s="45" t="s">
        <v>202</v>
      </c>
      <c r="D77" s="316"/>
      <c r="F77" s="316">
        <v>0.1</v>
      </c>
      <c r="G77" s="45" t="s">
        <v>32</v>
      </c>
      <c r="L77" s="45" t="s">
        <v>550</v>
      </c>
      <c r="M77" s="2">
        <v>-0.1</v>
      </c>
      <c r="N77" s="45" t="s">
        <v>744</v>
      </c>
      <c r="S77" s="108" t="s">
        <v>1048</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551</v>
      </c>
      <c r="M79" s="407">
        <v>-0.1</v>
      </c>
      <c r="N79" s="45" t="s">
        <v>637</v>
      </c>
      <c r="S79" s="108" t="s">
        <v>686</v>
      </c>
      <c r="T79" s="108"/>
      <c r="U79" s="157"/>
    </row>
    <row r="80" spans="1:21" x14ac:dyDescent="0.2">
      <c r="A80" s="303" t="s">
        <v>528</v>
      </c>
      <c r="B80" s="45">
        <v>5</v>
      </c>
      <c r="C80" s="45" t="s">
        <v>202</v>
      </c>
      <c r="D80" s="316"/>
      <c r="F80" s="316">
        <v>0.2</v>
      </c>
      <c r="G80" s="45" t="s">
        <v>110</v>
      </c>
      <c r="H80" s="45" t="s">
        <v>246</v>
      </c>
      <c r="L80" s="45" t="s">
        <v>552</v>
      </c>
      <c r="M80" s="2">
        <v>0.15</v>
      </c>
      <c r="N80" s="45" t="s">
        <v>638</v>
      </c>
      <c r="S80" s="108" t="s">
        <v>687</v>
      </c>
      <c r="T80" s="108"/>
      <c r="U80" s="156"/>
    </row>
    <row r="81" spans="1:23" x14ac:dyDescent="0.2">
      <c r="A81" s="303" t="s">
        <v>529</v>
      </c>
      <c r="B81" s="45">
        <v>5</v>
      </c>
      <c r="C81" s="45" t="s">
        <v>202</v>
      </c>
      <c r="D81" s="316"/>
      <c r="F81" s="316">
        <v>0.3</v>
      </c>
      <c r="G81" s="45" t="s">
        <v>530</v>
      </c>
      <c r="L81" s="45" t="s">
        <v>553</v>
      </c>
      <c r="M81" s="2">
        <v>-0.1</v>
      </c>
      <c r="N81" s="45" t="s">
        <v>639</v>
      </c>
      <c r="S81" s="108" t="s">
        <v>688</v>
      </c>
      <c r="T81" s="108"/>
      <c r="U81" s="156"/>
    </row>
    <row r="82" spans="1:23" x14ac:dyDescent="0.2">
      <c r="A82" s="303" t="s">
        <v>261</v>
      </c>
      <c r="B82" s="45">
        <f>B80</f>
        <v>5</v>
      </c>
      <c r="C82" s="45" t="str">
        <f>C80</f>
        <v>* Landsize</v>
      </c>
      <c r="D82" s="156"/>
      <c r="F82" s="316">
        <v>0</v>
      </c>
      <c r="G82" s="45" t="s">
        <v>32</v>
      </c>
      <c r="H82" s="45" t="s">
        <v>258</v>
      </c>
      <c r="L82" s="45" t="s">
        <v>555</v>
      </c>
      <c r="M82" s="2">
        <v>-0.2</v>
      </c>
      <c r="N82" s="45" t="s">
        <v>640</v>
      </c>
      <c r="O82" s="164">
        <v>0.1</v>
      </c>
      <c r="P82" s="5" t="s">
        <v>1081</v>
      </c>
      <c r="S82" s="108" t="s">
        <v>689</v>
      </c>
      <c r="T82" s="108"/>
      <c r="U82" s="156"/>
    </row>
    <row r="83" spans="1:23" x14ac:dyDescent="0.2">
      <c r="A83" s="303" t="s">
        <v>260</v>
      </c>
      <c r="B83" s="45">
        <f>B80</f>
        <v>5</v>
      </c>
      <c r="C83" s="45" t="str">
        <f>C80</f>
        <v>* Landsize</v>
      </c>
      <c r="D83" s="156"/>
      <c r="F83" s="316">
        <v>0.1</v>
      </c>
      <c r="G83" s="45" t="s">
        <v>31</v>
      </c>
      <c r="L83" s="45" t="s">
        <v>556</v>
      </c>
      <c r="M83" s="2">
        <v>0.01</v>
      </c>
      <c r="N83" s="45" t="s">
        <v>641</v>
      </c>
      <c r="O83" s="45" t="s">
        <v>634</v>
      </c>
      <c r="S83" s="108" t="s">
        <v>690</v>
      </c>
      <c r="T83" s="108"/>
      <c r="U83" s="156"/>
    </row>
    <row r="84" spans="1:23" x14ac:dyDescent="0.2">
      <c r="A84" s="303" t="s">
        <v>297</v>
      </c>
      <c r="B84" s="45">
        <v>5</v>
      </c>
      <c r="C84" s="45" t="str">
        <f t="shared" ref="C84:C87" si="0">C83</f>
        <v>* Landsize</v>
      </c>
      <c r="D84" s="156"/>
      <c r="F84" s="156">
        <v>0.2</v>
      </c>
      <c r="G84" s="45" t="s">
        <v>107</v>
      </c>
      <c r="H84" s="156">
        <v>0.1</v>
      </c>
      <c r="I84" s="45" t="s">
        <v>108</v>
      </c>
      <c r="L84" s="45" t="s">
        <v>557</v>
      </c>
      <c r="M84" s="419">
        <f>-2.5%/explore_tech_divisor</f>
        <v>-2.5000000000000001E-2</v>
      </c>
      <c r="N84" s="45" t="s">
        <v>633</v>
      </c>
      <c r="O84" s="157">
        <v>-0.05</v>
      </c>
      <c r="P84" s="45" t="s">
        <v>745</v>
      </c>
      <c r="S84" s="108" t="s">
        <v>682</v>
      </c>
      <c r="T84" s="108"/>
    </row>
    <row r="85" spans="1:23" x14ac:dyDescent="0.2">
      <c r="A85" s="303" t="s">
        <v>334</v>
      </c>
      <c r="B85" s="45">
        <f>B84</f>
        <v>5</v>
      </c>
      <c r="C85" s="45" t="str">
        <f t="shared" si="0"/>
        <v>* Landsize</v>
      </c>
      <c r="D85" s="156"/>
      <c r="F85" s="156">
        <v>0.1</v>
      </c>
      <c r="G85" s="45" t="s">
        <v>31</v>
      </c>
      <c r="H85" s="156">
        <v>0.1</v>
      </c>
      <c r="I85" s="45" t="s">
        <v>32</v>
      </c>
      <c r="L85" s="45" t="s">
        <v>559</v>
      </c>
      <c r="M85">
        <v>1.25</v>
      </c>
      <c r="N85" s="45" t="s">
        <v>667</v>
      </c>
      <c r="S85" s="108" t="s">
        <v>708</v>
      </c>
      <c r="T85" s="108"/>
      <c r="U85" s="157"/>
    </row>
    <row r="86" spans="1:23" x14ac:dyDescent="0.2">
      <c r="A86" s="303" t="s">
        <v>333</v>
      </c>
      <c r="B86" s="45">
        <f>B85</f>
        <v>5</v>
      </c>
      <c r="C86" s="45" t="str">
        <f t="shared" si="0"/>
        <v>* Landsize</v>
      </c>
      <c r="D86" s="156"/>
      <c r="F86" s="156">
        <v>0.15</v>
      </c>
      <c r="G86" s="45" t="s">
        <v>32</v>
      </c>
      <c r="H86" s="156" t="s">
        <v>335</v>
      </c>
      <c r="L86" s="45" t="s">
        <v>561</v>
      </c>
      <c r="M86" s="2">
        <v>-0.15</v>
      </c>
      <c r="N86" s="45" t="s">
        <v>637</v>
      </c>
      <c r="S86" s="108" t="s">
        <v>693</v>
      </c>
      <c r="T86" s="108"/>
      <c r="U86" s="156"/>
    </row>
    <row r="87" spans="1:23" x14ac:dyDescent="0.2">
      <c r="A87" s="303" t="s">
        <v>340</v>
      </c>
      <c r="B87" s="45">
        <v>5</v>
      </c>
      <c r="C87" s="318" t="str">
        <f t="shared" si="0"/>
        <v>* Landsize</v>
      </c>
      <c r="D87" s="156"/>
      <c r="F87" s="247">
        <v>12</v>
      </c>
      <c r="G87" s="45" t="s">
        <v>341</v>
      </c>
      <c r="H87" s="156"/>
      <c r="L87" s="45" t="s">
        <v>562</v>
      </c>
      <c r="M87" s="165">
        <f>-2.5%/explore_tech_divisor</f>
        <v>-2.5000000000000001E-2</v>
      </c>
      <c r="N87" s="45" t="s">
        <v>633</v>
      </c>
      <c r="O87" s="45">
        <v>-1</v>
      </c>
      <c r="P87" s="45" t="s">
        <v>664</v>
      </c>
      <c r="S87" s="108" t="s">
        <v>694</v>
      </c>
      <c r="T87" s="108"/>
      <c r="U87" s="156"/>
    </row>
    <row r="88" spans="1:23" x14ac:dyDescent="0.2">
      <c r="F88" s="45">
        <v>25</v>
      </c>
      <c r="G88" s="45" t="s">
        <v>1168</v>
      </c>
      <c r="L88" s="45" t="s">
        <v>563</v>
      </c>
      <c r="M88" s="407">
        <v>-2.5000000000000001E-2</v>
      </c>
      <c r="N88" s="45" t="s">
        <v>639</v>
      </c>
      <c r="S88" s="108" t="s">
        <v>695</v>
      </c>
      <c r="T88" s="108"/>
      <c r="U88" s="157"/>
    </row>
    <row r="89" spans="1:23" x14ac:dyDescent="0.2">
      <c r="A89" s="303" t="s">
        <v>424</v>
      </c>
      <c r="B89" s="45">
        <v>5</v>
      </c>
      <c r="C89" s="45" t="str">
        <f>C87</f>
        <v>* Landsize</v>
      </c>
      <c r="D89" s="156"/>
      <c r="F89" s="118">
        <v>0.05</v>
      </c>
      <c r="G89" s="45" t="s">
        <v>31</v>
      </c>
      <c r="M89"/>
      <c r="S89" s="108"/>
      <c r="T89" s="108"/>
    </row>
    <row r="90" spans="1:23" x14ac:dyDescent="0.2">
      <c r="A90" s="303" t="s">
        <v>1063</v>
      </c>
      <c r="B90" s="45">
        <v>5</v>
      </c>
      <c r="C90" s="45" t="str">
        <f>C89</f>
        <v>* Landsize</v>
      </c>
      <c r="D90" s="118">
        <v>0.01</v>
      </c>
      <c r="E90" s="45" t="s">
        <v>357</v>
      </c>
      <c r="F90" s="156">
        <v>0.1</v>
      </c>
      <c r="G90" s="45" t="s">
        <v>1065</v>
      </c>
      <c r="L90" s="45" t="s">
        <v>565</v>
      </c>
      <c r="M90" s="2">
        <v>0.05</v>
      </c>
      <c r="N90" s="45" t="s">
        <v>642</v>
      </c>
      <c r="S90" s="108" t="s">
        <v>696</v>
      </c>
      <c r="T90" s="108"/>
    </row>
    <row r="91" spans="1:23" x14ac:dyDescent="0.2">
      <c r="A91" s="303" t="s">
        <v>1070</v>
      </c>
      <c r="B91" s="45">
        <v>5</v>
      </c>
      <c r="C91" s="45" t="str">
        <f>C90</f>
        <v>* Landsize</v>
      </c>
      <c r="F91" s="156">
        <v>0.15</v>
      </c>
      <c r="G91" s="45" t="s">
        <v>106</v>
      </c>
      <c r="L91" s="45" t="s">
        <v>567</v>
      </c>
      <c r="M91" s="407">
        <v>2.5000000000000001E-2</v>
      </c>
      <c r="N91" s="45" t="s">
        <v>644</v>
      </c>
      <c r="S91" s="108" t="s">
        <v>697</v>
      </c>
      <c r="T91" s="108"/>
      <c r="U91" s="157"/>
    </row>
    <row r="92" spans="1:23" x14ac:dyDescent="0.2">
      <c r="A92" s="303" t="s">
        <v>1127</v>
      </c>
      <c r="B92" s="45">
        <v>5</v>
      </c>
      <c r="C92" s="45" t="str">
        <f>C91</f>
        <v>* Landsize</v>
      </c>
      <c r="F92" s="156">
        <v>-0.05</v>
      </c>
      <c r="G92" s="45" t="s">
        <v>106</v>
      </c>
      <c r="L92" s="45" t="s">
        <v>569</v>
      </c>
      <c r="M92" s="407">
        <v>7.4999999999999997E-2</v>
      </c>
      <c r="N92" s="45" t="s">
        <v>645</v>
      </c>
      <c r="O92" s="118">
        <v>0.25</v>
      </c>
      <c r="P92" s="45" t="s">
        <v>646</v>
      </c>
      <c r="S92" s="108" t="s">
        <v>698</v>
      </c>
      <c r="T92" s="108"/>
      <c r="U92" s="157"/>
      <c r="W92" s="156"/>
    </row>
    <row r="93" spans="1:23" x14ac:dyDescent="0.2">
      <c r="F93" s="156">
        <v>0</v>
      </c>
      <c r="G93" s="45" t="s">
        <v>1128</v>
      </c>
      <c r="L93" s="45" t="s">
        <v>570</v>
      </c>
      <c r="M93" s="407">
        <v>0.1</v>
      </c>
      <c r="N93" s="45" t="s">
        <v>629</v>
      </c>
      <c r="O93" s="156">
        <v>0.05</v>
      </c>
      <c r="P93" s="45" t="s">
        <v>647</v>
      </c>
      <c r="S93" s="108" t="s">
        <v>699</v>
      </c>
      <c r="T93" s="108"/>
      <c r="U93" s="157"/>
      <c r="W93" s="156"/>
    </row>
    <row r="94" spans="1:23" x14ac:dyDescent="0.2">
      <c r="F94" s="45">
        <v>0.5</v>
      </c>
      <c r="G94" s="45" t="s">
        <v>1129</v>
      </c>
      <c r="L94" s="45" t="s">
        <v>571</v>
      </c>
      <c r="M94" s="407">
        <v>-1.7500000000000002E-2</v>
      </c>
      <c r="N94" s="45" t="s">
        <v>632</v>
      </c>
      <c r="S94" s="108" t="s">
        <v>681</v>
      </c>
      <c r="T94" s="108"/>
    </row>
    <row r="95" spans="1:23" x14ac:dyDescent="0.2">
      <c r="L95" s="45" t="s">
        <v>572</v>
      </c>
      <c r="M95" s="407">
        <v>1.4999999999999999E-2</v>
      </c>
      <c r="N95" s="45" t="s">
        <v>643</v>
      </c>
      <c r="S95" s="108" t="s">
        <v>692</v>
      </c>
      <c r="T95" s="108"/>
      <c r="U95" s="156"/>
    </row>
    <row r="96" spans="1:23" x14ac:dyDescent="0.2">
      <c r="A96" s="302" t="s">
        <v>82</v>
      </c>
      <c r="L96" s="45" t="s">
        <v>573</v>
      </c>
      <c r="M96" s="165">
        <f>-7.5%/explore_tech_divisor</f>
        <v>-7.4999999999999997E-2</v>
      </c>
      <c r="N96" s="45" t="s">
        <v>633</v>
      </c>
      <c r="O96" s="45">
        <v>-2</v>
      </c>
      <c r="P96" s="45" t="s">
        <v>664</v>
      </c>
      <c r="S96" s="108" t="s">
        <v>700</v>
      </c>
      <c r="T96" s="108"/>
      <c r="U96" s="157"/>
    </row>
    <row r="97" spans="1:23" x14ac:dyDescent="0.2">
      <c r="A97" s="303" t="s">
        <v>267</v>
      </c>
      <c r="B97" s="45">
        <f>30 + IF(race="Kobold",10,0) + IF(race="Nox",5,0) + IF(race="Halfling",5,0) + IF(race="Undead",20,0)</f>
        <v>30</v>
      </c>
      <c r="C97" s="45" t="s">
        <v>239</v>
      </c>
      <c r="L97" s="45" t="s">
        <v>574</v>
      </c>
      <c r="M97" s="2">
        <v>0.15</v>
      </c>
      <c r="N97" s="45" t="s">
        <v>1114</v>
      </c>
      <c r="S97" s="108" t="s">
        <v>1112</v>
      </c>
      <c r="T97" s="108"/>
      <c r="U97" s="156"/>
    </row>
    <row r="98" spans="1:23" x14ac:dyDescent="0.2">
      <c r="L98" s="45" t="s">
        <v>575</v>
      </c>
      <c r="M98" s="2">
        <v>-0.1</v>
      </c>
      <c r="N98" s="45" t="s">
        <v>636</v>
      </c>
      <c r="S98" s="108" t="s">
        <v>685</v>
      </c>
      <c r="T98" s="108"/>
      <c r="U98" s="156"/>
      <c r="W98" s="156"/>
    </row>
    <row r="99" spans="1:23" x14ac:dyDescent="0.2">
      <c r="A99" s="302" t="s">
        <v>350</v>
      </c>
      <c r="M99"/>
      <c r="S99" s="108"/>
      <c r="T99" s="108"/>
    </row>
    <row r="100" spans="1:23" x14ac:dyDescent="0.2">
      <c r="A100" s="303" t="s">
        <v>502</v>
      </c>
      <c r="B100" s="45">
        <v>250</v>
      </c>
      <c r="L100" s="45" t="s">
        <v>576</v>
      </c>
      <c r="M100" s="407">
        <v>0.125</v>
      </c>
      <c r="N100" s="45" t="s">
        <v>649</v>
      </c>
      <c r="S100" s="108" t="s">
        <v>702</v>
      </c>
      <c r="T100" s="108"/>
      <c r="U100" s="157"/>
    </row>
    <row r="101" spans="1:23" x14ac:dyDescent="0.2">
      <c r="A101" s="303" t="s">
        <v>503</v>
      </c>
      <c r="B101" s="156">
        <v>0.01</v>
      </c>
      <c r="L101" s="45" t="s">
        <v>577</v>
      </c>
      <c r="M101"/>
      <c r="N101" s="45" t="s">
        <v>624</v>
      </c>
      <c r="S101" s="108" t="s">
        <v>703</v>
      </c>
      <c r="T101" s="108"/>
    </row>
    <row r="102" spans="1:23" x14ac:dyDescent="0.2">
      <c r="A102" s="303" t="s">
        <v>504</v>
      </c>
      <c r="B102" s="156">
        <v>0.01</v>
      </c>
      <c r="L102" s="45" t="s">
        <v>578</v>
      </c>
      <c r="M102" s="407">
        <v>2.5000000000000001E-2</v>
      </c>
      <c r="N102" s="45" t="s">
        <v>644</v>
      </c>
      <c r="O102" s="157">
        <v>7.4999999999999997E-2</v>
      </c>
      <c r="P102" s="45" t="s">
        <v>642</v>
      </c>
      <c r="S102" s="108" t="s">
        <v>704</v>
      </c>
      <c r="T102" s="108"/>
      <c r="U102" s="157"/>
      <c r="W102" s="157"/>
    </row>
    <row r="103" spans="1:23" x14ac:dyDescent="0.2">
      <c r="A103" s="303" t="s">
        <v>505</v>
      </c>
      <c r="B103" s="156">
        <v>0.01</v>
      </c>
      <c r="L103" s="45" t="s">
        <v>579</v>
      </c>
      <c r="M103" s="2">
        <v>0.04</v>
      </c>
      <c r="N103" s="45" t="s">
        <v>631</v>
      </c>
      <c r="S103" s="108" t="s">
        <v>705</v>
      </c>
      <c r="T103" s="108"/>
      <c r="U103" s="156"/>
    </row>
    <row r="104" spans="1:23" x14ac:dyDescent="0.2">
      <c r="L104" s="45" t="s">
        <v>580</v>
      </c>
      <c r="M104">
        <v>2</v>
      </c>
      <c r="N104" s="45" t="s">
        <v>1080</v>
      </c>
      <c r="S104" s="108" t="s">
        <v>1047</v>
      </c>
      <c r="T104" s="108"/>
      <c r="U104" s="156"/>
    </row>
    <row r="105" spans="1:23" x14ac:dyDescent="0.2">
      <c r="A105" s="302" t="s">
        <v>455</v>
      </c>
      <c r="L105" s="45" t="s">
        <v>581</v>
      </c>
      <c r="M105" s="407">
        <v>-0.1</v>
      </c>
      <c r="N105" s="45" t="s">
        <v>639</v>
      </c>
      <c r="S105" s="108" t="s">
        <v>707</v>
      </c>
      <c r="T105" s="108"/>
      <c r="U105" s="156"/>
    </row>
    <row r="106" spans="1:23" x14ac:dyDescent="0.2">
      <c r="L106" s="45" t="s">
        <v>583</v>
      </c>
      <c r="M106">
        <v>-1</v>
      </c>
      <c r="N106" s="45" t="s">
        <v>746</v>
      </c>
      <c r="S106" s="108" t="s">
        <v>1049</v>
      </c>
      <c r="T106" s="108"/>
      <c r="U106" s="157"/>
    </row>
    <row r="107" spans="1:23" x14ac:dyDescent="0.2">
      <c r="A107" s="303" t="s">
        <v>456</v>
      </c>
      <c r="B107" s="45" t="s">
        <v>210</v>
      </c>
      <c r="D107" s="316">
        <v>0.25</v>
      </c>
      <c r="E107" s="45" t="s">
        <v>435</v>
      </c>
      <c r="L107" s="45" t="s">
        <v>584</v>
      </c>
      <c r="M107" s="2">
        <v>-0.2</v>
      </c>
      <c r="N107" s="45" t="s">
        <v>650</v>
      </c>
      <c r="S107" s="108" t="s">
        <v>706</v>
      </c>
      <c r="T107" s="108"/>
    </row>
    <row r="108" spans="1:23" x14ac:dyDescent="0.2">
      <c r="B108" s="45" t="s">
        <v>208</v>
      </c>
      <c r="D108" s="316">
        <v>0.2</v>
      </c>
      <c r="E108" s="45" t="s">
        <v>435</v>
      </c>
      <c r="M108"/>
    </row>
    <row r="109" spans="1:23" x14ac:dyDescent="0.2">
      <c r="B109" s="45" t="s">
        <v>457</v>
      </c>
      <c r="D109" s="316">
        <v>0.3</v>
      </c>
      <c r="E109" s="45" t="s">
        <v>435</v>
      </c>
      <c r="L109" s="45" t="s">
        <v>585</v>
      </c>
      <c r="M109" s="407">
        <v>2.5000000000000001E-2</v>
      </c>
      <c r="N109" s="45" t="s">
        <v>1053</v>
      </c>
      <c r="O109" s="45" t="s">
        <v>652</v>
      </c>
      <c r="S109" s="108" t="s">
        <v>710</v>
      </c>
      <c r="T109" s="108"/>
      <c r="U109" s="156"/>
      <c r="W109" s="156"/>
    </row>
    <row r="110" spans="1:23" x14ac:dyDescent="0.2">
      <c r="B110" s="45" t="s">
        <v>458</v>
      </c>
      <c r="D110" s="316">
        <v>0.6</v>
      </c>
      <c r="E110" s="45" t="s">
        <v>435</v>
      </c>
      <c r="L110" s="45" t="s">
        <v>586</v>
      </c>
      <c r="M110" s="2">
        <v>-0.2</v>
      </c>
      <c r="N110" s="45" t="s">
        <v>668</v>
      </c>
      <c r="O110" s="156">
        <v>-0.2</v>
      </c>
      <c r="P110" s="45" t="s">
        <v>651</v>
      </c>
      <c r="Q110" s="5"/>
      <c r="R110" s="5"/>
      <c r="S110" s="108" t="s">
        <v>709</v>
      </c>
      <c r="T110" s="108"/>
    </row>
    <row r="111" spans="1:23" x14ac:dyDescent="0.2">
      <c r="L111" s="45" t="s">
        <v>587</v>
      </c>
      <c r="M111" s="407">
        <v>-1.7500000000000002E-2</v>
      </c>
      <c r="N111" s="45" t="s">
        <v>632</v>
      </c>
      <c r="S111" s="108" t="s">
        <v>711</v>
      </c>
      <c r="T111" s="108"/>
      <c r="U111" s="156"/>
    </row>
    <row r="112" spans="1:23" x14ac:dyDescent="0.2">
      <c r="A112" s="303" t="s">
        <v>459</v>
      </c>
      <c r="B112" s="45" t="s">
        <v>210</v>
      </c>
      <c r="D112" s="45">
        <v>4000</v>
      </c>
      <c r="E112" s="45" t="s">
        <v>506</v>
      </c>
      <c r="L112" s="45" t="s">
        <v>588</v>
      </c>
      <c r="M112" s="407">
        <v>2.5000000000000001E-2</v>
      </c>
      <c r="N112" s="45" t="s">
        <v>660</v>
      </c>
      <c r="O112" s="157">
        <v>7.4999999999999997E-2</v>
      </c>
      <c r="P112" s="45" t="s">
        <v>653</v>
      </c>
      <c r="S112" s="108" t="s">
        <v>712</v>
      </c>
      <c r="T112" s="108"/>
      <c r="U112" s="157"/>
      <c r="W112" s="157"/>
    </row>
    <row r="113" spans="1:23" x14ac:dyDescent="0.2">
      <c r="B113" s="45" t="s">
        <v>208</v>
      </c>
      <c r="D113" s="45">
        <v>4000</v>
      </c>
      <c r="E113" s="45" t="s">
        <v>506</v>
      </c>
      <c r="L113" s="45" t="s">
        <v>589</v>
      </c>
      <c r="M113" s="407">
        <v>-1.7500000000000002E-2</v>
      </c>
      <c r="N113" s="45" t="s">
        <v>632</v>
      </c>
      <c r="S113" s="108" t="s">
        <v>713</v>
      </c>
      <c r="T113" s="108"/>
      <c r="U113" s="156"/>
    </row>
    <row r="114" spans="1:23" x14ac:dyDescent="0.2">
      <c r="B114" s="45" t="s">
        <v>457</v>
      </c>
      <c r="D114" s="45">
        <v>7500</v>
      </c>
      <c r="E114" s="45" t="s">
        <v>506</v>
      </c>
      <c r="L114" s="45" t="s">
        <v>590</v>
      </c>
      <c r="M114">
        <v>1</v>
      </c>
      <c r="N114" s="45" t="s">
        <v>666</v>
      </c>
      <c r="S114" s="108" t="s">
        <v>392</v>
      </c>
      <c r="T114" s="108"/>
      <c r="U114" s="156"/>
      <c r="W114" s="156"/>
    </row>
    <row r="115" spans="1:23" x14ac:dyDescent="0.2">
      <c r="B115" s="45" t="s">
        <v>526</v>
      </c>
      <c r="D115" s="45">
        <v>5000</v>
      </c>
      <c r="E115" s="45" t="s">
        <v>506</v>
      </c>
      <c r="L115" s="45" t="s">
        <v>591</v>
      </c>
      <c r="M115" s="2">
        <v>-0.01</v>
      </c>
      <c r="N115" s="45" t="s">
        <v>654</v>
      </c>
      <c r="S115" s="108" t="s">
        <v>715</v>
      </c>
      <c r="T115" s="108"/>
      <c r="U115" s="156"/>
    </row>
    <row r="116" spans="1:23" x14ac:dyDescent="0.2">
      <c r="B116" s="45" t="s">
        <v>211</v>
      </c>
      <c r="D116" s="45">
        <v>5000</v>
      </c>
      <c r="E116" s="45" t="s">
        <v>506</v>
      </c>
      <c r="T116" s="108"/>
    </row>
    <row r="117" spans="1:23" x14ac:dyDescent="0.2">
      <c r="L117" s="45" t="s">
        <v>592</v>
      </c>
      <c r="M117" s="29">
        <v>1.4999999999999999E-2</v>
      </c>
      <c r="N117" s="45" t="s">
        <v>643</v>
      </c>
      <c r="S117" s="108" t="s">
        <v>716</v>
      </c>
      <c r="T117" s="108"/>
      <c r="U117" s="157"/>
    </row>
    <row r="118" spans="1:23" x14ac:dyDescent="0.2">
      <c r="A118" s="302" t="s">
        <v>460</v>
      </c>
      <c r="F118" s="45" t="s">
        <v>462</v>
      </c>
      <c r="L118" s="45" t="s">
        <v>593</v>
      </c>
      <c r="M118" s="407">
        <v>2.5000000000000001E-2</v>
      </c>
      <c r="N118" s="45" t="s">
        <v>644</v>
      </c>
      <c r="O118" s="156">
        <v>-0.05</v>
      </c>
      <c r="P118" s="45" t="s">
        <v>655</v>
      </c>
      <c r="S118" s="108" t="s">
        <v>717</v>
      </c>
      <c r="T118" s="108"/>
      <c r="U118" s="157"/>
      <c r="W118" s="156"/>
    </row>
    <row r="119" spans="1:23" x14ac:dyDescent="0.2">
      <c r="A119" s="303" t="s">
        <v>1120</v>
      </c>
      <c r="B119" s="238"/>
      <c r="C119" s="319">
        <v>0.2</v>
      </c>
      <c r="D119" s="45" t="s">
        <v>466</v>
      </c>
      <c r="F119" s="177">
        <v>2</v>
      </c>
      <c r="L119" s="45" t="s">
        <v>595</v>
      </c>
      <c r="M119" s="2">
        <v>-0.05</v>
      </c>
      <c r="N119" s="45" t="s">
        <v>639</v>
      </c>
      <c r="O119" s="156">
        <v>-0.1</v>
      </c>
      <c r="P119" s="45" t="s">
        <v>651</v>
      </c>
      <c r="Q119" s="45">
        <v>5</v>
      </c>
      <c r="R119" s="45" t="s">
        <v>671</v>
      </c>
      <c r="S119" s="108" t="s">
        <v>1050</v>
      </c>
      <c r="T119" s="108"/>
      <c r="U119" s="156"/>
      <c r="W119" s="156"/>
    </row>
    <row r="120" spans="1:23" x14ac:dyDescent="0.2">
      <c r="A120" s="303" t="s">
        <v>125</v>
      </c>
      <c r="B120" s="116" t="s">
        <v>292</v>
      </c>
      <c r="C120" s="319">
        <v>0.2</v>
      </c>
      <c r="D120" s="45" t="s">
        <v>466</v>
      </c>
      <c r="F120" s="177">
        <v>2</v>
      </c>
      <c r="L120" s="45" t="s">
        <v>596</v>
      </c>
      <c r="M120" s="407">
        <v>-0.125</v>
      </c>
      <c r="N120" s="45" t="s">
        <v>656</v>
      </c>
      <c r="S120" s="108" t="s">
        <v>718</v>
      </c>
      <c r="T120" s="108"/>
      <c r="U120" s="157"/>
    </row>
    <row r="121" spans="1:23" x14ac:dyDescent="0.2">
      <c r="B121" s="45" t="s">
        <v>291</v>
      </c>
      <c r="C121" s="118">
        <v>0.2</v>
      </c>
      <c r="D121" s="45" t="s">
        <v>466</v>
      </c>
      <c r="F121" s="177">
        <v>2</v>
      </c>
      <c r="L121" s="45" t="s">
        <v>598</v>
      </c>
      <c r="M121" s="407">
        <v>0.01</v>
      </c>
      <c r="N121" s="45" t="s">
        <v>643</v>
      </c>
      <c r="O121" s="5"/>
      <c r="P121" s="5"/>
      <c r="S121" s="108" t="s">
        <v>714</v>
      </c>
      <c r="T121" s="108"/>
      <c r="U121" s="156"/>
    </row>
    <row r="122" spans="1:23" x14ac:dyDescent="0.2">
      <c r="A122" s="303" t="s">
        <v>139</v>
      </c>
      <c r="B122" s="238"/>
      <c r="C122" s="319">
        <v>0.2</v>
      </c>
      <c r="D122" s="45" t="s">
        <v>466</v>
      </c>
      <c r="F122" s="177">
        <v>4</v>
      </c>
      <c r="L122" s="45" t="s">
        <v>599</v>
      </c>
      <c r="M122" s="29">
        <v>7.4999999999999997E-2</v>
      </c>
      <c r="N122" s="45" t="s">
        <v>669</v>
      </c>
      <c r="O122" s="156">
        <v>-0.05</v>
      </c>
      <c r="P122" s="45" t="s">
        <v>657</v>
      </c>
      <c r="S122" s="108" t="s">
        <v>720</v>
      </c>
      <c r="T122" s="108"/>
      <c r="U122" s="156"/>
      <c r="W122" s="156"/>
    </row>
    <row r="123" spans="1:23" x14ac:dyDescent="0.2">
      <c r="A123" s="303" t="s">
        <v>132</v>
      </c>
      <c r="B123" s="238"/>
      <c r="C123" s="319">
        <v>0.2</v>
      </c>
      <c r="D123" s="45" t="s">
        <v>467</v>
      </c>
      <c r="F123" s="177">
        <v>2</v>
      </c>
      <c r="M123"/>
      <c r="S123" s="108"/>
      <c r="T123" s="108"/>
    </row>
    <row r="124" spans="1:23" x14ac:dyDescent="0.2">
      <c r="A124" s="303" t="s">
        <v>1058</v>
      </c>
      <c r="B124" s="116" t="s">
        <v>292</v>
      </c>
      <c r="C124" s="319">
        <v>0.1</v>
      </c>
      <c r="D124" s="45" t="s">
        <v>295</v>
      </c>
      <c r="F124" s="177">
        <v>0</v>
      </c>
      <c r="L124" s="45" t="s">
        <v>600</v>
      </c>
      <c r="M124" s="2">
        <v>0.3</v>
      </c>
      <c r="N124" s="45" t="s">
        <v>658</v>
      </c>
      <c r="S124" s="108" t="s">
        <v>721</v>
      </c>
      <c r="T124" s="108"/>
      <c r="U124" s="156"/>
    </row>
    <row r="125" spans="1:23" x14ac:dyDescent="0.2">
      <c r="B125" s="45" t="s">
        <v>291</v>
      </c>
      <c r="C125" s="320">
        <v>0.1</v>
      </c>
      <c r="D125" s="45" t="s">
        <v>295</v>
      </c>
      <c r="F125" s="177">
        <v>0</v>
      </c>
      <c r="L125" s="45" t="s">
        <v>602</v>
      </c>
      <c r="M125">
        <v>1.25</v>
      </c>
      <c r="N125" s="45" t="s">
        <v>673</v>
      </c>
      <c r="S125" s="108" t="s">
        <v>725</v>
      </c>
      <c r="T125" s="108"/>
      <c r="U125" s="156"/>
    </row>
    <row r="126" spans="1:23" x14ac:dyDescent="0.2">
      <c r="A126" s="303" t="s">
        <v>461</v>
      </c>
      <c r="B126" s="238"/>
      <c r="C126" s="319">
        <v>0.2</v>
      </c>
      <c r="D126" s="45" t="s">
        <v>467</v>
      </c>
      <c r="F126" s="177">
        <v>3</v>
      </c>
      <c r="L126" s="45" t="s">
        <v>604</v>
      </c>
      <c r="M126" s="407">
        <v>-7.4999999999999997E-2</v>
      </c>
      <c r="N126" s="45" t="s">
        <v>657</v>
      </c>
      <c r="O126" s="157">
        <v>7.4999999999999997E-3</v>
      </c>
      <c r="P126" s="45" t="s">
        <v>747</v>
      </c>
      <c r="S126" s="108" t="s">
        <v>1051</v>
      </c>
      <c r="T126" s="108"/>
      <c r="U126" s="156"/>
    </row>
    <row r="127" spans="1:23" x14ac:dyDescent="0.2">
      <c r="A127" s="303" t="s">
        <v>332</v>
      </c>
      <c r="C127" s="177">
        <v>1</v>
      </c>
      <c r="D127" s="45" t="s">
        <v>463</v>
      </c>
      <c r="F127" s="177">
        <v>3</v>
      </c>
      <c r="L127" s="45" t="s">
        <v>605</v>
      </c>
      <c r="M127" s="407">
        <v>2.5000000000000001E-2</v>
      </c>
      <c r="N127" s="45" t="s">
        <v>660</v>
      </c>
      <c r="S127" s="108" t="s">
        <v>723</v>
      </c>
      <c r="T127" s="108"/>
      <c r="U127" s="157"/>
    </row>
    <row r="128" spans="1:23" x14ac:dyDescent="0.2">
      <c r="A128" s="303" t="s">
        <v>373</v>
      </c>
      <c r="B128" s="177" t="s">
        <v>465</v>
      </c>
      <c r="C128" s="116">
        <v>500</v>
      </c>
      <c r="D128" s="45" t="s">
        <v>464</v>
      </c>
      <c r="F128" s="177">
        <v>0</v>
      </c>
      <c r="L128" s="45" t="s">
        <v>606</v>
      </c>
      <c r="M128" s="407">
        <v>-2.5000000000000001E-2</v>
      </c>
      <c r="N128" s="45" t="s">
        <v>635</v>
      </c>
      <c r="O128" s="5">
        <v>2</v>
      </c>
      <c r="P128" s="5" t="s">
        <v>672</v>
      </c>
      <c r="S128" s="108" t="s">
        <v>724</v>
      </c>
      <c r="T128" s="108"/>
      <c r="U128" s="157"/>
    </row>
    <row r="129" spans="1:23" x14ac:dyDescent="0.2">
      <c r="A129" s="303" t="s">
        <v>356</v>
      </c>
      <c r="B129" s="177" t="s">
        <v>465</v>
      </c>
      <c r="C129" s="116">
        <v>300</v>
      </c>
      <c r="D129" s="45" t="s">
        <v>464</v>
      </c>
      <c r="F129" s="177">
        <v>3</v>
      </c>
      <c r="M129"/>
      <c r="S129" s="108"/>
      <c r="T129" s="108"/>
    </row>
    <row r="130" spans="1:23" x14ac:dyDescent="0.2">
      <c r="A130" s="303" t="s">
        <v>422</v>
      </c>
      <c r="B130" s="238"/>
      <c r="C130" s="118">
        <v>0.1</v>
      </c>
      <c r="D130" s="45" t="s">
        <v>497</v>
      </c>
      <c r="F130" s="177">
        <v>4</v>
      </c>
      <c r="L130" s="45" t="s">
        <v>608</v>
      </c>
      <c r="M130" s="2">
        <v>0.6</v>
      </c>
      <c r="N130" s="45" t="s">
        <v>748</v>
      </c>
      <c r="S130" s="108" t="s">
        <v>1052</v>
      </c>
      <c r="T130" s="108"/>
    </row>
    <row r="131" spans="1:23" x14ac:dyDescent="0.2">
      <c r="A131" s="303" t="s">
        <v>1124</v>
      </c>
      <c r="B131" s="45" t="s">
        <v>291</v>
      </c>
      <c r="C131" s="118">
        <v>0.1</v>
      </c>
      <c r="D131" s="45" t="s">
        <v>497</v>
      </c>
      <c r="F131" s="45">
        <v>1</v>
      </c>
      <c r="L131" s="45" t="s">
        <v>609</v>
      </c>
      <c r="M131" s="407">
        <v>-7.4999999999999997E-2</v>
      </c>
      <c r="N131" s="45" t="s">
        <v>657</v>
      </c>
      <c r="S131" s="108" t="s">
        <v>726</v>
      </c>
      <c r="T131" s="108"/>
      <c r="U131" s="157"/>
    </row>
    <row r="132" spans="1:23" x14ac:dyDescent="0.2">
      <c r="L132" s="45" t="s">
        <v>611</v>
      </c>
      <c r="M132">
        <v>2</v>
      </c>
      <c r="N132" s="45" t="s">
        <v>674</v>
      </c>
      <c r="S132" s="108" t="s">
        <v>727</v>
      </c>
      <c r="T132" s="108"/>
    </row>
    <row r="133" spans="1:23" x14ac:dyDescent="0.2">
      <c r="A133" s="302" t="s">
        <v>263</v>
      </c>
      <c r="L133" s="45" t="s">
        <v>613</v>
      </c>
      <c r="M133" s="2">
        <v>0.3</v>
      </c>
      <c r="N133" s="45" t="s">
        <v>661</v>
      </c>
      <c r="S133" s="108" t="s">
        <v>728</v>
      </c>
      <c r="T133" s="108"/>
      <c r="U133" s="156"/>
    </row>
    <row r="134" spans="1:23" x14ac:dyDescent="0.2">
      <c r="A134" s="303" t="s">
        <v>478</v>
      </c>
      <c r="B134" s="45">
        <v>20</v>
      </c>
      <c r="M134"/>
      <c r="S134" s="108"/>
      <c r="T134" s="108"/>
    </row>
    <row r="135" spans="1:23" x14ac:dyDescent="0.2">
      <c r="A135" s="303" t="s">
        <v>476</v>
      </c>
      <c r="B135" s="45">
        <v>0</v>
      </c>
      <c r="C135" s="45" t="s">
        <v>477</v>
      </c>
      <c r="L135" s="45" t="s">
        <v>614</v>
      </c>
      <c r="M135" s="2">
        <v>-0.15</v>
      </c>
      <c r="N135" s="45" t="s">
        <v>670</v>
      </c>
      <c r="O135" s="156">
        <v>-0.05</v>
      </c>
      <c r="P135" s="45" t="s">
        <v>648</v>
      </c>
      <c r="S135" s="108" t="s">
        <v>729</v>
      </c>
      <c r="T135" s="108"/>
      <c r="U135" s="156"/>
      <c r="W135" s="156"/>
    </row>
    <row r="136" spans="1:23" x14ac:dyDescent="0.2">
      <c r="L136" s="45" t="s">
        <v>616</v>
      </c>
      <c r="M136" s="407">
        <v>-0.05</v>
      </c>
      <c r="N136" s="45" t="s">
        <v>639</v>
      </c>
      <c r="S136" s="108" t="s">
        <v>730</v>
      </c>
      <c r="T136" s="108"/>
      <c r="U136" s="157"/>
    </row>
    <row r="137" spans="1:23" x14ac:dyDescent="0.2">
      <c r="A137" s="302" t="s">
        <v>749</v>
      </c>
      <c r="L137" s="45" t="s">
        <v>617</v>
      </c>
      <c r="M137" s="2">
        <v>-0.25</v>
      </c>
      <c r="N137" s="45" t="s">
        <v>662</v>
      </c>
      <c r="S137" s="108" t="s">
        <v>731</v>
      </c>
      <c r="T137" s="108"/>
      <c r="U137" s="156"/>
    </row>
    <row r="138" spans="1:23" x14ac:dyDescent="0.2">
      <c r="A138" s="303" t="s">
        <v>89</v>
      </c>
      <c r="B138" s="45" t="s">
        <v>3</v>
      </c>
      <c r="M138"/>
      <c r="S138" s="108"/>
      <c r="T138" s="108"/>
    </row>
    <row r="139" spans="1:23" x14ac:dyDescent="0.2">
      <c r="A139" s="303" t="s">
        <v>90</v>
      </c>
      <c r="B139" s="45" t="s">
        <v>3</v>
      </c>
      <c r="L139" s="45" t="s">
        <v>618</v>
      </c>
      <c r="M139" s="29">
        <v>7.4999999999999997E-2</v>
      </c>
      <c r="N139" s="45" t="s">
        <v>659</v>
      </c>
      <c r="S139" s="108" t="s">
        <v>722</v>
      </c>
      <c r="T139" s="108"/>
      <c r="U139" s="157"/>
    </row>
    <row r="140" spans="1:23" x14ac:dyDescent="0.2">
      <c r="A140" s="303" t="s">
        <v>91</v>
      </c>
      <c r="B140" s="45" t="s">
        <v>3</v>
      </c>
      <c r="L140" s="45" t="s">
        <v>620</v>
      </c>
      <c r="M140" s="407">
        <v>-7.4999999999999997E-2</v>
      </c>
      <c r="N140" s="45" t="s">
        <v>656</v>
      </c>
      <c r="S140" s="108" t="s">
        <v>732</v>
      </c>
      <c r="T140" s="108"/>
      <c r="U140" s="156"/>
    </row>
    <row r="141" spans="1:23" x14ac:dyDescent="0.2">
      <c r="A141" s="303" t="s">
        <v>92</v>
      </c>
      <c r="B141" s="45" t="s">
        <v>12</v>
      </c>
      <c r="M141"/>
    </row>
    <row r="142" spans="1:23" x14ac:dyDescent="0.2">
      <c r="A142" s="303" t="s">
        <v>93</v>
      </c>
      <c r="B142" s="45" t="s">
        <v>3</v>
      </c>
      <c r="L142" s="45" t="s">
        <v>621</v>
      </c>
      <c r="M142" s="2">
        <v>-0.05</v>
      </c>
      <c r="N142" s="45" t="s">
        <v>657</v>
      </c>
      <c r="S142" s="45" t="s">
        <v>733</v>
      </c>
      <c r="U142" s="156"/>
    </row>
    <row r="143" spans="1:23" x14ac:dyDescent="0.2">
      <c r="A143" s="303" t="s">
        <v>94</v>
      </c>
      <c r="B143" s="45" t="s">
        <v>3</v>
      </c>
    </row>
    <row r="144" spans="1:23" x14ac:dyDescent="0.2">
      <c r="A144" s="303" t="s">
        <v>95</v>
      </c>
      <c r="B144" s="45" t="s">
        <v>3</v>
      </c>
      <c r="L144" s="45" t="b">
        <f>OR(race=L145,race=L146,race=L147,race=L148)</f>
        <v>0</v>
      </c>
      <c r="M144" s="45">
        <f>IF(L144=FALSE,1,2)</f>
        <v>1</v>
      </c>
    </row>
    <row r="145" spans="1:13" x14ac:dyDescent="0.2">
      <c r="A145" s="303" t="s">
        <v>96</v>
      </c>
      <c r="B145" s="45" t="s">
        <v>7</v>
      </c>
      <c r="L145" s="45" t="s">
        <v>97</v>
      </c>
    </row>
    <row r="146" spans="1:13" x14ac:dyDescent="0.2">
      <c r="A146" s="303" t="s">
        <v>97</v>
      </c>
      <c r="B146" s="45" t="s">
        <v>3</v>
      </c>
      <c r="L146" s="45" t="s">
        <v>102</v>
      </c>
    </row>
    <row r="147" spans="1:13" x14ac:dyDescent="0.2">
      <c r="A147" s="303" t="s">
        <v>29</v>
      </c>
      <c r="B147" s="45" t="s">
        <v>3</v>
      </c>
      <c r="L147" s="108" t="s">
        <v>342</v>
      </c>
      <c r="M147" s="156"/>
    </row>
    <row r="148" spans="1:13" x14ac:dyDescent="0.2">
      <c r="A148" s="303" t="s">
        <v>99</v>
      </c>
      <c r="B148" s="45" t="s">
        <v>3</v>
      </c>
      <c r="L148" s="108" t="s">
        <v>1107</v>
      </c>
    </row>
    <row r="149" spans="1:13" x14ac:dyDescent="0.2">
      <c r="A149" s="303" t="s">
        <v>100</v>
      </c>
      <c r="B149" s="45" t="s">
        <v>12</v>
      </c>
      <c r="L149" s="108"/>
      <c r="M149" s="156"/>
    </row>
    <row r="150" spans="1:13" x14ac:dyDescent="0.2">
      <c r="A150" s="303" t="s">
        <v>101</v>
      </c>
      <c r="B150" s="45" t="s">
        <v>12</v>
      </c>
    </row>
    <row r="151" spans="1:13" x14ac:dyDescent="0.2">
      <c r="A151" s="303" t="s">
        <v>102</v>
      </c>
      <c r="B151" s="45" t="s">
        <v>3</v>
      </c>
    </row>
    <row r="152" spans="1:13" x14ac:dyDescent="0.2">
      <c r="A152" s="303" t="s">
        <v>103</v>
      </c>
      <c r="B152" s="45" t="s">
        <v>3</v>
      </c>
    </row>
    <row r="153" spans="1:13" x14ac:dyDescent="0.2">
      <c r="A153" s="303" t="s">
        <v>104</v>
      </c>
      <c r="B153" s="45" t="s">
        <v>3</v>
      </c>
    </row>
    <row r="154" spans="1:13" x14ac:dyDescent="0.2">
      <c r="A154" s="303" t="s">
        <v>328</v>
      </c>
      <c r="B154" s="45" t="s">
        <v>3</v>
      </c>
    </row>
    <row r="155" spans="1:13" x14ac:dyDescent="0.2">
      <c r="A155" s="303" t="s">
        <v>342</v>
      </c>
      <c r="B155" s="45" t="s">
        <v>3</v>
      </c>
    </row>
    <row r="156" spans="1:13" x14ac:dyDescent="0.2">
      <c r="A156" s="303" t="s">
        <v>143</v>
      </c>
      <c r="B156" s="45" t="s">
        <v>7</v>
      </c>
    </row>
    <row r="157" spans="1:13" x14ac:dyDescent="0.2">
      <c r="A157" s="303" t="s">
        <v>498</v>
      </c>
      <c r="B157" s="45" t="s">
        <v>12</v>
      </c>
    </row>
    <row r="158" spans="1:13" x14ac:dyDescent="0.2">
      <c r="A158" s="303" t="s">
        <v>1107</v>
      </c>
      <c r="B158" s="45" t="s">
        <v>12</v>
      </c>
    </row>
    <row r="159" spans="1:13" x14ac:dyDescent="0.2">
      <c r="A159" s="303" t="s">
        <v>1123</v>
      </c>
      <c r="B159" s="45" t="s">
        <v>12</v>
      </c>
    </row>
    <row r="161" spans="1:5" x14ac:dyDescent="0.2">
      <c r="A161" s="303" t="s">
        <v>1038</v>
      </c>
    </row>
    <row r="162" spans="1:5" x14ac:dyDescent="0.2">
      <c r="A162" s="303" t="s">
        <v>2</v>
      </c>
      <c r="B162" s="45">
        <v>1</v>
      </c>
    </row>
    <row r="163" spans="1:5" x14ac:dyDescent="0.2">
      <c r="A163" s="303" t="s">
        <v>7</v>
      </c>
      <c r="B163" s="45">
        <v>2</v>
      </c>
    </row>
    <row r="164" spans="1:5" x14ac:dyDescent="0.2">
      <c r="A164" s="303" t="s">
        <v>3</v>
      </c>
      <c r="B164" s="45">
        <v>2</v>
      </c>
    </row>
    <row r="165" spans="1:5" x14ac:dyDescent="0.2">
      <c r="A165" s="303" t="s">
        <v>4</v>
      </c>
      <c r="B165" s="45">
        <v>12</v>
      </c>
    </row>
    <row r="167" spans="1:5" x14ac:dyDescent="0.2">
      <c r="A167" s="302" t="s">
        <v>1039</v>
      </c>
    </row>
    <row r="168" spans="1:5" x14ac:dyDescent="0.2">
      <c r="A168" s="303" t="s">
        <v>277</v>
      </c>
      <c r="B168" s="156">
        <v>0.75</v>
      </c>
    </row>
    <row r="170" spans="1:5" x14ac:dyDescent="0.2">
      <c r="A170" s="302" t="s">
        <v>1096</v>
      </c>
    </row>
    <row r="171" spans="1:5" x14ac:dyDescent="0.2">
      <c r="A171" s="303" t="s">
        <v>452</v>
      </c>
      <c r="B171" s="45">
        <v>0</v>
      </c>
    </row>
    <row r="173" spans="1:5" x14ac:dyDescent="0.2">
      <c r="A173" s="302" t="s">
        <v>1121</v>
      </c>
      <c r="E173" s="45" t="s">
        <v>462</v>
      </c>
    </row>
    <row r="174" spans="1:5" x14ac:dyDescent="0.2">
      <c r="A174" s="303" t="s">
        <v>1119</v>
      </c>
      <c r="B174" s="45" t="s">
        <v>7</v>
      </c>
      <c r="C174" s="319">
        <v>0.2</v>
      </c>
      <c r="D174" s="45" t="s">
        <v>466</v>
      </c>
      <c r="E174" s="45">
        <v>1</v>
      </c>
    </row>
    <row r="176" spans="1:5" x14ac:dyDescent="0.2">
      <c r="A176" s="302" t="s">
        <v>1146</v>
      </c>
      <c r="B176" s="45">
        <v>350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754</v>
      </c>
      <c r="D4" s="321" t="s">
        <v>755</v>
      </c>
      <c r="E4" s="322" t="s">
        <v>756</v>
      </c>
      <c r="F4" s="322" t="s">
        <v>757</v>
      </c>
      <c r="G4" s="322" t="s">
        <v>758</v>
      </c>
      <c r="H4" s="325" t="s">
        <v>759</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1057</v>
      </c>
    </row>
    <row r="5" spans="1:27" s="332" customFormat="1" ht="19.5" customHeight="1" x14ac:dyDescent="0.2">
      <c r="A5" s="275" t="s">
        <v>89</v>
      </c>
      <c r="B5" s="326" t="s">
        <v>98</v>
      </c>
      <c r="C5" s="275" t="s">
        <v>243</v>
      </c>
      <c r="D5" s="327" t="s">
        <v>113</v>
      </c>
      <c r="E5" s="93">
        <v>3</v>
      </c>
      <c r="F5" s="93"/>
      <c r="G5" s="93">
        <v>315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2*MAX(TblRaces[[#This Row],[OffensePwr]:[DefensePwr]])</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2*MAX(TblRaces[[#This Row],[OffensePwr]:[DefensePwr]])</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1060</v>
      </c>
      <c r="E9" s="342">
        <v>3</v>
      </c>
      <c r="F9" s="342"/>
      <c r="G9" s="342">
        <v>370</v>
      </c>
      <c r="H9" s="332">
        <v>25</v>
      </c>
      <c r="I9" s="340">
        <v>5</v>
      </c>
      <c r="J9" s="343"/>
      <c r="K9" s="344"/>
      <c r="L9" s="344"/>
      <c r="M9" s="344"/>
      <c r="N9" s="344"/>
      <c r="O9" s="344"/>
      <c r="P9" s="344"/>
      <c r="Q9" s="344"/>
      <c r="R9" s="344"/>
      <c r="S9" s="344"/>
      <c r="T9" s="344"/>
      <c r="U9" s="344"/>
      <c r="V9" s="344"/>
      <c r="W9" s="93"/>
      <c r="X9" s="330"/>
      <c r="Y9" s="344">
        <v>0.1</v>
      </c>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2*MAX(TblRaces[[#This Row],[OffensePwr]:[DefensePwr]])</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1061</v>
      </c>
      <c r="E12" s="93">
        <v>6</v>
      </c>
      <c r="F12" s="93">
        <v>3</v>
      </c>
      <c r="G12" s="93">
        <v>1150</v>
      </c>
      <c r="H12" s="275">
        <v>40</v>
      </c>
      <c r="I12" s="326">
        <f>2*MAX(TblRaces[[#This Row],[OffensePwr]:[DefensePwr]])</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315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4</v>
      </c>
      <c r="F15" s="93">
        <v>4.5</v>
      </c>
      <c r="G15" s="93">
        <v>900</v>
      </c>
      <c r="H15" s="275">
        <v>0</v>
      </c>
      <c r="I15" s="326">
        <f>2*MAX(TblRaces[[#This Row],[OffensePwr]:[DefensePwr]])</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2*MAX(TblRaces[[#This Row],[OffensePwr]:[DefensePwr]])</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1119</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2*MAX(TblRaces[[#This Row],[OffensePwr]:[DefensePwr]])</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2*MAX(TblRaces[[#This Row],[OffensePwr]:[DefensePwr]])</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315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2*MAX(TblRaces[[#This Row],[OffensePwr]:[DefensePwr]])</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2*MAX(TblRaces[[#This Row],[OffensePwr]:[DefensePwr]])</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225</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2*MAX(TblRaces[[#This Row],[OffensePwr]:[DefensePwr]])</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725</v>
      </c>
      <c r="H28" s="335">
        <v>525</v>
      </c>
      <c r="I28" s="326">
        <f>2*MAX(TblRaces[[#This Row],[OffensePwr]:[DefensePwr]])</f>
        <v>13</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1093</v>
      </c>
      <c r="E29" s="342">
        <v>3</v>
      </c>
      <c r="F29" s="342"/>
      <c r="G29" s="342">
        <v>300</v>
      </c>
      <c r="H29" s="332">
        <v>0</v>
      </c>
      <c r="I29" s="340">
        <v>5</v>
      </c>
      <c r="J29" s="343"/>
      <c r="K29" s="344"/>
      <c r="L29" s="344"/>
      <c r="M29" s="344">
        <v>0.05</v>
      </c>
      <c r="N29" s="344">
        <v>-0.15</v>
      </c>
      <c r="O29" s="344"/>
      <c r="P29" s="344"/>
      <c r="Q29" s="344"/>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2*MAX(TblRaces[[#This Row],[OffensePwr]:[DefensePwr]])</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2*MAX(TblRaces[[#This Row],[OffensePwr]:[DefensePwr]])</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315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1070</v>
      </c>
      <c r="H35" s="275">
        <v>0</v>
      </c>
      <c r="I35" s="326">
        <f>2*MAX(TblRaces[[#This Row],[OffensePwr]:[DefensePwr]])</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970</v>
      </c>
      <c r="H36" s="335">
        <v>20</v>
      </c>
      <c r="I36" s="326">
        <f>2*MAX(TblRaces[[#This Row],[OffensePwr]:[DefensePwr]])</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380</v>
      </c>
      <c r="H37" s="332">
        <v>25</v>
      </c>
      <c r="I37" s="340">
        <v>5</v>
      </c>
      <c r="J37" s="343">
        <v>0.2</v>
      </c>
      <c r="K37" s="344"/>
      <c r="L37" s="344"/>
      <c r="M37" s="344"/>
      <c r="N37" s="344"/>
      <c r="O37" s="344"/>
      <c r="P37" s="344"/>
      <c r="Q37" s="344"/>
      <c r="R37" s="344"/>
      <c r="S37" s="344"/>
      <c r="T37" s="344"/>
      <c r="U37" s="344"/>
      <c r="V37" s="344"/>
      <c r="W37" s="329">
        <v>0.1</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2*MAX(TblRaces[[#This Row],[OffensePwr]:[DefensePwr]])</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2*MAX(TblRaces[[#This Row],[OffensePwr]:[DefensePwr]])</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2*MAX(TblRaces[[#This Row],[OffensePwr]:[DefensePwr]])</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2*MAX(TblRaces[[#This Row],[OffensePwr]:[DefensePwr]])</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2*MAX(TblRaces[[#This Row],[OffensePwr]:[DefensePwr]])</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1058</v>
      </c>
      <c r="E48" s="334">
        <v>6.5</v>
      </c>
      <c r="F48" s="334">
        <v>3</v>
      </c>
      <c r="G48" s="334">
        <v>1200</v>
      </c>
      <c r="H48" s="335">
        <v>50</v>
      </c>
      <c r="I48" s="326">
        <f>2*MAX(TblRaces[[#This Row],[OffensePwr]:[DefensePwr]])</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1101</v>
      </c>
      <c r="E49" s="342">
        <v>3</v>
      </c>
      <c r="F49" s="342"/>
      <c r="G49" s="342">
        <v>215</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1089</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1102</v>
      </c>
      <c r="E51" s="93">
        <v>0</v>
      </c>
      <c r="F51" s="93">
        <v>6</v>
      </c>
      <c r="G51" s="93">
        <v>1150</v>
      </c>
      <c r="H51" s="275">
        <v>15</v>
      </c>
      <c r="I51" s="326">
        <f>2*MAX(TblRaces[[#This Row],[OffensePwr]:[DefensePwr]])</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1103</v>
      </c>
      <c r="E52" s="334">
        <v>4</v>
      </c>
      <c r="F52" s="334">
        <v>3</v>
      </c>
      <c r="G52" s="334">
        <v>700</v>
      </c>
      <c r="H52" s="335">
        <v>0</v>
      </c>
      <c r="I52" s="326">
        <f>2*MAX(TblRaces[[#This Row],[OffensePwr]:[DefensePwr]])</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1116</v>
      </c>
      <c r="E53" s="342">
        <v>3</v>
      </c>
      <c r="F53" s="342"/>
      <c r="G53" s="342">
        <v>335</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1117</v>
      </c>
      <c r="E55" s="93">
        <v>3</v>
      </c>
      <c r="F55" s="93">
        <v>5</v>
      </c>
      <c r="G55" s="93">
        <v>1100</v>
      </c>
      <c r="H55" s="275">
        <v>25</v>
      </c>
      <c r="I55" s="326">
        <f>2*MAX(TblRaces[[#This Row],[OffensePwr]:[DefensePwr]])</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1118</v>
      </c>
      <c r="E56" s="334">
        <v>6</v>
      </c>
      <c r="F56" s="334">
        <v>0</v>
      </c>
      <c r="G56" s="334">
        <v>1075</v>
      </c>
      <c r="H56" s="335">
        <v>30</v>
      </c>
      <c r="I56" s="326">
        <f>2*MAX(TblRaces[[#This Row],[OffensePwr]:[DefensePwr]])</f>
        <v>12</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360</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2*MAX(TblRaces[[#This Row],[OffensePwr]:[DefensePwr]])</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2*MAX(TblRaces[[#This Row],[OffensePwr]:[DefensePwr]])</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325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1090</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1091</v>
      </c>
      <c r="E63" s="93">
        <v>3</v>
      </c>
      <c r="F63" s="93">
        <v>3</v>
      </c>
      <c r="G63" s="93">
        <v>1300</v>
      </c>
      <c r="H63" s="275">
        <v>0</v>
      </c>
      <c r="I63" s="326">
        <f>2*MAX(TblRaces[[#This Row],[OffensePwr]:[DefensePwr]])</f>
        <v>6</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970</v>
      </c>
      <c r="H64" s="335">
        <v>50</v>
      </c>
      <c r="I64" s="326">
        <f>2*MAX(TblRaces[[#This Row],[OffensePwr]:[DefensePwr]])</f>
        <v>6</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315</v>
      </c>
      <c r="H65" s="332">
        <v>0</v>
      </c>
      <c r="I65" s="340">
        <v>5</v>
      </c>
      <c r="J65" s="343">
        <v>0.05</v>
      </c>
      <c r="K65" s="344"/>
      <c r="L65" s="344"/>
      <c r="M65" s="344"/>
      <c r="N65" s="344"/>
      <c r="O65" s="344"/>
      <c r="P65" s="344"/>
      <c r="Q65" s="344"/>
      <c r="R65" s="344"/>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2*MAX(TblRaces[[#This Row],[OffensePwr]:[DefensePwr]])</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2*MAX(TblRaces[[#This Row],[OffensePwr]:[DefensePwr]])</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1092</v>
      </c>
      <c r="E71" s="93">
        <v>3</v>
      </c>
      <c r="F71" s="93">
        <v>3</v>
      </c>
      <c r="G71" s="93">
        <v>965</v>
      </c>
      <c r="H71" s="275">
        <v>100</v>
      </c>
      <c r="I71" s="326">
        <f>2*MAX(TblRaces[[#This Row],[OffensePwr]:[DefensePwr]])</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2*MAX(TblRaces[[#This Row],[OffensePwr]:[DefensePwr]])</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325</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900</v>
      </c>
      <c r="H75" s="275">
        <v>0</v>
      </c>
      <c r="I75" s="326">
        <f>2*MAX(TblRaces[[#This Row],[OffensePwr]:[DefensePwr]])</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2*MAX(TblRaces[[#This Row],[OffensePwr]:[DefensePwr]])</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1094</v>
      </c>
      <c r="E79" s="93">
        <v>0</v>
      </c>
      <c r="F79" s="93">
        <v>5</v>
      </c>
      <c r="G79" s="93">
        <v>965</v>
      </c>
      <c r="H79" s="275">
        <v>0</v>
      </c>
      <c r="I79" s="326">
        <f>2*MAX(TblRaces[[#This Row],[OffensePwr]:[DefensePwr]])</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2*MAX(TblRaces[[#This Row],[OffensePwr]:[DefensePwr]])</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1107</v>
      </c>
      <c r="B81" s="340" t="s">
        <v>30</v>
      </c>
      <c r="C81" s="346" t="s">
        <v>60</v>
      </c>
      <c r="D81" s="332" t="s">
        <v>1108</v>
      </c>
      <c r="E81" s="342">
        <v>3</v>
      </c>
      <c r="F81" s="342">
        <v>0</v>
      </c>
      <c r="G81" s="342">
        <v>315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1107</v>
      </c>
      <c r="B82" s="326" t="s">
        <v>30</v>
      </c>
      <c r="C82" s="347" t="s">
        <v>60</v>
      </c>
      <c r="D82" s="275" t="s">
        <v>1109</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1107</v>
      </c>
      <c r="B83" s="326" t="s">
        <v>30</v>
      </c>
      <c r="C83" s="347" t="s">
        <v>60</v>
      </c>
      <c r="D83" s="275" t="s">
        <v>1110</v>
      </c>
      <c r="E83" s="93">
        <v>2</v>
      </c>
      <c r="F83" s="93">
        <v>5</v>
      </c>
      <c r="G83" s="93">
        <v>1000</v>
      </c>
      <c r="H83" s="275">
        <v>0</v>
      </c>
      <c r="I83" s="326">
        <f>2*MAX(TblRaces[[#This Row],[OffensePwr]:[DefensePwr]])</f>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1107</v>
      </c>
      <c r="B84" s="345" t="s">
        <v>30</v>
      </c>
      <c r="C84" s="348" t="s">
        <v>60</v>
      </c>
      <c r="D84" s="335" t="s">
        <v>1111</v>
      </c>
      <c r="E84" s="334">
        <v>4</v>
      </c>
      <c r="F84" s="334">
        <v>3</v>
      </c>
      <c r="G84" s="334">
        <v>1000</v>
      </c>
      <c r="H84" s="335">
        <v>0</v>
      </c>
      <c r="I84" s="345">
        <f>2*MAX(TblRaces[[#This Row],[OffensePwr]:[DefensePwr]])</f>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1123</v>
      </c>
      <c r="B85" s="326" t="s">
        <v>30</v>
      </c>
      <c r="C85" s="347" t="s">
        <v>242</v>
      </c>
      <c r="D85" s="275" t="s">
        <v>1131</v>
      </c>
      <c r="E85" s="93">
        <v>3</v>
      </c>
      <c r="F85" s="93">
        <v>0</v>
      </c>
      <c r="G85" s="93">
        <v>315</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1123</v>
      </c>
      <c r="B86" s="326" t="s">
        <v>30</v>
      </c>
      <c r="C86" s="347" t="s">
        <v>242</v>
      </c>
      <c r="D86" s="275" t="s">
        <v>1125</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1123</v>
      </c>
      <c r="B87" s="326" t="s">
        <v>30</v>
      </c>
      <c r="C87" s="347" t="s">
        <v>242</v>
      </c>
      <c r="D87" s="275" t="s">
        <v>1124</v>
      </c>
      <c r="E87" s="93">
        <v>0</v>
      </c>
      <c r="F87" s="93">
        <v>5</v>
      </c>
      <c r="G87" s="93">
        <v>1050</v>
      </c>
      <c r="H87" s="275">
        <v>10</v>
      </c>
      <c r="I87" s="326">
        <f>2*MAX(TblRaces[[#This Row],[OffensePwr]:[DefensePwr]])</f>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1123</v>
      </c>
      <c r="B88" s="345" t="s">
        <v>30</v>
      </c>
      <c r="C88" s="348" t="s">
        <v>242</v>
      </c>
      <c r="D88" s="335" t="s">
        <v>1126</v>
      </c>
      <c r="E88" s="334">
        <v>5</v>
      </c>
      <c r="F88" s="334">
        <v>2</v>
      </c>
      <c r="G88" s="334">
        <v>875</v>
      </c>
      <c r="H88" s="335">
        <v>30</v>
      </c>
      <c r="I88" s="345">
        <f>2*MAX(TblRaces[[#This Row],[OffensePwr]:[DefensePwr]])</f>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f>2*MAX(TblRaces[[#This Row],[OffensePwr]:[DefensePwr]])</f>
        <v>4</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f>2*MAX(TblRaces[[#This Row],[OffensePwr]:[DefensePwr]])</f>
        <v>10</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760</v>
      </c>
      <c r="B93" s="326" t="s">
        <v>760</v>
      </c>
      <c r="C93" s="347" t="s">
        <v>760</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760</v>
      </c>
      <c r="B94" s="326" t="s">
        <v>760</v>
      </c>
      <c r="C94" s="347" t="s">
        <v>760</v>
      </c>
      <c r="D94" s="62" t="s">
        <v>1077</v>
      </c>
      <c r="G94" s="93">
        <v>1000</v>
      </c>
      <c r="H94" s="93" t="s">
        <v>1078</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760</v>
      </c>
      <c r="B95" s="326" t="s">
        <v>760</v>
      </c>
      <c r="C95" s="347" t="s">
        <v>760</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760</v>
      </c>
      <c r="B96" s="326" t="s">
        <v>760</v>
      </c>
      <c r="C96" s="347" t="s">
        <v>760</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1107</v>
      </c>
      <c r="B117" s="275">
        <v>81</v>
      </c>
      <c r="J117" s="353"/>
      <c r="K117" s="353"/>
      <c r="L117" s="353"/>
      <c r="M117" s="353"/>
      <c r="N117" s="353"/>
      <c r="O117" s="353"/>
      <c r="P117" s="353"/>
      <c r="Q117" s="353"/>
      <c r="R117" s="353"/>
      <c r="S117" s="353"/>
      <c r="T117" s="353"/>
      <c r="U117" s="353"/>
      <c r="V117" s="353"/>
    </row>
    <row r="118" spans="1:22" ht="19.5" customHeight="1" x14ac:dyDescent="0.2">
      <c r="A118" s="275" t="s">
        <v>1123</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9" t="s">
        <v>438</v>
      </c>
      <c r="I18" s="539"/>
      <c r="J18" s="539"/>
      <c r="K18" s="540"/>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337</vt:i4>
      </vt:variant>
    </vt:vector>
  </HeadingPairs>
  <TitlesOfParts>
    <vt:vector size="352"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alchemist_flame_invest</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2026-05-30T16:29:15Z</dcterms:modified>
</cp:coreProperties>
</file>